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defaultThemeVersion="124226"/>
  <xr:revisionPtr revIDLastSave="0" documentId="13_ncr:1_{5C9D8587-92D5-49AE-A29F-D6C3B3CB1924}" xr6:coauthVersionLast="45" xr6:coauthVersionMax="45" xr10:uidLastSave="{00000000-0000-0000-0000-000000000000}"/>
  <bookViews>
    <workbookView xWindow="-108" yWindow="-108" windowWidth="16608" windowHeight="8832" tabRatio="883" activeTab="1" xr2:uid="{00000000-000D-0000-FFFF-FFFF00000000}"/>
  </bookViews>
  <sheets>
    <sheet name="62_QT" sheetId="1" r:id="rId1"/>
    <sheet name="63_QT" sheetId="2" r:id="rId2"/>
    <sheet name="64_QT " sheetId="3" r:id="rId3"/>
    <sheet name="65_QT" sheetId="4" r:id="rId4"/>
    <sheet name="66_QT " sheetId="16" r:id="rId5"/>
    <sheet name="DT" sheetId="25" state="hidden" r:id="rId6"/>
    <sheet name="LC" sheetId="26" state="hidden" r:id="rId7"/>
    <sheet name="66_luu" sheetId="24" state="hidden" r:id="rId8"/>
    <sheet name="67_QT" sheetId="6" r:id="rId9"/>
    <sheet name="68_QT " sheetId="7" r:id="rId10"/>
    <sheet name="Sheet4" sheetId="20" state="hidden" r:id="rId11"/>
    <sheet name="DT TX NST" sheetId="17" state="hidden" r:id="rId12"/>
    <sheet name="Sheet5" sheetId="21" state="hidden" r:id="rId13"/>
    <sheet name="Sheet3" sheetId="19" state="hidden" r:id="rId14"/>
    <sheet name="Sheet1" sheetId="18" state="hidden" r:id="rId15"/>
    <sheet name="Thu NSDP_trinh HDND" sheetId="11" state="hidden" r:id="rId16"/>
    <sheet name="Chi NSDP_trinh HDND" sheetId="8" state="hidden" r:id="rId17"/>
    <sheet name="CD QT" sheetId="12" state="hidden" r:id="rId18"/>
    <sheet name="CTMTQG_CTMT2018" sheetId="22" state="hidden" r:id="rId19"/>
    <sheet name="NSH" sheetId="10" state="hidden" r:id="rId20"/>
    <sheet name="64_LUU" sheetId="14" state="hidden" r:id="rId21"/>
  </sheets>
  <externalReferences>
    <externalReference r:id="rId22"/>
  </externalReferences>
  <definedNames>
    <definedName name="_xlnm.Print_Titles" localSheetId="1">'63_QT'!$6:$7</definedName>
    <definedName name="_xlnm.Print_Titles" localSheetId="2">'64_QT '!$6:$8</definedName>
    <definedName name="_xlnm.Print_Titles" localSheetId="3">'65_QT'!$6:$7</definedName>
    <definedName name="_xlnm.Print_Titles" localSheetId="4">'66_QT '!$6:$9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9" i="7" l="1"/>
  <c r="D46" i="4" l="1"/>
  <c r="C12" i="4"/>
  <c r="C10" i="4" s="1"/>
  <c r="C8" i="4" s="1"/>
  <c r="J111" i="3"/>
  <c r="O111" i="3"/>
  <c r="G111" i="3"/>
  <c r="N111" i="3"/>
  <c r="F111" i="3" l="1"/>
  <c r="AA14" i="16" l="1"/>
  <c r="AB14" i="16"/>
  <c r="AA15" i="16"/>
  <c r="AB15" i="16"/>
  <c r="AA16" i="16"/>
  <c r="AB16" i="16"/>
  <c r="AB17" i="16"/>
  <c r="AA18" i="16"/>
  <c r="AB19" i="16"/>
  <c r="AB20" i="16"/>
  <c r="AA21" i="16"/>
  <c r="AB21" i="16"/>
  <c r="AB22" i="16"/>
  <c r="AB25" i="16"/>
  <c r="AA26" i="16"/>
  <c r="AB27" i="16"/>
  <c r="AA28" i="16"/>
  <c r="AA30" i="16"/>
  <c r="AB30" i="16"/>
  <c r="AB31" i="16"/>
  <c r="AA32" i="16"/>
  <c r="AB32" i="16"/>
  <c r="AB33" i="16"/>
  <c r="AB34" i="16"/>
  <c r="AB35" i="16"/>
  <c r="AB36" i="16"/>
  <c r="AB37" i="16"/>
  <c r="AB38" i="16"/>
  <c r="AA40" i="16"/>
  <c r="AB41" i="16"/>
  <c r="AB42" i="16"/>
  <c r="AB43" i="16"/>
  <c r="AB45" i="16"/>
  <c r="AA46" i="16"/>
  <c r="AA47" i="16"/>
  <c r="AB48" i="16"/>
  <c r="AB49" i="16"/>
  <c r="AA50" i="16"/>
  <c r="AB51" i="16"/>
  <c r="AA52" i="16"/>
  <c r="AB53" i="16"/>
  <c r="AA54" i="16"/>
  <c r="AB55" i="16"/>
  <c r="AA56" i="16"/>
  <c r="AB57" i="16"/>
  <c r="AB58" i="16"/>
  <c r="AB59" i="16"/>
  <c r="AB60" i="16"/>
  <c r="AB61" i="16"/>
  <c r="AB62" i="16"/>
  <c r="AA63" i="16"/>
  <c r="AB64" i="16"/>
  <c r="AA65" i="16"/>
  <c r="AB66" i="16"/>
  <c r="AB67" i="16"/>
  <c r="AB69" i="16"/>
  <c r="AB70" i="16"/>
  <c r="AA71" i="16"/>
  <c r="AB72" i="16"/>
  <c r="AB73" i="16"/>
  <c r="AA74" i="16"/>
  <c r="AB75" i="16"/>
  <c r="AA76" i="16"/>
  <c r="AA77" i="16"/>
  <c r="AA78" i="16"/>
  <c r="AA79" i="16"/>
  <c r="AA80" i="16"/>
  <c r="AA81" i="16"/>
  <c r="AA82" i="16"/>
  <c r="AB83" i="16"/>
  <c r="AB84" i="16"/>
  <c r="AB85" i="16"/>
  <c r="AB86" i="16"/>
  <c r="AB87" i="16"/>
  <c r="AB88" i="16"/>
  <c r="AB89" i="16"/>
  <c r="AB90" i="16"/>
  <c r="AB91" i="16"/>
  <c r="AB92" i="16"/>
  <c r="AB93" i="16"/>
  <c r="AB94" i="16"/>
  <c r="AB95" i="16"/>
  <c r="AB96" i="16"/>
  <c r="AB98" i="16"/>
  <c r="AB99" i="16"/>
  <c r="AB100" i="16"/>
  <c r="AB102" i="16"/>
  <c r="AB103" i="16"/>
  <c r="AB104" i="16"/>
  <c r="AB105" i="16"/>
  <c r="AB106" i="16"/>
  <c r="AB107" i="16"/>
  <c r="AB108" i="16"/>
  <c r="AB109" i="16"/>
  <c r="AB110" i="16"/>
  <c r="AB111" i="16"/>
  <c r="AB113" i="16"/>
  <c r="AB114" i="16"/>
  <c r="AA115" i="16"/>
  <c r="AB115" i="16"/>
  <c r="AB116" i="16"/>
  <c r="AB117" i="16"/>
  <c r="AB118" i="16"/>
  <c r="AB119" i="16"/>
  <c r="AB120" i="16"/>
  <c r="AB121" i="16"/>
  <c r="AB122" i="16"/>
  <c r="AB123" i="16"/>
  <c r="AB124" i="16"/>
  <c r="AB125" i="16"/>
  <c r="AB126" i="16"/>
  <c r="AB127" i="16"/>
  <c r="AB128" i="16"/>
  <c r="AB129" i="16"/>
  <c r="AB130" i="16"/>
  <c r="AB131" i="16"/>
  <c r="AB132" i="16"/>
  <c r="AB133" i="16"/>
  <c r="AB134" i="16"/>
  <c r="AB135" i="16"/>
  <c r="AB136" i="16"/>
  <c r="AB137" i="16"/>
  <c r="AB138" i="16"/>
  <c r="AB139" i="16"/>
  <c r="AB140" i="16"/>
  <c r="AB141" i="16"/>
  <c r="AB142" i="16"/>
  <c r="AB144" i="16"/>
  <c r="AB145" i="16"/>
  <c r="AB146" i="16"/>
  <c r="AB147" i="16"/>
  <c r="AB149" i="16"/>
  <c r="AB150" i="16"/>
  <c r="AB151" i="16"/>
  <c r="AB152" i="16"/>
  <c r="AB153" i="16"/>
  <c r="AB155" i="16"/>
  <c r="AB156" i="16"/>
  <c r="AB157" i="16"/>
  <c r="AB158" i="16"/>
  <c r="AB159" i="16"/>
  <c r="AB160" i="16"/>
  <c r="AB161" i="16"/>
  <c r="AB162" i="16"/>
  <c r="AB163" i="16"/>
  <c r="AB164" i="16"/>
  <c r="AB165" i="16"/>
  <c r="AB166" i="16"/>
  <c r="AB167" i="16"/>
  <c r="AB168" i="16"/>
  <c r="AB169" i="16"/>
  <c r="AB170" i="16"/>
  <c r="AB171" i="16"/>
  <c r="AB172" i="16"/>
  <c r="AB173" i="16"/>
  <c r="AB174" i="16"/>
  <c r="AB175" i="16"/>
  <c r="AB176" i="16"/>
  <c r="AB177" i="16"/>
  <c r="AB178" i="16"/>
  <c r="AB179" i="16"/>
  <c r="AB180" i="16"/>
  <c r="AB181" i="16"/>
  <c r="AB182" i="16"/>
  <c r="AB183" i="16"/>
  <c r="AB184" i="16"/>
  <c r="AB185" i="16"/>
  <c r="AA186" i="16"/>
  <c r="AB187" i="16"/>
  <c r="AB188" i="16"/>
  <c r="AB189" i="16"/>
  <c r="AB190" i="16"/>
  <c r="AB191" i="16"/>
  <c r="AA192" i="16"/>
  <c r="AB193" i="16"/>
  <c r="AB194" i="16"/>
  <c r="AB195" i="16"/>
  <c r="AB196" i="16"/>
  <c r="AB197" i="16"/>
  <c r="AB198" i="16"/>
  <c r="AB199" i="16"/>
  <c r="AB200" i="16"/>
  <c r="AB201" i="16"/>
  <c r="AB202" i="16"/>
  <c r="AB203" i="16"/>
  <c r="AB204" i="16"/>
  <c r="AB205" i="16"/>
  <c r="AB206" i="16"/>
  <c r="AB207" i="16"/>
  <c r="AB208" i="16"/>
  <c r="AB209" i="16"/>
  <c r="AB210" i="16"/>
  <c r="AB211" i="16"/>
  <c r="AB212" i="16"/>
  <c r="AB213" i="16"/>
  <c r="AA215" i="16"/>
  <c r="AB216" i="16"/>
  <c r="AB217" i="16"/>
  <c r="AB218" i="16"/>
  <c r="AB219" i="16"/>
  <c r="AB220" i="16"/>
  <c r="AB221" i="16"/>
  <c r="AB222" i="16"/>
  <c r="AB223" i="16"/>
  <c r="AB224" i="16"/>
  <c r="AB225" i="16"/>
  <c r="AB226" i="16"/>
  <c r="AB227" i="16"/>
  <c r="AB228" i="16"/>
  <c r="AB229" i="16"/>
  <c r="AB230" i="16"/>
  <c r="AB231" i="16"/>
  <c r="AB232" i="16"/>
  <c r="AB233" i="16"/>
  <c r="AB234" i="16"/>
  <c r="AB235" i="16"/>
  <c r="AB236" i="16"/>
  <c r="AB237" i="16"/>
  <c r="AB238" i="16"/>
  <c r="AB239" i="16"/>
  <c r="AB240" i="16"/>
  <c r="AB241" i="16"/>
  <c r="AB242" i="16"/>
  <c r="AB244" i="16"/>
  <c r="AB245" i="16"/>
  <c r="AB246" i="16"/>
  <c r="AB247" i="16"/>
  <c r="AB249" i="16"/>
  <c r="AB250" i="16"/>
  <c r="AB251" i="16"/>
  <c r="AA253" i="16"/>
  <c r="AA254" i="16"/>
  <c r="AA257" i="16"/>
  <c r="AA259" i="16"/>
  <c r="AA260" i="16"/>
  <c r="AA261" i="16"/>
  <c r="AA262" i="16"/>
  <c r="AB13" i="16"/>
  <c r="AA13" i="16"/>
  <c r="E23" i="16" l="1"/>
  <c r="O23" i="16"/>
  <c r="O28" i="16"/>
  <c r="E28" i="16"/>
  <c r="E148" i="16"/>
  <c r="AB28" i="16" l="1"/>
  <c r="AB23" i="16"/>
  <c r="J14" i="16"/>
  <c r="J15" i="16"/>
  <c r="J16" i="16"/>
  <c r="J17" i="16"/>
  <c r="J18" i="16"/>
  <c r="J19" i="16"/>
  <c r="J20" i="16"/>
  <c r="J21" i="16"/>
  <c r="J22" i="16"/>
  <c r="J23" i="16"/>
  <c r="J24" i="16"/>
  <c r="J25" i="16"/>
  <c r="J26" i="16"/>
  <c r="J27" i="16"/>
  <c r="J28" i="16"/>
  <c r="J29" i="16"/>
  <c r="J241" i="16"/>
  <c r="J228" i="16"/>
  <c r="J218" i="16"/>
  <c r="J116" i="16"/>
  <c r="J84" i="16"/>
  <c r="J85" i="16"/>
  <c r="J225" i="16"/>
  <c r="J224" i="16"/>
  <c r="J232" i="16"/>
  <c r="J179" i="16"/>
  <c r="J30" i="16"/>
  <c r="J31" i="16"/>
  <c r="J184" i="16"/>
  <c r="J180" i="16"/>
  <c r="J106" i="16"/>
  <c r="J193" i="16"/>
  <c r="J104" i="16"/>
  <c r="J97" i="16"/>
  <c r="J231" i="16"/>
  <c r="J36" i="16"/>
  <c r="J178" i="16"/>
  <c r="J176" i="16"/>
  <c r="J220" i="16"/>
  <c r="J153" i="16"/>
  <c r="J195" i="16"/>
  <c r="J236" i="16"/>
  <c r="J86" i="16"/>
  <c r="J90" i="16"/>
  <c r="J89" i="16"/>
  <c r="J83" i="16"/>
  <c r="J123" i="16"/>
  <c r="J122" i="16"/>
  <c r="J125" i="16"/>
  <c r="J136" i="16"/>
  <c r="J191" i="16"/>
  <c r="J223" i="16"/>
  <c r="J229" i="16"/>
  <c r="J92" i="16"/>
  <c r="J199" i="16"/>
  <c r="J148" i="16"/>
  <c r="J201" i="16"/>
  <c r="J165" i="16"/>
  <c r="J164" i="16"/>
  <c r="J131" i="16"/>
  <c r="J59" i="16"/>
  <c r="J128" i="16"/>
  <c r="J127" i="16"/>
  <c r="J227" i="16"/>
  <c r="J226" i="16"/>
  <c r="J135" i="16"/>
  <c r="J69" i="16"/>
  <c r="J202" i="16"/>
  <c r="J200" i="16"/>
  <c r="J150" i="16"/>
  <c r="J115" i="16"/>
  <c r="J182" i="16"/>
  <c r="J113" i="16"/>
  <c r="J169" i="16"/>
  <c r="J173" i="16"/>
  <c r="J162" i="16"/>
  <c r="J34" i="16"/>
  <c r="J72" i="16"/>
  <c r="J73" i="16"/>
  <c r="J211" i="16"/>
  <c r="J185" i="16"/>
  <c r="J206" i="16"/>
  <c r="J204" i="16"/>
  <c r="J209" i="16"/>
  <c r="J212" i="16"/>
  <c r="J205" i="16"/>
  <c r="J187" i="16"/>
  <c r="J210" i="16"/>
  <c r="J33" i="16"/>
  <c r="J143" i="16"/>
  <c r="J154" i="16"/>
  <c r="J243" i="16"/>
  <c r="J163" i="16"/>
  <c r="J214" i="16"/>
  <c r="J213" i="16"/>
  <c r="J221" i="16"/>
  <c r="J222" i="16"/>
  <c r="J126" i="16"/>
  <c r="J208" i="16"/>
  <c r="J216" i="16"/>
  <c r="J88" i="16"/>
  <c r="J183" i="16"/>
  <c r="J217" i="16"/>
  <c r="J60" i="16"/>
  <c r="J167" i="16"/>
  <c r="J129" i="16"/>
  <c r="J237" i="16"/>
  <c r="J168" i="16"/>
  <c r="J105" i="16"/>
  <c r="J233" i="16"/>
  <c r="J100" i="16"/>
  <c r="J146" i="16"/>
  <c r="J247" i="16"/>
  <c r="J196" i="16"/>
  <c r="J240" i="16"/>
  <c r="J98" i="16"/>
  <c r="J230" i="16"/>
  <c r="J234" i="16"/>
  <c r="J119" i="16"/>
  <c r="J120" i="16"/>
  <c r="J91" i="16"/>
  <c r="J70" i="16"/>
  <c r="J171" i="16"/>
  <c r="J175" i="16"/>
  <c r="J62" i="16"/>
  <c r="J137" i="16"/>
  <c r="J38" i="16"/>
  <c r="J142" i="16"/>
  <c r="J118" i="16"/>
  <c r="J219" i="16"/>
  <c r="J87" i="16"/>
  <c r="J133" i="16"/>
  <c r="J138" i="16"/>
  <c r="J139" i="16"/>
  <c r="J197" i="16"/>
  <c r="J117" i="16"/>
  <c r="J147" i="16"/>
  <c r="J166" i="16"/>
  <c r="J235" i="16"/>
  <c r="J95" i="16"/>
  <c r="J244" i="16"/>
  <c r="J102" i="16"/>
  <c r="J55" i="16"/>
  <c r="J49" i="16"/>
  <c r="J41" i="16"/>
  <c r="J242" i="16"/>
  <c r="J111" i="16"/>
  <c r="J181" i="16"/>
  <c r="J238" i="16"/>
  <c r="J239" i="16"/>
  <c r="J141" i="16"/>
  <c r="J53" i="16"/>
  <c r="J107" i="16"/>
  <c r="J35" i="16"/>
  <c r="J75" i="16"/>
  <c r="J144" i="16"/>
  <c r="J58" i="16"/>
  <c r="J140" i="16"/>
  <c r="J156" i="16"/>
  <c r="J158" i="16"/>
  <c r="J174" i="16"/>
  <c r="J124" i="16"/>
  <c r="J207" i="16"/>
  <c r="J64" i="16"/>
  <c r="J66" i="16"/>
  <c r="J194" i="16"/>
  <c r="J130" i="16"/>
  <c r="J48" i="16"/>
  <c r="J172" i="16"/>
  <c r="J96" i="16"/>
  <c r="J103" i="16"/>
  <c r="J198" i="16"/>
  <c r="J99" i="16"/>
  <c r="J189" i="16"/>
  <c r="J57" i="16"/>
  <c r="J157" i="16"/>
  <c r="J190" i="16"/>
  <c r="J61" i="16"/>
  <c r="J203" i="16"/>
  <c r="J134" i="16"/>
  <c r="J248" i="16"/>
  <c r="J159" i="16"/>
  <c r="J43" i="16"/>
  <c r="J149" i="16"/>
  <c r="J152" i="16"/>
  <c r="J42" i="16"/>
  <c r="J51" i="16"/>
  <c r="J121" i="16"/>
  <c r="J170" i="16"/>
  <c r="J177" i="16"/>
  <c r="J155" i="16"/>
  <c r="J145" i="16"/>
  <c r="J45" i="16"/>
  <c r="J188" i="16"/>
  <c r="J37" i="16"/>
  <c r="J251" i="16"/>
  <c r="J249" i="16"/>
  <c r="J250" i="16"/>
  <c r="J151" i="16"/>
  <c r="J246" i="16"/>
  <c r="J67" i="16"/>
  <c r="J114" i="16"/>
  <c r="J109" i="16"/>
  <c r="J245" i="16"/>
  <c r="J132" i="16"/>
  <c r="J108" i="16"/>
  <c r="J160" i="16"/>
  <c r="J110" i="16"/>
  <c r="J161" i="16"/>
  <c r="J32" i="16"/>
  <c r="J94" i="16"/>
  <c r="J93" i="16"/>
  <c r="J65" i="16"/>
  <c r="J68" i="16"/>
  <c r="J71" i="16"/>
  <c r="J74" i="16"/>
  <c r="J40" i="16"/>
  <c r="J56" i="16"/>
  <c r="J52" i="16"/>
  <c r="J186" i="16"/>
  <c r="J192" i="16"/>
  <c r="J215" i="16"/>
  <c r="J39" i="16"/>
  <c r="J44" i="16"/>
  <c r="J54" i="16"/>
  <c r="J63" i="16"/>
  <c r="J46" i="16"/>
  <c r="J47" i="16"/>
  <c r="J50" i="16"/>
  <c r="J112" i="16"/>
  <c r="J82" i="16"/>
  <c r="J76" i="16"/>
  <c r="J77" i="16"/>
  <c r="J78" i="16"/>
  <c r="J79" i="16"/>
  <c r="J80" i="16"/>
  <c r="J81" i="16"/>
  <c r="J253" i="16"/>
  <c r="J254" i="16"/>
  <c r="J255" i="16"/>
  <c r="J256" i="16"/>
  <c r="J257" i="16"/>
  <c r="J258" i="16"/>
  <c r="J259" i="16"/>
  <c r="J260" i="16"/>
  <c r="J261" i="16"/>
  <c r="J262" i="16"/>
  <c r="J263" i="16"/>
  <c r="J264" i="16"/>
  <c r="J265" i="16"/>
  <c r="J266" i="16"/>
  <c r="J267" i="16"/>
  <c r="J13" i="16"/>
  <c r="C13" i="16" s="1"/>
  <c r="C14" i="16" l="1"/>
  <c r="C15" i="16"/>
  <c r="C16" i="16"/>
  <c r="C17" i="16"/>
  <c r="C18" i="16"/>
  <c r="C19" i="16"/>
  <c r="C20" i="16"/>
  <c r="C21" i="16"/>
  <c r="C22" i="16"/>
  <c r="C23" i="16"/>
  <c r="C24" i="16"/>
  <c r="C25" i="16"/>
  <c r="C26" i="16"/>
  <c r="C27" i="16"/>
  <c r="C28" i="16"/>
  <c r="C29" i="16"/>
  <c r="C241" i="16"/>
  <c r="C228" i="16"/>
  <c r="C218" i="16"/>
  <c r="C116" i="16"/>
  <c r="C84" i="16"/>
  <c r="C85" i="16"/>
  <c r="C225" i="16"/>
  <c r="C224" i="16"/>
  <c r="C232" i="16"/>
  <c r="C179" i="16"/>
  <c r="C30" i="16"/>
  <c r="C31" i="16"/>
  <c r="C184" i="16"/>
  <c r="C180" i="16"/>
  <c r="C106" i="16"/>
  <c r="C193" i="16"/>
  <c r="C104" i="16"/>
  <c r="C97" i="16"/>
  <c r="C231" i="16"/>
  <c r="C36" i="16"/>
  <c r="C178" i="16"/>
  <c r="C176" i="16"/>
  <c r="C220" i="16"/>
  <c r="C153" i="16"/>
  <c r="C195" i="16"/>
  <c r="C236" i="16"/>
  <c r="C86" i="16"/>
  <c r="C90" i="16"/>
  <c r="C89" i="16"/>
  <c r="C83" i="16"/>
  <c r="C123" i="16"/>
  <c r="C122" i="16"/>
  <c r="C125" i="16"/>
  <c r="C136" i="16"/>
  <c r="C191" i="16"/>
  <c r="C223" i="16"/>
  <c r="C229" i="16"/>
  <c r="C92" i="16"/>
  <c r="C199" i="16"/>
  <c r="C148" i="16"/>
  <c r="C201" i="16"/>
  <c r="C165" i="16"/>
  <c r="C164" i="16"/>
  <c r="C131" i="16"/>
  <c r="C59" i="16"/>
  <c r="C128" i="16"/>
  <c r="C127" i="16"/>
  <c r="C227" i="16"/>
  <c r="C226" i="16"/>
  <c r="C135" i="16"/>
  <c r="C69" i="16"/>
  <c r="C202" i="16"/>
  <c r="C200" i="16"/>
  <c r="C150" i="16"/>
  <c r="C115" i="16"/>
  <c r="C182" i="16"/>
  <c r="C113" i="16"/>
  <c r="C169" i="16"/>
  <c r="C173" i="16"/>
  <c r="C162" i="16"/>
  <c r="C34" i="16"/>
  <c r="C72" i="16"/>
  <c r="C73" i="16"/>
  <c r="C211" i="16"/>
  <c r="C185" i="16"/>
  <c r="C206" i="16"/>
  <c r="C204" i="16"/>
  <c r="C209" i="16"/>
  <c r="C212" i="16"/>
  <c r="C205" i="16"/>
  <c r="C187" i="16"/>
  <c r="C210" i="16"/>
  <c r="C33" i="16"/>
  <c r="C143" i="16"/>
  <c r="C154" i="16"/>
  <c r="C243" i="16"/>
  <c r="C163" i="16"/>
  <c r="C214" i="16"/>
  <c r="C213" i="16"/>
  <c r="C221" i="16"/>
  <c r="C222" i="16"/>
  <c r="C126" i="16"/>
  <c r="C208" i="16"/>
  <c r="C216" i="16"/>
  <c r="C88" i="16"/>
  <c r="C183" i="16"/>
  <c r="C217" i="16"/>
  <c r="C60" i="16"/>
  <c r="C167" i="16"/>
  <c r="C129" i="16"/>
  <c r="C237" i="16"/>
  <c r="C168" i="16"/>
  <c r="C105" i="16"/>
  <c r="C233" i="16"/>
  <c r="C100" i="16"/>
  <c r="C146" i="16"/>
  <c r="C247" i="16"/>
  <c r="C196" i="16"/>
  <c r="C240" i="16"/>
  <c r="C98" i="16"/>
  <c r="C230" i="16"/>
  <c r="C234" i="16"/>
  <c r="C119" i="16"/>
  <c r="C120" i="16"/>
  <c r="C91" i="16"/>
  <c r="C70" i="16"/>
  <c r="C171" i="16"/>
  <c r="C175" i="16"/>
  <c r="C62" i="16"/>
  <c r="C137" i="16"/>
  <c r="C38" i="16"/>
  <c r="C142" i="16"/>
  <c r="C118" i="16"/>
  <c r="C219" i="16"/>
  <c r="C87" i="16"/>
  <c r="C133" i="16"/>
  <c r="C138" i="16"/>
  <c r="C139" i="16"/>
  <c r="C197" i="16"/>
  <c r="C117" i="16"/>
  <c r="C147" i="16"/>
  <c r="C166" i="16"/>
  <c r="C235" i="16"/>
  <c r="C95" i="16"/>
  <c r="C244" i="16"/>
  <c r="C102" i="16"/>
  <c r="C55" i="16"/>
  <c r="C49" i="16"/>
  <c r="C41" i="16"/>
  <c r="C242" i="16"/>
  <c r="C111" i="16"/>
  <c r="C181" i="16"/>
  <c r="C238" i="16"/>
  <c r="C239" i="16"/>
  <c r="C141" i="16"/>
  <c r="C53" i="16"/>
  <c r="C107" i="16"/>
  <c r="C35" i="16"/>
  <c r="C75" i="16"/>
  <c r="C144" i="16"/>
  <c r="C58" i="16"/>
  <c r="C140" i="16"/>
  <c r="C156" i="16"/>
  <c r="C158" i="16"/>
  <c r="C174" i="16"/>
  <c r="C124" i="16"/>
  <c r="C207" i="16"/>
  <c r="C64" i="16"/>
  <c r="C66" i="16"/>
  <c r="C194" i="16"/>
  <c r="C130" i="16"/>
  <c r="C48" i="16"/>
  <c r="C172" i="16"/>
  <c r="C96" i="16"/>
  <c r="C103" i="16"/>
  <c r="C198" i="16"/>
  <c r="C99" i="16"/>
  <c r="C189" i="16"/>
  <c r="C57" i="16"/>
  <c r="C157" i="16"/>
  <c r="C190" i="16"/>
  <c r="C61" i="16"/>
  <c r="C203" i="16"/>
  <c r="C134" i="16"/>
  <c r="C248" i="16"/>
  <c r="C159" i="16"/>
  <c r="C43" i="16"/>
  <c r="C149" i="16"/>
  <c r="C152" i="16"/>
  <c r="C42" i="16"/>
  <c r="C51" i="16"/>
  <c r="C121" i="16"/>
  <c r="C170" i="16"/>
  <c r="C177" i="16"/>
  <c r="C155" i="16"/>
  <c r="C145" i="16"/>
  <c r="C45" i="16"/>
  <c r="C188" i="16"/>
  <c r="C37" i="16"/>
  <c r="C251" i="16"/>
  <c r="C249" i="16"/>
  <c r="C250" i="16"/>
  <c r="C151" i="16"/>
  <c r="C246" i="16"/>
  <c r="C67" i="16"/>
  <c r="C114" i="16"/>
  <c r="C109" i="16"/>
  <c r="C245" i="16"/>
  <c r="C132" i="16"/>
  <c r="C108" i="16"/>
  <c r="C160" i="16"/>
  <c r="C110" i="16"/>
  <c r="C161" i="16"/>
  <c r="C32" i="16"/>
  <c r="C94" i="16"/>
  <c r="C93" i="16"/>
  <c r="C65" i="16"/>
  <c r="C68" i="16"/>
  <c r="C71" i="16"/>
  <c r="C74" i="16"/>
  <c r="C40" i="16"/>
  <c r="C56" i="16"/>
  <c r="C52" i="16"/>
  <c r="C186" i="16"/>
  <c r="C192" i="16"/>
  <c r="C215" i="16"/>
  <c r="C54" i="16"/>
  <c r="C63" i="16"/>
  <c r="C46" i="16"/>
  <c r="C47" i="16"/>
  <c r="C50" i="16"/>
  <c r="C112" i="16"/>
  <c r="C82" i="16"/>
  <c r="C76" i="16"/>
  <c r="C77" i="16"/>
  <c r="C78" i="16"/>
  <c r="C79" i="16"/>
  <c r="C80" i="16"/>
  <c r="C81" i="16"/>
  <c r="C253" i="16"/>
  <c r="C254" i="16"/>
  <c r="C255" i="16"/>
  <c r="C256" i="16"/>
  <c r="C257" i="16"/>
  <c r="C258" i="16"/>
  <c r="C259" i="16"/>
  <c r="C260" i="16"/>
  <c r="C261" i="16"/>
  <c r="C262" i="16"/>
  <c r="C263" i="16"/>
  <c r="C264" i="16"/>
  <c r="C265" i="16"/>
  <c r="C266" i="16"/>
  <c r="W14" i="16"/>
  <c r="W15" i="16"/>
  <c r="W16" i="16"/>
  <c r="W17" i="16"/>
  <c r="W18" i="16"/>
  <c r="W19" i="16"/>
  <c r="W20" i="16"/>
  <c r="W21" i="16"/>
  <c r="W22" i="16"/>
  <c r="W23" i="16"/>
  <c r="W24" i="16"/>
  <c r="W25" i="16"/>
  <c r="W26" i="16"/>
  <c r="W27" i="16"/>
  <c r="W28" i="16"/>
  <c r="W29" i="16"/>
  <c r="W241" i="16"/>
  <c r="W228" i="16"/>
  <c r="W218" i="16"/>
  <c r="W116" i="16"/>
  <c r="W84" i="16"/>
  <c r="W85" i="16"/>
  <c r="W225" i="16"/>
  <c r="W224" i="16"/>
  <c r="W232" i="16"/>
  <c r="W179" i="16"/>
  <c r="W30" i="16"/>
  <c r="W31" i="16"/>
  <c r="W184" i="16"/>
  <c r="W180" i="16"/>
  <c r="W106" i="16"/>
  <c r="W193" i="16"/>
  <c r="W104" i="16"/>
  <c r="W97" i="16"/>
  <c r="W231" i="16"/>
  <c r="W36" i="16"/>
  <c r="W178" i="16"/>
  <c r="W176" i="16"/>
  <c r="W220" i="16"/>
  <c r="W153" i="16"/>
  <c r="W195" i="16"/>
  <c r="W236" i="16"/>
  <c r="W86" i="16"/>
  <c r="W90" i="16"/>
  <c r="W89" i="16"/>
  <c r="W83" i="16"/>
  <c r="W123" i="16"/>
  <c r="W122" i="16"/>
  <c r="W125" i="16"/>
  <c r="W136" i="16"/>
  <c r="W191" i="16"/>
  <c r="W223" i="16"/>
  <c r="W229" i="16"/>
  <c r="W92" i="16"/>
  <c r="W199" i="16"/>
  <c r="W148" i="16"/>
  <c r="W201" i="16"/>
  <c r="W165" i="16"/>
  <c r="W164" i="16"/>
  <c r="W131" i="16"/>
  <c r="W59" i="16"/>
  <c r="W128" i="16"/>
  <c r="W127" i="16"/>
  <c r="W227" i="16"/>
  <c r="W226" i="16"/>
  <c r="W135" i="16"/>
  <c r="W69" i="16"/>
  <c r="W202" i="16"/>
  <c r="W200" i="16"/>
  <c r="W150" i="16"/>
  <c r="W115" i="16"/>
  <c r="W182" i="16"/>
  <c r="W113" i="16"/>
  <c r="W169" i="16"/>
  <c r="W173" i="16"/>
  <c r="W162" i="16"/>
  <c r="W34" i="16"/>
  <c r="W72" i="16"/>
  <c r="W73" i="16"/>
  <c r="W211" i="16"/>
  <c r="W185" i="16"/>
  <c r="W206" i="16"/>
  <c r="W204" i="16"/>
  <c r="W209" i="16"/>
  <c r="W212" i="16"/>
  <c r="W205" i="16"/>
  <c r="W187" i="16"/>
  <c r="W210" i="16"/>
  <c r="W33" i="16"/>
  <c r="W143" i="16"/>
  <c r="W154" i="16"/>
  <c r="W243" i="16"/>
  <c r="W163" i="16"/>
  <c r="W214" i="16"/>
  <c r="W213" i="16"/>
  <c r="W221" i="16"/>
  <c r="W222" i="16"/>
  <c r="W101" i="16"/>
  <c r="W126" i="16"/>
  <c r="W208" i="16"/>
  <c r="W216" i="16"/>
  <c r="W88" i="16"/>
  <c r="W183" i="16"/>
  <c r="W217" i="16"/>
  <c r="W60" i="16"/>
  <c r="W167" i="16"/>
  <c r="W129" i="16"/>
  <c r="W237" i="16"/>
  <c r="W168" i="16"/>
  <c r="W105" i="16"/>
  <c r="W233" i="16"/>
  <c r="W100" i="16"/>
  <c r="W146" i="16"/>
  <c r="W247" i="16"/>
  <c r="W196" i="16"/>
  <c r="W240" i="16"/>
  <c r="W98" i="16"/>
  <c r="W230" i="16"/>
  <c r="W234" i="16"/>
  <c r="W119" i="16"/>
  <c r="W120" i="16"/>
  <c r="W91" i="16"/>
  <c r="W70" i="16"/>
  <c r="W171" i="16"/>
  <c r="W175" i="16"/>
  <c r="W62" i="16"/>
  <c r="W137" i="16"/>
  <c r="W38" i="16"/>
  <c r="W142" i="16"/>
  <c r="W118" i="16"/>
  <c r="W219" i="16"/>
  <c r="W87" i="16"/>
  <c r="W133" i="16"/>
  <c r="W138" i="16"/>
  <c r="W139" i="16"/>
  <c r="W197" i="16"/>
  <c r="W117" i="16"/>
  <c r="W147" i="16"/>
  <c r="W166" i="16"/>
  <c r="W235" i="16"/>
  <c r="W95" i="16"/>
  <c r="W244" i="16"/>
  <c r="W102" i="16"/>
  <c r="W55" i="16"/>
  <c r="W49" i="16"/>
  <c r="W41" i="16"/>
  <c r="W242" i="16"/>
  <c r="W111" i="16"/>
  <c r="W181" i="16"/>
  <c r="W238" i="16"/>
  <c r="W239" i="16"/>
  <c r="W141" i="16"/>
  <c r="W53" i="16"/>
  <c r="W107" i="16"/>
  <c r="W35" i="16"/>
  <c r="W75" i="16"/>
  <c r="W144" i="16"/>
  <c r="W58" i="16"/>
  <c r="W140" i="16"/>
  <c r="W156" i="16"/>
  <c r="W158" i="16"/>
  <c r="W174" i="16"/>
  <c r="W124" i="16"/>
  <c r="W207" i="16"/>
  <c r="W64" i="16"/>
  <c r="W66" i="16"/>
  <c r="W194" i="16"/>
  <c r="W130" i="16"/>
  <c r="W48" i="16"/>
  <c r="W172" i="16"/>
  <c r="W96" i="16"/>
  <c r="W103" i="16"/>
  <c r="W198" i="16"/>
  <c r="W99" i="16"/>
  <c r="W189" i="16"/>
  <c r="W57" i="16"/>
  <c r="W157" i="16"/>
  <c r="W190" i="16"/>
  <c r="W61" i="16"/>
  <c r="W203" i="16"/>
  <c r="W134" i="16"/>
  <c r="W248" i="16"/>
  <c r="W159" i="16"/>
  <c r="W43" i="16"/>
  <c r="W149" i="16"/>
  <c r="W152" i="16"/>
  <c r="W42" i="16"/>
  <c r="W51" i="16"/>
  <c r="W121" i="16"/>
  <c r="W170" i="16"/>
  <c r="W177" i="16"/>
  <c r="W155" i="16"/>
  <c r="W145" i="16"/>
  <c r="W45" i="16"/>
  <c r="W188" i="16"/>
  <c r="W37" i="16"/>
  <c r="W251" i="16"/>
  <c r="W249" i="16"/>
  <c r="W250" i="16"/>
  <c r="W151" i="16"/>
  <c r="W246" i="16"/>
  <c r="W67" i="16"/>
  <c r="W114" i="16"/>
  <c r="W109" i="16"/>
  <c r="W245" i="16"/>
  <c r="W132" i="16"/>
  <c r="W108" i="16"/>
  <c r="W160" i="16"/>
  <c r="W110" i="16"/>
  <c r="W161" i="16"/>
  <c r="W32" i="16"/>
  <c r="W94" i="16"/>
  <c r="W93" i="16"/>
  <c r="W65" i="16"/>
  <c r="M65" i="16" s="1"/>
  <c r="Z65" i="16" s="1"/>
  <c r="W68" i="16"/>
  <c r="M68" i="16" s="1"/>
  <c r="W71" i="16"/>
  <c r="M71" i="16" s="1"/>
  <c r="W74" i="16"/>
  <c r="M74" i="16" s="1"/>
  <c r="Z74" i="16" s="1"/>
  <c r="W40" i="16"/>
  <c r="M40" i="16" s="1"/>
  <c r="Z40" i="16" s="1"/>
  <c r="W56" i="16"/>
  <c r="M56" i="16" s="1"/>
  <c r="W52" i="16"/>
  <c r="M52" i="16" s="1"/>
  <c r="W186" i="16"/>
  <c r="M186" i="16" s="1"/>
  <c r="Z186" i="16" s="1"/>
  <c r="W192" i="16"/>
  <c r="M192" i="16" s="1"/>
  <c r="Z192" i="16" s="1"/>
  <c r="W215" i="16"/>
  <c r="M215" i="16" s="1"/>
  <c r="W39" i="16"/>
  <c r="M39" i="16" s="1"/>
  <c r="W44" i="16"/>
  <c r="M44" i="16" s="1"/>
  <c r="W54" i="16"/>
  <c r="M54" i="16" s="1"/>
  <c r="Z54" i="16" s="1"/>
  <c r="W63" i="16"/>
  <c r="M63" i="16" s="1"/>
  <c r="Z63" i="16" s="1"/>
  <c r="W46" i="16"/>
  <c r="M46" i="16" s="1"/>
  <c r="Z46" i="16" s="1"/>
  <c r="W47" i="16"/>
  <c r="M47" i="16" s="1"/>
  <c r="Z47" i="16" s="1"/>
  <c r="W50" i="16"/>
  <c r="M50" i="16" s="1"/>
  <c r="Z50" i="16" s="1"/>
  <c r="W112" i="16"/>
  <c r="M112" i="16" s="1"/>
  <c r="W82" i="16"/>
  <c r="M82" i="16" s="1"/>
  <c r="Z82" i="16" s="1"/>
  <c r="W76" i="16"/>
  <c r="M76" i="16" s="1"/>
  <c r="Z76" i="16" s="1"/>
  <c r="W77" i="16"/>
  <c r="M77" i="16" s="1"/>
  <c r="Z77" i="16" s="1"/>
  <c r="W78" i="16"/>
  <c r="M78" i="16" s="1"/>
  <c r="Z78" i="16" s="1"/>
  <c r="W79" i="16"/>
  <c r="M79" i="16" s="1"/>
  <c r="Z79" i="16" s="1"/>
  <c r="W80" i="16"/>
  <c r="M80" i="16" s="1"/>
  <c r="Z80" i="16" s="1"/>
  <c r="W81" i="16"/>
  <c r="M81" i="16" s="1"/>
  <c r="Z81" i="16" s="1"/>
  <c r="W253" i="16"/>
  <c r="W254" i="16"/>
  <c r="W255" i="16"/>
  <c r="W256" i="16"/>
  <c r="W257" i="16"/>
  <c r="W258" i="16"/>
  <c r="W259" i="16"/>
  <c r="W260" i="16"/>
  <c r="W261" i="16"/>
  <c r="W262" i="16"/>
  <c r="W263" i="16"/>
  <c r="W264" i="16"/>
  <c r="W265" i="16"/>
  <c r="W266" i="16"/>
  <c r="W267" i="16"/>
  <c r="O252" i="16"/>
  <c r="P252" i="16"/>
  <c r="Q252" i="16"/>
  <c r="R252" i="16"/>
  <c r="S252" i="16"/>
  <c r="U252" i="16"/>
  <c r="V252" i="16"/>
  <c r="X252" i="16"/>
  <c r="X12" i="16"/>
  <c r="N12" i="16"/>
  <c r="E12" i="16"/>
  <c r="F12" i="16"/>
  <c r="G12" i="16"/>
  <c r="H12" i="16"/>
  <c r="I12" i="16"/>
  <c r="K12" i="16"/>
  <c r="P12" i="16"/>
  <c r="Q12" i="16"/>
  <c r="R12" i="16"/>
  <c r="S12" i="16"/>
  <c r="U12" i="16"/>
  <c r="Y12" i="16"/>
  <c r="Y11" i="16" s="1"/>
  <c r="Y10" i="16" s="1"/>
  <c r="W13" i="16"/>
  <c r="N258" i="16"/>
  <c r="AA258" i="16" s="1"/>
  <c r="N256" i="16"/>
  <c r="AA256" i="16" s="1"/>
  <c r="N255" i="16"/>
  <c r="AA255" i="16" s="1"/>
  <c r="T14" i="16"/>
  <c r="T15" i="16"/>
  <c r="T16" i="16"/>
  <c r="T17" i="16"/>
  <c r="T19" i="16"/>
  <c r="T20" i="16"/>
  <c r="T21" i="16"/>
  <c r="T22" i="16"/>
  <c r="T23" i="16"/>
  <c r="T24" i="16"/>
  <c r="T25" i="16"/>
  <c r="T26" i="16"/>
  <c r="T27" i="16"/>
  <c r="T28" i="16"/>
  <c r="T29" i="16"/>
  <c r="O29" i="16" s="1"/>
  <c r="AB29" i="16" s="1"/>
  <c r="T241" i="16"/>
  <c r="T228" i="16"/>
  <c r="T218" i="16"/>
  <c r="T116" i="16"/>
  <c r="T84" i="16"/>
  <c r="T85" i="16"/>
  <c r="T225" i="16"/>
  <c r="T224" i="16"/>
  <c r="T232" i="16"/>
  <c r="T179" i="16"/>
  <c r="T30" i="16"/>
  <c r="T31" i="16"/>
  <c r="T184" i="16"/>
  <c r="T180" i="16"/>
  <c r="T106" i="16"/>
  <c r="T193" i="16"/>
  <c r="T104" i="16"/>
  <c r="T97" i="16"/>
  <c r="T231" i="16"/>
  <c r="T36" i="16"/>
  <c r="T178" i="16"/>
  <c r="T176" i="16"/>
  <c r="T220" i="16"/>
  <c r="T153" i="16"/>
  <c r="T195" i="16"/>
  <c r="T236" i="16"/>
  <c r="T86" i="16"/>
  <c r="T90" i="16"/>
  <c r="T89" i="16"/>
  <c r="T83" i="16"/>
  <c r="T123" i="16"/>
  <c r="T122" i="16"/>
  <c r="T125" i="16"/>
  <c r="T136" i="16"/>
  <c r="T191" i="16"/>
  <c r="T223" i="16"/>
  <c r="T229" i="16"/>
  <c r="T92" i="16"/>
  <c r="T199" i="16"/>
  <c r="T148" i="16"/>
  <c r="T201" i="16"/>
  <c r="T165" i="16"/>
  <c r="T164" i="16"/>
  <c r="T131" i="16"/>
  <c r="T59" i="16"/>
  <c r="T128" i="16"/>
  <c r="T127" i="16"/>
  <c r="T227" i="16"/>
  <c r="T226" i="16"/>
  <c r="T135" i="16"/>
  <c r="T69" i="16"/>
  <c r="T202" i="16"/>
  <c r="T200" i="16"/>
  <c r="T150" i="16"/>
  <c r="T115" i="16"/>
  <c r="T182" i="16"/>
  <c r="T113" i="16"/>
  <c r="T169" i="16"/>
  <c r="T173" i="16"/>
  <c r="T162" i="16"/>
  <c r="T34" i="16"/>
  <c r="T72" i="16"/>
  <c r="T73" i="16"/>
  <c r="T211" i="16"/>
  <c r="T185" i="16"/>
  <c r="T206" i="16"/>
  <c r="T204" i="16"/>
  <c r="T209" i="16"/>
  <c r="T212" i="16"/>
  <c r="T205" i="16"/>
  <c r="T187" i="16"/>
  <c r="T210" i="16"/>
  <c r="T33" i="16"/>
  <c r="T143" i="16"/>
  <c r="T154" i="16"/>
  <c r="T243" i="16"/>
  <c r="T163" i="16"/>
  <c r="T214" i="16"/>
  <c r="T213" i="16"/>
  <c r="T221" i="16"/>
  <c r="T222" i="16"/>
  <c r="T101" i="16"/>
  <c r="T126" i="16"/>
  <c r="T208" i="16"/>
  <c r="T216" i="16"/>
  <c r="T88" i="16"/>
  <c r="T183" i="16"/>
  <c r="T217" i="16"/>
  <c r="T60" i="16"/>
  <c r="T167" i="16"/>
  <c r="T129" i="16"/>
  <c r="T237" i="16"/>
  <c r="T168" i="16"/>
  <c r="T105" i="16"/>
  <c r="T233" i="16"/>
  <c r="T100" i="16"/>
  <c r="T146" i="16"/>
  <c r="T247" i="16"/>
  <c r="T196" i="16"/>
  <c r="T240" i="16"/>
  <c r="T98" i="16"/>
  <c r="T230" i="16"/>
  <c r="T234" i="16"/>
  <c r="T119" i="16"/>
  <c r="T120" i="16"/>
  <c r="T91" i="16"/>
  <c r="T70" i="16"/>
  <c r="T171" i="16"/>
  <c r="T175" i="16"/>
  <c r="T62" i="16"/>
  <c r="T137" i="16"/>
  <c r="T38" i="16"/>
  <c r="T142" i="16"/>
  <c r="T118" i="16"/>
  <c r="T219" i="16"/>
  <c r="T87" i="16"/>
  <c r="T133" i="16"/>
  <c r="T138" i="16"/>
  <c r="T139" i="16"/>
  <c r="T197" i="16"/>
  <c r="T117" i="16"/>
  <c r="T147" i="16"/>
  <c r="T166" i="16"/>
  <c r="T235" i="16"/>
  <c r="T95" i="16"/>
  <c r="T244" i="16"/>
  <c r="T102" i="16"/>
  <c r="T55" i="16"/>
  <c r="T49" i="16"/>
  <c r="T41" i="16"/>
  <c r="T242" i="16"/>
  <c r="T111" i="16"/>
  <c r="T181" i="16"/>
  <c r="T238" i="16"/>
  <c r="T239" i="16"/>
  <c r="T141" i="16"/>
  <c r="T53" i="16"/>
  <c r="T107" i="16"/>
  <c r="T35" i="16"/>
  <c r="T75" i="16"/>
  <c r="T144" i="16"/>
  <c r="T58" i="16"/>
  <c r="T140" i="16"/>
  <c r="T156" i="16"/>
  <c r="T158" i="16"/>
  <c r="T174" i="16"/>
  <c r="T124" i="16"/>
  <c r="T207" i="16"/>
  <c r="T64" i="16"/>
  <c r="T66" i="16"/>
  <c r="T194" i="16"/>
  <c r="T130" i="16"/>
  <c r="T48" i="16"/>
  <c r="T172" i="16"/>
  <c r="T96" i="16"/>
  <c r="T103" i="16"/>
  <c r="T198" i="16"/>
  <c r="T99" i="16"/>
  <c r="T189" i="16"/>
  <c r="T57" i="16"/>
  <c r="T157" i="16"/>
  <c r="T190" i="16"/>
  <c r="T61" i="16"/>
  <c r="T203" i="16"/>
  <c r="T134" i="16"/>
  <c r="T248" i="16"/>
  <c r="T159" i="16"/>
  <c r="T43" i="16"/>
  <c r="T149" i="16"/>
  <c r="T152" i="16"/>
  <c r="T42" i="16"/>
  <c r="T51" i="16"/>
  <c r="T121" i="16"/>
  <c r="T170" i="16"/>
  <c r="T177" i="16"/>
  <c r="T155" i="16"/>
  <c r="T145" i="16"/>
  <c r="T45" i="16"/>
  <c r="T188" i="16"/>
  <c r="T37" i="16"/>
  <c r="T251" i="16"/>
  <c r="T249" i="16"/>
  <c r="T250" i="16"/>
  <c r="T151" i="16"/>
  <c r="T246" i="16"/>
  <c r="T67" i="16"/>
  <c r="T114" i="16"/>
  <c r="T109" i="16"/>
  <c r="T245" i="16"/>
  <c r="T132" i="16"/>
  <c r="T108" i="16"/>
  <c r="T160" i="16"/>
  <c r="T110" i="16"/>
  <c r="T161" i="16"/>
  <c r="T32" i="16"/>
  <c r="T94" i="16"/>
  <c r="T93" i="16"/>
  <c r="T253" i="16"/>
  <c r="T254" i="16"/>
  <c r="T255" i="16"/>
  <c r="AC255" i="16" s="1"/>
  <c r="T256" i="16"/>
  <c r="AC256" i="16" s="1"/>
  <c r="T257" i="16"/>
  <c r="T258" i="16"/>
  <c r="AC258" i="16" s="1"/>
  <c r="T259" i="16"/>
  <c r="T260" i="16"/>
  <c r="AC260" i="16" s="1"/>
  <c r="T261" i="16"/>
  <c r="AC261" i="16" s="1"/>
  <c r="T262" i="16"/>
  <c r="T263" i="16"/>
  <c r="T264" i="16"/>
  <c r="T265" i="16"/>
  <c r="T266" i="16"/>
  <c r="T267" i="16"/>
  <c r="T268" i="16"/>
  <c r="T13" i="16"/>
  <c r="U17" i="7"/>
  <c r="V18" i="16"/>
  <c r="T18" i="16" s="1"/>
  <c r="L18" i="24"/>
  <c r="Z52" i="16" l="1"/>
  <c r="Z71" i="16"/>
  <c r="Z215" i="16"/>
  <c r="Z56" i="16"/>
  <c r="Z68" i="16"/>
  <c r="O248" i="16"/>
  <c r="AB248" i="16" s="1"/>
  <c r="AC248" i="16"/>
  <c r="O101" i="16"/>
  <c r="AB101" i="16" s="1"/>
  <c r="O214" i="16"/>
  <c r="AB214" i="16" s="1"/>
  <c r="AC214" i="16"/>
  <c r="O243" i="16"/>
  <c r="AB243" i="16" s="1"/>
  <c r="AC243" i="16"/>
  <c r="O143" i="16"/>
  <c r="AB143" i="16" s="1"/>
  <c r="AC143" i="16"/>
  <c r="O148" i="16"/>
  <c r="AB148" i="16" s="1"/>
  <c r="AC148" i="16"/>
  <c r="O97" i="16"/>
  <c r="AB97" i="16" s="1"/>
  <c r="AC97" i="16"/>
  <c r="D39" i="16"/>
  <c r="O18" i="16"/>
  <c r="AB18" i="16" s="1"/>
  <c r="AC18" i="16"/>
  <c r="O154" i="16"/>
  <c r="AB154" i="16" s="1"/>
  <c r="AC154" i="16"/>
  <c r="O26" i="16"/>
  <c r="AB26" i="16" s="1"/>
  <c r="AC26" i="16"/>
  <c r="O24" i="16"/>
  <c r="AB24" i="16" s="1"/>
  <c r="AC24" i="16"/>
  <c r="D44" i="16"/>
  <c r="M94" i="16"/>
  <c r="Z94" i="16" s="1"/>
  <c r="M16" i="16"/>
  <c r="Z16" i="16" s="1"/>
  <c r="M161" i="16"/>
  <c r="Z161" i="16" s="1"/>
  <c r="M108" i="16"/>
  <c r="Z108" i="16" s="1"/>
  <c r="M114" i="16"/>
  <c r="Z114" i="16" s="1"/>
  <c r="M250" i="16"/>
  <c r="Z250" i="16" s="1"/>
  <c r="M188" i="16"/>
  <c r="Z188" i="16" s="1"/>
  <c r="M177" i="16"/>
  <c r="Z177" i="16" s="1"/>
  <c r="M42" i="16"/>
  <c r="Z42" i="16" s="1"/>
  <c r="M159" i="16"/>
  <c r="Z159" i="16" s="1"/>
  <c r="M61" i="16"/>
  <c r="Z61" i="16" s="1"/>
  <c r="M189" i="16"/>
  <c r="Z189" i="16" s="1"/>
  <c r="M96" i="16"/>
  <c r="Z96" i="16" s="1"/>
  <c r="M194" i="16"/>
  <c r="Z194" i="16" s="1"/>
  <c r="M124" i="16"/>
  <c r="Z124" i="16" s="1"/>
  <c r="M140" i="16"/>
  <c r="Z140" i="16" s="1"/>
  <c r="M35" i="16"/>
  <c r="Z35" i="16" s="1"/>
  <c r="M239" i="16"/>
  <c r="Z239" i="16" s="1"/>
  <c r="M242" i="16"/>
  <c r="Z242" i="16" s="1"/>
  <c r="M102" i="16"/>
  <c r="Z102" i="16" s="1"/>
  <c r="M166" i="16"/>
  <c r="Z166" i="16" s="1"/>
  <c r="M139" i="16"/>
  <c r="Z139" i="16" s="1"/>
  <c r="M219" i="16"/>
  <c r="Z219" i="16" s="1"/>
  <c r="M137" i="16"/>
  <c r="Z137" i="16" s="1"/>
  <c r="M70" i="16"/>
  <c r="Z70" i="16" s="1"/>
  <c r="M234" i="16"/>
  <c r="Z234" i="16" s="1"/>
  <c r="M196" i="16"/>
  <c r="Z196" i="16" s="1"/>
  <c r="M233" i="16"/>
  <c r="Z233" i="16" s="1"/>
  <c r="M129" i="16"/>
  <c r="Z129" i="16" s="1"/>
  <c r="M183" i="16"/>
  <c r="Z183" i="16" s="1"/>
  <c r="M126" i="16"/>
  <c r="Z126" i="16" s="1"/>
  <c r="M213" i="16"/>
  <c r="Z213" i="16" s="1"/>
  <c r="M187" i="16"/>
  <c r="Z187" i="16" s="1"/>
  <c r="M204" i="16"/>
  <c r="Z204" i="16" s="1"/>
  <c r="M73" i="16"/>
  <c r="Z73" i="16" s="1"/>
  <c r="M173" i="16"/>
  <c r="Z173" i="16" s="1"/>
  <c r="M115" i="16"/>
  <c r="Z115" i="16" s="1"/>
  <c r="M69" i="16"/>
  <c r="Z69" i="16" s="1"/>
  <c r="M127" i="16"/>
  <c r="Z127" i="16" s="1"/>
  <c r="M164" i="16"/>
  <c r="Z164" i="16" s="1"/>
  <c r="M199" i="16"/>
  <c r="Z199" i="16" s="1"/>
  <c r="M191" i="16"/>
  <c r="Z191" i="16" s="1"/>
  <c r="M123" i="16"/>
  <c r="Z123" i="16" s="1"/>
  <c r="M86" i="16"/>
  <c r="Z86" i="16" s="1"/>
  <c r="M220" i="16"/>
  <c r="Z220" i="16" s="1"/>
  <c r="M231" i="16"/>
  <c r="Z231" i="16" s="1"/>
  <c r="M106" i="16"/>
  <c r="Z106" i="16" s="1"/>
  <c r="M30" i="16"/>
  <c r="Z30" i="16" s="1"/>
  <c r="M225" i="16"/>
  <c r="Z225" i="16" s="1"/>
  <c r="M218" i="16"/>
  <c r="Z218" i="16" s="1"/>
  <c r="M28" i="16"/>
  <c r="Z28" i="16" s="1"/>
  <c r="M20" i="16"/>
  <c r="Z20" i="16" s="1"/>
  <c r="M260" i="16"/>
  <c r="Z260" i="16" s="1"/>
  <c r="M110" i="16"/>
  <c r="Z110" i="16" s="1"/>
  <c r="M246" i="16"/>
  <c r="Z246" i="16" s="1"/>
  <c r="M145" i="16"/>
  <c r="Z145" i="16" s="1"/>
  <c r="M149" i="16"/>
  <c r="Z149" i="16" s="1"/>
  <c r="M157" i="16"/>
  <c r="Z157" i="16" s="1"/>
  <c r="M48" i="16"/>
  <c r="Z48" i="16" s="1"/>
  <c r="M158" i="16"/>
  <c r="Z158" i="16" s="1"/>
  <c r="M53" i="16"/>
  <c r="Z53" i="16" s="1"/>
  <c r="M49" i="16"/>
  <c r="Z49" i="16" s="1"/>
  <c r="M117" i="16"/>
  <c r="Z117" i="16" s="1"/>
  <c r="M142" i="16"/>
  <c r="Z142" i="16" s="1"/>
  <c r="M120" i="16"/>
  <c r="Z120" i="16" s="1"/>
  <c r="M146" i="16"/>
  <c r="Z146" i="16" s="1"/>
  <c r="M60" i="16"/>
  <c r="Z60" i="16" s="1"/>
  <c r="M222" i="16"/>
  <c r="Z222" i="16" s="1"/>
  <c r="M33" i="16"/>
  <c r="Z33" i="16" s="1"/>
  <c r="M185" i="16"/>
  <c r="Z185" i="16" s="1"/>
  <c r="M113" i="16"/>
  <c r="Z113" i="16" s="1"/>
  <c r="M226" i="16"/>
  <c r="Z226" i="16" s="1"/>
  <c r="M201" i="16"/>
  <c r="Z201" i="16" s="1"/>
  <c r="M125" i="16"/>
  <c r="Z125" i="16" s="1"/>
  <c r="M195" i="16"/>
  <c r="Z195" i="16" s="1"/>
  <c r="M104" i="16"/>
  <c r="Z104" i="16" s="1"/>
  <c r="M84" i="16"/>
  <c r="Z84" i="16" s="1"/>
  <c r="M160" i="16"/>
  <c r="Z160" i="16" s="1"/>
  <c r="M109" i="16"/>
  <c r="Z109" i="16" s="1"/>
  <c r="M151" i="16"/>
  <c r="Z151" i="16" s="1"/>
  <c r="M37" i="16"/>
  <c r="Z37" i="16" s="1"/>
  <c r="M155" i="16"/>
  <c r="Z155" i="16" s="1"/>
  <c r="M51" i="16"/>
  <c r="Z51" i="16" s="1"/>
  <c r="M43" i="16"/>
  <c r="Z43" i="16" s="1"/>
  <c r="M203" i="16"/>
  <c r="Z203" i="16" s="1"/>
  <c r="M57" i="16"/>
  <c r="Z57" i="16" s="1"/>
  <c r="M103" i="16"/>
  <c r="Z103" i="16" s="1"/>
  <c r="M130" i="16"/>
  <c r="Z130" i="16" s="1"/>
  <c r="M207" i="16"/>
  <c r="Z207" i="16" s="1"/>
  <c r="M156" i="16"/>
  <c r="Z156" i="16" s="1"/>
  <c r="M75" i="16"/>
  <c r="Z75" i="16" s="1"/>
  <c r="M141" i="16"/>
  <c r="Z141" i="16" s="1"/>
  <c r="M111" i="16"/>
  <c r="Z111" i="16" s="1"/>
  <c r="M55" i="16"/>
  <c r="Z55" i="16" s="1"/>
  <c r="M235" i="16"/>
  <c r="Z235" i="16" s="1"/>
  <c r="M197" i="16"/>
  <c r="Z197" i="16" s="1"/>
  <c r="M87" i="16"/>
  <c r="Z87" i="16" s="1"/>
  <c r="M38" i="16"/>
  <c r="Z38" i="16" s="1"/>
  <c r="M171" i="16"/>
  <c r="Z171" i="16" s="1"/>
  <c r="M119" i="16"/>
  <c r="Z119" i="16" s="1"/>
  <c r="M240" i="16"/>
  <c r="Z240" i="16" s="1"/>
  <c r="M100" i="16"/>
  <c r="Z100" i="16" s="1"/>
  <c r="M237" i="16"/>
  <c r="Z237" i="16" s="1"/>
  <c r="M217" i="16"/>
  <c r="Z217" i="16" s="1"/>
  <c r="M208" i="16"/>
  <c r="Z208" i="16" s="1"/>
  <c r="M221" i="16"/>
  <c r="Z221" i="16" s="1"/>
  <c r="M210" i="16"/>
  <c r="Z210" i="16" s="1"/>
  <c r="M209" i="16"/>
  <c r="Z209" i="16" s="1"/>
  <c r="M211" i="16"/>
  <c r="Z211" i="16" s="1"/>
  <c r="M162" i="16"/>
  <c r="Z162" i="16" s="1"/>
  <c r="M182" i="16"/>
  <c r="Z182" i="16" s="1"/>
  <c r="M202" i="16"/>
  <c r="Z202" i="16" s="1"/>
  <c r="M227" i="16"/>
  <c r="Z227" i="16" s="1"/>
  <c r="M131" i="16"/>
  <c r="Z131" i="16" s="1"/>
  <c r="M223" i="16"/>
  <c r="Z223" i="16" s="1"/>
  <c r="M122" i="16"/>
  <c r="Z122" i="16" s="1"/>
  <c r="M90" i="16"/>
  <c r="Z90" i="16" s="1"/>
  <c r="M153" i="16"/>
  <c r="Z153" i="16" s="1"/>
  <c r="M36" i="16"/>
  <c r="Z36" i="16" s="1"/>
  <c r="M193" i="16"/>
  <c r="Z193" i="16" s="1"/>
  <c r="M31" i="16"/>
  <c r="Z31" i="16" s="1"/>
  <c r="M224" i="16"/>
  <c r="Z224" i="16" s="1"/>
  <c r="M116" i="16"/>
  <c r="Z116" i="16" s="1"/>
  <c r="M29" i="16"/>
  <c r="Z29" i="16" s="1"/>
  <c r="M25" i="16"/>
  <c r="Z25" i="16" s="1"/>
  <c r="M21" i="16"/>
  <c r="Z21" i="16" s="1"/>
  <c r="M32" i="16"/>
  <c r="Z32" i="16" s="1"/>
  <c r="M245" i="16"/>
  <c r="Z245" i="16" s="1"/>
  <c r="M251" i="16"/>
  <c r="Z251" i="16" s="1"/>
  <c r="M121" i="16"/>
  <c r="Z121" i="16" s="1"/>
  <c r="M134" i="16"/>
  <c r="Z134" i="16" s="1"/>
  <c r="M198" i="16"/>
  <c r="Z198" i="16" s="1"/>
  <c r="M64" i="16"/>
  <c r="Z64" i="16" s="1"/>
  <c r="M144" i="16"/>
  <c r="Z144" i="16" s="1"/>
  <c r="M181" i="16"/>
  <c r="Z181" i="16" s="1"/>
  <c r="M95" i="16"/>
  <c r="Z95" i="16" s="1"/>
  <c r="M133" i="16"/>
  <c r="Z133" i="16" s="1"/>
  <c r="M175" i="16"/>
  <c r="Z175" i="16" s="1"/>
  <c r="M98" i="16"/>
  <c r="Z98" i="16" s="1"/>
  <c r="M168" i="16"/>
  <c r="Z168" i="16" s="1"/>
  <c r="M216" i="16"/>
  <c r="Z216" i="16" s="1"/>
  <c r="M163" i="16"/>
  <c r="Z163" i="16" s="1"/>
  <c r="M212" i="16"/>
  <c r="Z212" i="16" s="1"/>
  <c r="M34" i="16"/>
  <c r="Z34" i="16" s="1"/>
  <c r="M200" i="16"/>
  <c r="Z200" i="16" s="1"/>
  <c r="M59" i="16"/>
  <c r="Z59" i="16" s="1"/>
  <c r="M229" i="16"/>
  <c r="Z229" i="16" s="1"/>
  <c r="M89" i="16"/>
  <c r="Z89" i="16" s="1"/>
  <c r="M178" i="16"/>
  <c r="Z178" i="16" s="1"/>
  <c r="M184" i="16"/>
  <c r="Z184" i="16" s="1"/>
  <c r="M232" i="16"/>
  <c r="Z232" i="16" s="1"/>
  <c r="M241" i="16"/>
  <c r="Z241" i="16" s="1"/>
  <c r="M26" i="16"/>
  <c r="Z26" i="16" s="1"/>
  <c r="M22" i="16"/>
  <c r="Z22" i="16" s="1"/>
  <c r="M259" i="16"/>
  <c r="Z259" i="16" s="1"/>
  <c r="M93" i="16"/>
  <c r="Z93" i="16" s="1"/>
  <c r="M132" i="16"/>
  <c r="Z132" i="16" s="1"/>
  <c r="M67" i="16"/>
  <c r="Z67" i="16" s="1"/>
  <c r="M249" i="16"/>
  <c r="Z249" i="16" s="1"/>
  <c r="M45" i="16"/>
  <c r="Z45" i="16" s="1"/>
  <c r="M170" i="16"/>
  <c r="Z170" i="16" s="1"/>
  <c r="M152" i="16"/>
  <c r="Z152" i="16" s="1"/>
  <c r="M248" i="16"/>
  <c r="Z248" i="16" s="1"/>
  <c r="M190" i="16"/>
  <c r="Z190" i="16" s="1"/>
  <c r="M99" i="16"/>
  <c r="Z99" i="16" s="1"/>
  <c r="M172" i="16"/>
  <c r="Z172" i="16" s="1"/>
  <c r="M66" i="16"/>
  <c r="Z66" i="16" s="1"/>
  <c r="M174" i="16"/>
  <c r="Z174" i="16" s="1"/>
  <c r="M58" i="16"/>
  <c r="Z58" i="16" s="1"/>
  <c r="M107" i="16"/>
  <c r="Z107" i="16" s="1"/>
  <c r="M238" i="16"/>
  <c r="Z238" i="16" s="1"/>
  <c r="M41" i="16"/>
  <c r="Z41" i="16" s="1"/>
  <c r="M244" i="16"/>
  <c r="Z244" i="16" s="1"/>
  <c r="M147" i="16"/>
  <c r="Z147" i="16" s="1"/>
  <c r="M138" i="16"/>
  <c r="Z138" i="16" s="1"/>
  <c r="M118" i="16"/>
  <c r="Z118" i="16" s="1"/>
  <c r="M62" i="16"/>
  <c r="Z62" i="16" s="1"/>
  <c r="M91" i="16"/>
  <c r="Z91" i="16" s="1"/>
  <c r="M230" i="16"/>
  <c r="Z230" i="16" s="1"/>
  <c r="M247" i="16"/>
  <c r="Z247" i="16" s="1"/>
  <c r="M105" i="16"/>
  <c r="Z105" i="16" s="1"/>
  <c r="M167" i="16"/>
  <c r="Z167" i="16" s="1"/>
  <c r="M88" i="16"/>
  <c r="Z88" i="16" s="1"/>
  <c r="M101" i="16"/>
  <c r="M214" i="16"/>
  <c r="Z214" i="16" s="1"/>
  <c r="M143" i="16"/>
  <c r="Z143" i="16" s="1"/>
  <c r="M205" i="16"/>
  <c r="Z205" i="16" s="1"/>
  <c r="M206" i="16"/>
  <c r="Z206" i="16" s="1"/>
  <c r="M72" i="16"/>
  <c r="Z72" i="16" s="1"/>
  <c r="M169" i="16"/>
  <c r="Z169" i="16" s="1"/>
  <c r="M150" i="16"/>
  <c r="Z150" i="16" s="1"/>
  <c r="M135" i="16"/>
  <c r="Z135" i="16" s="1"/>
  <c r="M128" i="16"/>
  <c r="Z128" i="16" s="1"/>
  <c r="M165" i="16"/>
  <c r="Z165" i="16" s="1"/>
  <c r="M92" i="16"/>
  <c r="Z92" i="16" s="1"/>
  <c r="M136" i="16"/>
  <c r="Z136" i="16" s="1"/>
  <c r="M83" i="16"/>
  <c r="Z83" i="16" s="1"/>
  <c r="M236" i="16"/>
  <c r="Z236" i="16" s="1"/>
  <c r="M176" i="16"/>
  <c r="Z176" i="16" s="1"/>
  <c r="M97" i="16"/>
  <c r="Z97" i="16" s="1"/>
  <c r="M180" i="16"/>
  <c r="Z180" i="16" s="1"/>
  <c r="M179" i="16"/>
  <c r="Z179" i="16" s="1"/>
  <c r="M85" i="16"/>
  <c r="Z85" i="16" s="1"/>
  <c r="M228" i="16"/>
  <c r="Z228" i="16" s="1"/>
  <c r="M27" i="16"/>
  <c r="Z27" i="16" s="1"/>
  <c r="M23" i="16"/>
  <c r="Z23" i="16" s="1"/>
  <c r="M19" i="16"/>
  <c r="Z19" i="16" s="1"/>
  <c r="M14" i="16"/>
  <c r="Z14" i="16" s="1"/>
  <c r="M15" i="16"/>
  <c r="Z15" i="16" s="1"/>
  <c r="M262" i="16"/>
  <c r="Z262" i="16" s="1"/>
  <c r="M17" i="16"/>
  <c r="Z17" i="16" s="1"/>
  <c r="W12" i="16"/>
  <c r="T252" i="16"/>
  <c r="M266" i="16"/>
  <c r="M254" i="16"/>
  <c r="Z254" i="16" s="1"/>
  <c r="M258" i="16"/>
  <c r="Z258" i="16" s="1"/>
  <c r="M18" i="16"/>
  <c r="Z18" i="16" s="1"/>
  <c r="T12" i="16"/>
  <c r="X11" i="16"/>
  <c r="X10" i="16" s="1"/>
  <c r="M255" i="16"/>
  <c r="Z255" i="16" s="1"/>
  <c r="V12" i="16"/>
  <c r="W252" i="16"/>
  <c r="M13" i="16"/>
  <c r="Z13" i="16" s="1"/>
  <c r="M265" i="16"/>
  <c r="M261" i="16"/>
  <c r="Z261" i="16" s="1"/>
  <c r="M257" i="16"/>
  <c r="Z257" i="16" s="1"/>
  <c r="M253" i="16"/>
  <c r="Z253" i="16" s="1"/>
  <c r="M256" i="16"/>
  <c r="Z256" i="16" s="1"/>
  <c r="V5" i="24"/>
  <c r="O12" i="16" l="1"/>
  <c r="AB12" i="16" s="1"/>
  <c r="M148" i="16"/>
  <c r="Z148" i="16" s="1"/>
  <c r="M243" i="16"/>
  <c r="Z243" i="16" s="1"/>
  <c r="M24" i="16"/>
  <c r="Z24" i="16" s="1"/>
  <c r="M154" i="16"/>
  <c r="Z154" i="16" s="1"/>
  <c r="AA44" i="16"/>
  <c r="C44" i="16"/>
  <c r="Z44" i="16" s="1"/>
  <c r="AA39" i="16"/>
  <c r="C39" i="16"/>
  <c r="D12" i="16"/>
  <c r="AA12" i="16" s="1"/>
  <c r="L101" i="16"/>
  <c r="L99" i="24"/>
  <c r="C16" i="26"/>
  <c r="C4" i="26" s="1"/>
  <c r="D16" i="26"/>
  <c r="D4" i="26" s="1"/>
  <c r="E16" i="26"/>
  <c r="E4" i="26" s="1"/>
  <c r="E3" i="25" s="1"/>
  <c r="D5" i="25"/>
  <c r="E5" i="25"/>
  <c r="C5" i="25"/>
  <c r="D3" i="25" l="1"/>
  <c r="H3" i="25" s="1"/>
  <c r="M12" i="16"/>
  <c r="Z39" i="16"/>
  <c r="J101" i="16"/>
  <c r="AC101" i="16" s="1"/>
  <c r="L12" i="16"/>
  <c r="C3" i="25"/>
  <c r="J271" i="24"/>
  <c r="C271" i="24"/>
  <c r="J270" i="24"/>
  <c r="C270" i="24"/>
  <c r="J269" i="24"/>
  <c r="C269" i="24"/>
  <c r="J268" i="24"/>
  <c r="C268" i="24"/>
  <c r="J267" i="24"/>
  <c r="C267" i="24"/>
  <c r="J266" i="24"/>
  <c r="C266" i="24"/>
  <c r="J265" i="24"/>
  <c r="C265" i="24"/>
  <c r="J264" i="24"/>
  <c r="C264" i="24"/>
  <c r="J263" i="24"/>
  <c r="C263" i="24"/>
  <c r="J262" i="24"/>
  <c r="C262" i="24"/>
  <c r="J261" i="24"/>
  <c r="C261" i="24"/>
  <c r="J260" i="24"/>
  <c r="C260" i="24"/>
  <c r="J259" i="24"/>
  <c r="C259" i="24"/>
  <c r="J258" i="24"/>
  <c r="C258" i="24"/>
  <c r="J257" i="24"/>
  <c r="C257" i="24"/>
  <c r="C255" i="24" s="1"/>
  <c r="J256" i="24"/>
  <c r="C256" i="24"/>
  <c r="W255" i="24"/>
  <c r="V255" i="24"/>
  <c r="U255" i="24"/>
  <c r="T255" i="24"/>
  <c r="S255" i="24"/>
  <c r="R255" i="24"/>
  <c r="O255" i="24"/>
  <c r="N255" i="24"/>
  <c r="M255" i="24"/>
  <c r="L255" i="24"/>
  <c r="K255" i="24"/>
  <c r="J255" i="24" s="1"/>
  <c r="I255" i="24"/>
  <c r="H255" i="24"/>
  <c r="E255" i="24"/>
  <c r="D255" i="24"/>
  <c r="J254" i="24"/>
  <c r="C254" i="24"/>
  <c r="J253" i="24"/>
  <c r="C253" i="24"/>
  <c r="J252" i="24"/>
  <c r="C252" i="24"/>
  <c r="J251" i="24"/>
  <c r="C251" i="24"/>
  <c r="J250" i="24"/>
  <c r="C250" i="24"/>
  <c r="O249" i="24"/>
  <c r="J249" i="24"/>
  <c r="E249" i="24"/>
  <c r="C249" i="24"/>
  <c r="J248" i="24"/>
  <c r="C248" i="24"/>
  <c r="J247" i="24"/>
  <c r="C247" i="24"/>
  <c r="J246" i="24"/>
  <c r="C246" i="24"/>
  <c r="J245" i="24"/>
  <c r="C245" i="24"/>
  <c r="J244" i="24"/>
  <c r="C244" i="24"/>
  <c r="J243" i="24"/>
  <c r="C243" i="24"/>
  <c r="J242" i="24"/>
  <c r="C242" i="24"/>
  <c r="J241" i="24"/>
  <c r="C241" i="24"/>
  <c r="J240" i="24"/>
  <c r="C240" i="24"/>
  <c r="J239" i="24"/>
  <c r="C239" i="24"/>
  <c r="J238" i="24"/>
  <c r="C238" i="24"/>
  <c r="J237" i="24"/>
  <c r="C237" i="24"/>
  <c r="J236" i="24"/>
  <c r="C236" i="24"/>
  <c r="J235" i="24"/>
  <c r="C235" i="24"/>
  <c r="J234" i="24"/>
  <c r="C234" i="24"/>
  <c r="J233" i="24"/>
  <c r="C233" i="24"/>
  <c r="J232" i="24"/>
  <c r="C232" i="24"/>
  <c r="J231" i="24"/>
  <c r="C231" i="24"/>
  <c r="J230" i="24"/>
  <c r="C230" i="24"/>
  <c r="J229" i="24"/>
  <c r="C229" i="24"/>
  <c r="J228" i="24"/>
  <c r="C228" i="24"/>
  <c r="J227" i="24"/>
  <c r="C227" i="24"/>
  <c r="J226" i="24"/>
  <c r="C226" i="24"/>
  <c r="J225" i="24"/>
  <c r="C225" i="24"/>
  <c r="J224" i="24"/>
  <c r="C224" i="24"/>
  <c r="J223" i="24"/>
  <c r="C223" i="24"/>
  <c r="J222" i="24"/>
  <c r="C222" i="24"/>
  <c r="J221" i="24"/>
  <c r="C221" i="24"/>
  <c r="J220" i="24"/>
  <c r="C220" i="24"/>
  <c r="J219" i="24"/>
  <c r="C219" i="24"/>
  <c r="J218" i="24"/>
  <c r="C218" i="24"/>
  <c r="J217" i="24"/>
  <c r="C217" i="24"/>
  <c r="J216" i="24"/>
  <c r="C216" i="24"/>
  <c r="J215" i="24"/>
  <c r="C215" i="24"/>
  <c r="J214" i="24"/>
  <c r="C214" i="24"/>
  <c r="J213" i="24"/>
  <c r="C213" i="24"/>
  <c r="J212" i="24"/>
  <c r="C212" i="24"/>
  <c r="J211" i="24"/>
  <c r="C211" i="24"/>
  <c r="J210" i="24"/>
  <c r="C210" i="24"/>
  <c r="J209" i="24"/>
  <c r="C209" i="24"/>
  <c r="J208" i="24"/>
  <c r="C208" i="24"/>
  <c r="J207" i="24"/>
  <c r="C207" i="24"/>
  <c r="J206" i="24"/>
  <c r="C206" i="24"/>
  <c r="J205" i="24"/>
  <c r="C205" i="24"/>
  <c r="J204" i="24"/>
  <c r="C204" i="24"/>
  <c r="J203" i="24"/>
  <c r="C203" i="24"/>
  <c r="J202" i="24"/>
  <c r="C202" i="24"/>
  <c r="J201" i="24"/>
  <c r="C201" i="24"/>
  <c r="J200" i="24"/>
  <c r="C200" i="24"/>
  <c r="J199" i="24"/>
  <c r="C199" i="24"/>
  <c r="J198" i="24"/>
  <c r="C198" i="24"/>
  <c r="J197" i="24"/>
  <c r="C197" i="24"/>
  <c r="J196" i="24"/>
  <c r="C196" i="24"/>
  <c r="J195" i="24"/>
  <c r="C195" i="24"/>
  <c r="J194" i="24"/>
  <c r="C194" i="24"/>
  <c r="J193" i="24"/>
  <c r="C193" i="24"/>
  <c r="J192" i="24"/>
  <c r="C192" i="24"/>
  <c r="J191" i="24"/>
  <c r="C191" i="24"/>
  <c r="J190" i="24"/>
  <c r="C190" i="24"/>
  <c r="J189" i="24"/>
  <c r="C189" i="24"/>
  <c r="J188" i="24"/>
  <c r="C188" i="24"/>
  <c r="J187" i="24"/>
  <c r="C187" i="24"/>
  <c r="J186" i="24"/>
  <c r="C186" i="24"/>
  <c r="J185" i="24"/>
  <c r="C185" i="24"/>
  <c r="J184" i="24"/>
  <c r="C184" i="24"/>
  <c r="J183" i="24"/>
  <c r="C183" i="24"/>
  <c r="J182" i="24"/>
  <c r="C182" i="24"/>
  <c r="J181" i="24"/>
  <c r="C181" i="24"/>
  <c r="J180" i="24"/>
  <c r="C180" i="24"/>
  <c r="J179" i="24"/>
  <c r="C179" i="24"/>
  <c r="J178" i="24"/>
  <c r="C178" i="24"/>
  <c r="J177" i="24"/>
  <c r="C177" i="24"/>
  <c r="J176" i="24"/>
  <c r="C176" i="24"/>
  <c r="J175" i="24"/>
  <c r="C175" i="24"/>
  <c r="J174" i="24"/>
  <c r="C174" i="24"/>
  <c r="J173" i="24"/>
  <c r="C173" i="24"/>
  <c r="J172" i="24"/>
  <c r="C172" i="24"/>
  <c r="J171" i="24"/>
  <c r="C171" i="24"/>
  <c r="J170" i="24"/>
  <c r="C170" i="24"/>
  <c r="J169" i="24"/>
  <c r="C169" i="24"/>
  <c r="J168" i="24"/>
  <c r="C168" i="24"/>
  <c r="J167" i="24"/>
  <c r="C167" i="24"/>
  <c r="J166" i="24"/>
  <c r="C166" i="24"/>
  <c r="J165" i="24"/>
  <c r="C165" i="24"/>
  <c r="J164" i="24"/>
  <c r="C164" i="24"/>
  <c r="J163" i="24"/>
  <c r="C163" i="24"/>
  <c r="J162" i="24"/>
  <c r="C162" i="24"/>
  <c r="J161" i="24"/>
  <c r="C161" i="24"/>
  <c r="J160" i="24"/>
  <c r="C160" i="24"/>
  <c r="J159" i="24"/>
  <c r="C159" i="24"/>
  <c r="J158" i="24"/>
  <c r="C158" i="24"/>
  <c r="J157" i="24"/>
  <c r="C157" i="24"/>
  <c r="J156" i="24"/>
  <c r="C156" i="24"/>
  <c r="J155" i="24"/>
  <c r="C155" i="24"/>
  <c r="J154" i="24"/>
  <c r="C154" i="24"/>
  <c r="J153" i="24"/>
  <c r="C153" i="24"/>
  <c r="J152" i="24"/>
  <c r="C152" i="24"/>
  <c r="J151" i="24"/>
  <c r="C151" i="24"/>
  <c r="J150" i="24"/>
  <c r="C150" i="24"/>
  <c r="J149" i="24"/>
  <c r="C149" i="24"/>
  <c r="J148" i="24"/>
  <c r="C148" i="24"/>
  <c r="J147" i="24"/>
  <c r="C147" i="24"/>
  <c r="J146" i="24"/>
  <c r="C146" i="24"/>
  <c r="J145" i="24"/>
  <c r="C145" i="24"/>
  <c r="J144" i="24"/>
  <c r="C144" i="24"/>
  <c r="O143" i="24"/>
  <c r="J143" i="24"/>
  <c r="E143" i="24"/>
  <c r="C143" i="24" s="1"/>
  <c r="J142" i="24"/>
  <c r="C142" i="24"/>
  <c r="J141" i="24"/>
  <c r="C141" i="24"/>
  <c r="J140" i="24"/>
  <c r="C140" i="24"/>
  <c r="J139" i="24"/>
  <c r="C139" i="24"/>
  <c r="J138" i="24"/>
  <c r="C138" i="24"/>
  <c r="J137" i="24"/>
  <c r="C137" i="24"/>
  <c r="J136" i="24"/>
  <c r="C136" i="24"/>
  <c r="J135" i="24"/>
  <c r="C135" i="24"/>
  <c r="J134" i="24"/>
  <c r="C134" i="24"/>
  <c r="J133" i="24"/>
  <c r="C133" i="24"/>
  <c r="J132" i="24"/>
  <c r="C132" i="24"/>
  <c r="J131" i="24"/>
  <c r="C131" i="24"/>
  <c r="J130" i="24"/>
  <c r="C130" i="24"/>
  <c r="J129" i="24"/>
  <c r="C129" i="24"/>
  <c r="J128" i="24"/>
  <c r="C128" i="24"/>
  <c r="J127" i="24"/>
  <c r="C127" i="24"/>
  <c r="J126" i="24"/>
  <c r="C126" i="24"/>
  <c r="J125" i="24"/>
  <c r="C125" i="24"/>
  <c r="J124" i="24"/>
  <c r="C124" i="24"/>
  <c r="J123" i="24"/>
  <c r="C123" i="24"/>
  <c r="J122" i="24"/>
  <c r="C122" i="24"/>
  <c r="J121" i="24"/>
  <c r="C121" i="24"/>
  <c r="J120" i="24"/>
  <c r="C120" i="24"/>
  <c r="J119" i="24"/>
  <c r="C119" i="24"/>
  <c r="J118" i="24"/>
  <c r="C118" i="24"/>
  <c r="J117" i="24"/>
  <c r="C117" i="24"/>
  <c r="J116" i="24"/>
  <c r="C116" i="24"/>
  <c r="J115" i="24"/>
  <c r="C115" i="24"/>
  <c r="J114" i="24"/>
  <c r="C114" i="24"/>
  <c r="J113" i="24"/>
  <c r="C113" i="24"/>
  <c r="J112" i="24"/>
  <c r="C112" i="24"/>
  <c r="J111" i="24"/>
  <c r="C111" i="24"/>
  <c r="J110" i="24"/>
  <c r="C110" i="24"/>
  <c r="J109" i="24"/>
  <c r="C109" i="24"/>
  <c r="J108" i="24"/>
  <c r="C108" i="24"/>
  <c r="J107" i="24"/>
  <c r="C107" i="24"/>
  <c r="J106" i="24"/>
  <c r="C106" i="24"/>
  <c r="J105" i="24"/>
  <c r="C105" i="24"/>
  <c r="J104" i="24"/>
  <c r="C104" i="24"/>
  <c r="J103" i="24"/>
  <c r="C103" i="24"/>
  <c r="J102" i="24"/>
  <c r="C102" i="24"/>
  <c r="J101" i="24"/>
  <c r="C101" i="24"/>
  <c r="J100" i="24"/>
  <c r="C100" i="24"/>
  <c r="J99" i="24"/>
  <c r="C99" i="24"/>
  <c r="J98" i="24"/>
  <c r="C98" i="24"/>
  <c r="J97" i="24"/>
  <c r="C97" i="24"/>
  <c r="J96" i="24"/>
  <c r="C96" i="24"/>
  <c r="J95" i="24"/>
  <c r="C95" i="24"/>
  <c r="J94" i="24"/>
  <c r="C94" i="24"/>
  <c r="J93" i="24"/>
  <c r="C93" i="24"/>
  <c r="N92" i="24"/>
  <c r="J92" i="24"/>
  <c r="C92" i="24"/>
  <c r="J91" i="24"/>
  <c r="C91" i="24"/>
  <c r="J90" i="24"/>
  <c r="C90" i="24"/>
  <c r="J89" i="24"/>
  <c r="C89" i="24"/>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O28" i="24"/>
  <c r="J28" i="24"/>
  <c r="E28" i="24"/>
  <c r="C28" i="24" s="1"/>
  <c r="J27" i="24"/>
  <c r="C27" i="24"/>
  <c r="J26" i="24"/>
  <c r="C26" i="24"/>
  <c r="J25" i="24"/>
  <c r="C25" i="24"/>
  <c r="J24" i="24"/>
  <c r="C24" i="24"/>
  <c r="O23" i="24"/>
  <c r="J23" i="24"/>
  <c r="E23" i="24"/>
  <c r="C23" i="24" s="1"/>
  <c r="J22" i="24"/>
  <c r="C22" i="24"/>
  <c r="J21" i="24"/>
  <c r="C21" i="24"/>
  <c r="J20" i="24"/>
  <c r="C20" i="24"/>
  <c r="J19" i="24"/>
  <c r="C19" i="24"/>
  <c r="O18" i="24"/>
  <c r="J18" i="24"/>
  <c r="E18" i="24"/>
  <c r="C18" i="24" s="1"/>
  <c r="J17" i="24"/>
  <c r="C17" i="24"/>
  <c r="J16" i="24"/>
  <c r="C16" i="24"/>
  <c r="J15" i="24"/>
  <c r="C15" i="24"/>
  <c r="J14" i="24"/>
  <c r="C14" i="24"/>
  <c r="J13" i="24"/>
  <c r="J12" i="24" s="1"/>
  <c r="J11" i="24" s="1"/>
  <c r="J10" i="24" s="1"/>
  <c r="C13" i="24"/>
  <c r="W12" i="24"/>
  <c r="W11" i="24" s="1"/>
  <c r="W10" i="24" s="1"/>
  <c r="V12" i="24"/>
  <c r="V11" i="24" s="1"/>
  <c r="V10" i="24" s="1"/>
  <c r="W5" i="24" s="1"/>
  <c r="U12" i="24"/>
  <c r="U11" i="24" s="1"/>
  <c r="U10" i="24" s="1"/>
  <c r="T12" i="24"/>
  <c r="S12" i="24"/>
  <c r="S11" i="24" s="1"/>
  <c r="R12" i="24"/>
  <c r="R11" i="24" s="1"/>
  <c r="O12" i="24"/>
  <c r="O11" i="24" s="1"/>
  <c r="O10" i="24" s="1"/>
  <c r="N12" i="24"/>
  <c r="M12" i="24"/>
  <c r="M11" i="24" s="1"/>
  <c r="M10" i="24" s="1"/>
  <c r="L12" i="24"/>
  <c r="L11" i="24" s="1"/>
  <c r="L10" i="24" s="1"/>
  <c r="K12" i="24"/>
  <c r="K11" i="24" s="1"/>
  <c r="K10" i="24" s="1"/>
  <c r="I12" i="24"/>
  <c r="I11" i="24" s="1"/>
  <c r="H12" i="24"/>
  <c r="H11" i="24" s="1"/>
  <c r="H10" i="24" s="1"/>
  <c r="D12" i="24"/>
  <c r="D11" i="24" s="1"/>
  <c r="D10" i="24" s="1"/>
  <c r="T11" i="24"/>
  <c r="T10" i="24" s="1"/>
  <c r="N11" i="24"/>
  <c r="N10" i="24" s="1"/>
  <c r="D2" i="24"/>
  <c r="E1" i="24" s="1"/>
  <c r="D5" i="24" l="1"/>
  <c r="C101" i="16"/>
  <c r="C12" i="16" s="1"/>
  <c r="J12" i="16"/>
  <c r="AC12" i="16" s="1"/>
  <c r="O5" i="24"/>
  <c r="E5" i="24"/>
  <c r="N5" i="24"/>
  <c r="C12" i="24"/>
  <c r="C11" i="24" s="1"/>
  <c r="C10" i="24" s="1"/>
  <c r="E12" i="24"/>
  <c r="E11" i="24" s="1"/>
  <c r="E10" i="24" s="1"/>
  <c r="Z12" i="16" l="1"/>
  <c r="Z101" i="16"/>
  <c r="R5" i="24"/>
  <c r="Y18" i="7" l="1"/>
  <c r="R40" i="7"/>
  <c r="R39" i="7"/>
  <c r="U38" i="7"/>
  <c r="R38" i="7"/>
  <c r="U34" i="7"/>
  <c r="R34" i="7"/>
  <c r="U32" i="7"/>
  <c r="V13" i="7"/>
  <c r="U31" i="7"/>
  <c r="R31" i="7"/>
  <c r="N40" i="7"/>
  <c r="K40" i="7"/>
  <c r="K39" i="7"/>
  <c r="M39" i="7"/>
  <c r="K38" i="7"/>
  <c r="N39" i="7"/>
  <c r="N38" i="7"/>
  <c r="M38" i="7" s="1"/>
  <c r="K37" i="7"/>
  <c r="K36" i="7"/>
  <c r="N35" i="7"/>
  <c r="K35" i="7"/>
  <c r="N34" i="7"/>
  <c r="K34" i="7"/>
  <c r="N32" i="7"/>
  <c r="K31" i="7"/>
  <c r="G21" i="7"/>
  <c r="G22" i="7"/>
  <c r="G23" i="7"/>
  <c r="G24" i="7"/>
  <c r="T17" i="7"/>
  <c r="T18" i="7"/>
  <c r="T19" i="7"/>
  <c r="T20" i="7"/>
  <c r="T21" i="7"/>
  <c r="T22" i="7"/>
  <c r="T23" i="7"/>
  <c r="H23" i="7" s="1"/>
  <c r="T24" i="7"/>
  <c r="M18" i="7"/>
  <c r="H18" i="7" s="1"/>
  <c r="M19" i="7"/>
  <c r="M20" i="7"/>
  <c r="H20" i="7" s="1"/>
  <c r="Y20" i="7" s="1"/>
  <c r="M21" i="7"/>
  <c r="H21" i="7" s="1"/>
  <c r="Y21" i="7" s="1"/>
  <c r="M22" i="7"/>
  <c r="H22" i="7" s="1"/>
  <c r="Y22" i="7" s="1"/>
  <c r="M23" i="7"/>
  <c r="M24" i="7"/>
  <c r="H24" i="7" s="1"/>
  <c r="M25" i="7"/>
  <c r="M26" i="7"/>
  <c r="M27" i="7"/>
  <c r="F24" i="7" l="1"/>
  <c r="Y24" i="7"/>
  <c r="F23" i="7"/>
  <c r="Y23" i="7"/>
  <c r="F22" i="7"/>
  <c r="H19" i="7"/>
  <c r="F21" i="7"/>
  <c r="Y19" i="7"/>
  <c r="J268" i="16" l="1"/>
  <c r="C268" i="16" s="1"/>
  <c r="N10" i="6" l="1"/>
  <c r="K10" i="6"/>
  <c r="J10" i="6"/>
  <c r="M12" i="6" l="1"/>
  <c r="M13" i="6"/>
  <c r="M14" i="6"/>
  <c r="M15" i="6"/>
  <c r="M16" i="6"/>
  <c r="M17" i="6"/>
  <c r="M18" i="6"/>
  <c r="M19" i="6"/>
  <c r="M20" i="6"/>
  <c r="M11" i="6"/>
  <c r="L10" i="6" l="1"/>
  <c r="K252" i="16"/>
  <c r="D252" i="16"/>
  <c r="D11" i="16" l="1"/>
  <c r="D10" i="16" s="1"/>
  <c r="K11" i="16"/>
  <c r="K10" i="16" s="1"/>
  <c r="E30" i="7" l="1"/>
  <c r="E13" i="7"/>
  <c r="D31" i="7"/>
  <c r="D34" i="7"/>
  <c r="D32" i="7"/>
  <c r="D33" i="7"/>
  <c r="D37" i="7"/>
  <c r="D38" i="7"/>
  <c r="D36" i="7"/>
  <c r="D35" i="7"/>
  <c r="D39" i="7"/>
  <c r="D40" i="7"/>
  <c r="C21" i="7" l="1"/>
  <c r="W21" i="7" s="1"/>
  <c r="C22" i="7"/>
  <c r="W22" i="7" s="1"/>
  <c r="C23" i="7"/>
  <c r="W23" i="7" s="1"/>
  <c r="C24" i="7"/>
  <c r="W24" i="7" s="1"/>
  <c r="C25" i="7"/>
  <c r="C26" i="7"/>
  <c r="C34" i="7" l="1"/>
  <c r="H14" i="6" s="1"/>
  <c r="G14" i="6" s="1"/>
  <c r="E53" i="8"/>
  <c r="D45" i="4" l="1"/>
  <c r="D40" i="4"/>
  <c r="M109" i="3"/>
  <c r="N109" i="3"/>
  <c r="O109" i="3"/>
  <c r="M110" i="3"/>
  <c r="N110" i="3"/>
  <c r="O110" i="3"/>
  <c r="J110" i="3"/>
  <c r="G110" i="3"/>
  <c r="F109" i="3"/>
  <c r="D39" i="4"/>
  <c r="R266" i="24" l="1"/>
  <c r="R10" i="24" s="1"/>
  <c r="R263" i="16"/>
  <c r="M263" i="16" s="1"/>
  <c r="S267" i="24"/>
  <c r="S264" i="16"/>
  <c r="M264" i="16" s="1"/>
  <c r="S271" i="24"/>
  <c r="M268" i="16"/>
  <c r="F110" i="3"/>
  <c r="D38" i="4"/>
  <c r="D36" i="4"/>
  <c r="D37" i="4"/>
  <c r="D35" i="4"/>
  <c r="D33" i="4"/>
  <c r="D34" i="4"/>
  <c r="D32" i="4"/>
  <c r="D31" i="4"/>
  <c r="D30" i="4"/>
  <c r="D29" i="4"/>
  <c r="D25" i="4" l="1"/>
  <c r="D24" i="4"/>
  <c r="D23" i="4"/>
  <c r="D22" i="4"/>
  <c r="D21" i="4"/>
  <c r="D20" i="4"/>
  <c r="D19" i="4"/>
  <c r="D18" i="4"/>
  <c r="D17" i="4"/>
  <c r="D16" i="4"/>
  <c r="D15" i="4"/>
  <c r="E11" i="8"/>
  <c r="C27" i="3" l="1"/>
  <c r="E23" i="3"/>
  <c r="E21" i="3"/>
  <c r="C13" i="1"/>
  <c r="D44" i="3"/>
  <c r="E64" i="3"/>
  <c r="J75" i="3"/>
  <c r="E75" i="3"/>
  <c r="D75" i="3"/>
  <c r="F131" i="14"/>
  <c r="C131" i="14"/>
  <c r="F130" i="14"/>
  <c r="C130" i="14"/>
  <c r="F129" i="14"/>
  <c r="C129" i="14"/>
  <c r="F128" i="14"/>
  <c r="C128" i="14"/>
  <c r="O127" i="14"/>
  <c r="N127" i="14"/>
  <c r="F127" i="14"/>
  <c r="C127" i="14"/>
  <c r="O126" i="14"/>
  <c r="N126" i="14"/>
  <c r="F126" i="14"/>
  <c r="M126" i="14" s="1"/>
  <c r="C126" i="14"/>
  <c r="O125" i="14"/>
  <c r="N125" i="14"/>
  <c r="F125" i="14"/>
  <c r="C125" i="14"/>
  <c r="O124" i="14"/>
  <c r="N124" i="14"/>
  <c r="F124" i="14"/>
  <c r="C124" i="14"/>
  <c r="O123" i="14"/>
  <c r="N123" i="14"/>
  <c r="F123" i="14"/>
  <c r="M123" i="14" s="1"/>
  <c r="C123" i="14"/>
  <c r="O122" i="14"/>
  <c r="N122" i="14"/>
  <c r="F122" i="14"/>
  <c r="C122" i="14"/>
  <c r="M122" i="14" s="1"/>
  <c r="O121" i="14"/>
  <c r="N121" i="14"/>
  <c r="F121" i="14"/>
  <c r="C121" i="14"/>
  <c r="M121" i="14" s="1"/>
  <c r="O120" i="14"/>
  <c r="N120" i="14"/>
  <c r="F120" i="14"/>
  <c r="C120" i="14"/>
  <c r="M120" i="14" s="1"/>
  <c r="O119" i="14"/>
  <c r="N119" i="14"/>
  <c r="F119" i="14"/>
  <c r="C119" i="14"/>
  <c r="O118" i="14"/>
  <c r="N118" i="14"/>
  <c r="F118" i="14"/>
  <c r="C118" i="14"/>
  <c r="M118" i="14" s="1"/>
  <c r="O117" i="14"/>
  <c r="N117" i="14"/>
  <c r="F117" i="14"/>
  <c r="C117" i="14"/>
  <c r="O116" i="14"/>
  <c r="N116" i="14"/>
  <c r="F116" i="14"/>
  <c r="C116" i="14"/>
  <c r="O115" i="14"/>
  <c r="N115" i="14"/>
  <c r="F115" i="14"/>
  <c r="M115" i="14" s="1"/>
  <c r="C115" i="14"/>
  <c r="O114" i="14"/>
  <c r="N114" i="14"/>
  <c r="M114" i="14"/>
  <c r="F114" i="14"/>
  <c r="C114" i="14"/>
  <c r="O113" i="14"/>
  <c r="N113" i="14"/>
  <c r="F113" i="14"/>
  <c r="C113" i="14"/>
  <c r="M113" i="14" s="1"/>
  <c r="O112" i="14"/>
  <c r="N112" i="14"/>
  <c r="F112" i="14"/>
  <c r="C112" i="14"/>
  <c r="M112" i="14" s="1"/>
  <c r="O111" i="14"/>
  <c r="N111" i="14"/>
  <c r="F111" i="14"/>
  <c r="C111" i="14"/>
  <c r="O110" i="14"/>
  <c r="N110" i="14"/>
  <c r="F110" i="14"/>
  <c r="M110" i="14" s="1"/>
  <c r="C110" i="14"/>
  <c r="O109" i="14"/>
  <c r="N109" i="14"/>
  <c r="F109" i="14"/>
  <c r="C109" i="14"/>
  <c r="O108" i="14"/>
  <c r="N108" i="14"/>
  <c r="F108" i="14"/>
  <c r="C108" i="14"/>
  <c r="F107" i="14"/>
  <c r="C107" i="14"/>
  <c r="O106" i="14"/>
  <c r="N106" i="14"/>
  <c r="F106" i="14"/>
  <c r="C106" i="14"/>
  <c r="O105" i="14"/>
  <c r="F105" i="14"/>
  <c r="C105" i="14"/>
  <c r="O104" i="14"/>
  <c r="N104" i="14"/>
  <c r="F104" i="14"/>
  <c r="C104" i="14"/>
  <c r="M104" i="14" s="1"/>
  <c r="O103" i="14"/>
  <c r="N103" i="14"/>
  <c r="F103" i="14"/>
  <c r="C103" i="14"/>
  <c r="M103" i="14" s="1"/>
  <c r="O102" i="14"/>
  <c r="N102" i="14"/>
  <c r="F102" i="14"/>
  <c r="C102" i="14"/>
  <c r="O101" i="14"/>
  <c r="N101" i="14"/>
  <c r="F101" i="14"/>
  <c r="C101" i="14"/>
  <c r="M101" i="14" s="1"/>
  <c r="O100" i="14"/>
  <c r="N100" i="14"/>
  <c r="F100" i="14"/>
  <c r="C100" i="14"/>
  <c r="O99" i="14"/>
  <c r="N99" i="14"/>
  <c r="F99" i="14"/>
  <c r="C99" i="14"/>
  <c r="O98" i="14"/>
  <c r="N98" i="14"/>
  <c r="F98" i="14"/>
  <c r="M98" i="14" s="1"/>
  <c r="C98" i="14"/>
  <c r="O97" i="14"/>
  <c r="N97" i="14"/>
  <c r="M97" i="14"/>
  <c r="F97" i="14"/>
  <c r="C97" i="14"/>
  <c r="O96" i="14"/>
  <c r="N96" i="14"/>
  <c r="F96" i="14"/>
  <c r="C96" i="14"/>
  <c r="M96" i="14" s="1"/>
  <c r="O95" i="14"/>
  <c r="N95" i="14"/>
  <c r="F95" i="14"/>
  <c r="C95" i="14"/>
  <c r="M95" i="14" s="1"/>
  <c r="O94" i="14"/>
  <c r="N94" i="14"/>
  <c r="F94" i="14"/>
  <c r="C94" i="14"/>
  <c r="O93" i="14"/>
  <c r="N93" i="14"/>
  <c r="F93" i="14"/>
  <c r="M93" i="14" s="1"/>
  <c r="C93" i="14"/>
  <c r="O92" i="14"/>
  <c r="N92" i="14"/>
  <c r="F92" i="14"/>
  <c r="C92" i="14"/>
  <c r="O91" i="14"/>
  <c r="N91" i="14"/>
  <c r="F91" i="14"/>
  <c r="C91" i="14"/>
  <c r="O90" i="14"/>
  <c r="N90" i="14"/>
  <c r="F90" i="14"/>
  <c r="M90" i="14" s="1"/>
  <c r="C90" i="14"/>
  <c r="O89" i="14"/>
  <c r="N89" i="14"/>
  <c r="F89" i="14"/>
  <c r="C89" i="14"/>
  <c r="M89" i="14" s="1"/>
  <c r="O88" i="14"/>
  <c r="N88" i="14"/>
  <c r="F88" i="14"/>
  <c r="C88" i="14"/>
  <c r="M88" i="14" s="1"/>
  <c r="O87" i="14"/>
  <c r="N87" i="14"/>
  <c r="F87" i="14"/>
  <c r="C87" i="14"/>
  <c r="M87" i="14" s="1"/>
  <c r="O86" i="14"/>
  <c r="N86" i="14"/>
  <c r="F86" i="14"/>
  <c r="C86" i="14"/>
  <c r="O85" i="14"/>
  <c r="N85" i="14"/>
  <c r="F85" i="14"/>
  <c r="C85" i="14"/>
  <c r="M85" i="14" s="1"/>
  <c r="O84" i="14"/>
  <c r="N84" i="14"/>
  <c r="F84" i="14"/>
  <c r="C84" i="14"/>
  <c r="O83" i="14"/>
  <c r="N83" i="14"/>
  <c r="F83" i="14"/>
  <c r="C83" i="14"/>
  <c r="O82" i="14"/>
  <c r="N82" i="14"/>
  <c r="F82" i="14"/>
  <c r="M82" i="14" s="1"/>
  <c r="C82" i="14"/>
  <c r="O81" i="14"/>
  <c r="N81" i="14"/>
  <c r="M81" i="14"/>
  <c r="F81" i="14"/>
  <c r="C81" i="14"/>
  <c r="O80" i="14"/>
  <c r="N80" i="14"/>
  <c r="F80" i="14"/>
  <c r="C80" i="14"/>
  <c r="M80" i="14" s="1"/>
  <c r="O79" i="14"/>
  <c r="N79" i="14"/>
  <c r="F79" i="14"/>
  <c r="C79" i="14"/>
  <c r="M79" i="14" s="1"/>
  <c r="O78" i="14"/>
  <c r="N78" i="14"/>
  <c r="F78" i="14"/>
  <c r="C78" i="14"/>
  <c r="O77" i="14"/>
  <c r="N77" i="14"/>
  <c r="F77" i="14"/>
  <c r="C77" i="14"/>
  <c r="M77" i="14" s="1"/>
  <c r="O76" i="14"/>
  <c r="N76" i="14"/>
  <c r="F76" i="14"/>
  <c r="C76" i="14"/>
  <c r="O75" i="14"/>
  <c r="N75" i="14"/>
  <c r="F75" i="14"/>
  <c r="C75" i="14"/>
  <c r="O74" i="14"/>
  <c r="N74" i="14"/>
  <c r="F74" i="14"/>
  <c r="M74" i="14" s="1"/>
  <c r="C74" i="14"/>
  <c r="O73" i="14"/>
  <c r="N73" i="14"/>
  <c r="F73" i="14"/>
  <c r="C73" i="14"/>
  <c r="M73" i="14" s="1"/>
  <c r="O72" i="14"/>
  <c r="N72" i="14"/>
  <c r="F72" i="14"/>
  <c r="C72" i="14"/>
  <c r="M72" i="14" s="1"/>
  <c r="O71" i="14"/>
  <c r="N71" i="14"/>
  <c r="F71" i="14"/>
  <c r="C71" i="14"/>
  <c r="M71" i="14" s="1"/>
  <c r="O70" i="14"/>
  <c r="N70" i="14"/>
  <c r="F70" i="14"/>
  <c r="C70" i="14"/>
  <c r="O69" i="14"/>
  <c r="N69" i="14"/>
  <c r="F69" i="14"/>
  <c r="C69" i="14"/>
  <c r="M69" i="14" s="1"/>
  <c r="O68" i="14"/>
  <c r="N68" i="14"/>
  <c r="F68" i="14"/>
  <c r="C68" i="14"/>
  <c r="O67" i="14"/>
  <c r="N67" i="14"/>
  <c r="F67" i="14"/>
  <c r="C67" i="14"/>
  <c r="O66" i="14"/>
  <c r="N66" i="14"/>
  <c r="F66" i="14"/>
  <c r="M66" i="14" s="1"/>
  <c r="C66" i="14"/>
  <c r="O65" i="14"/>
  <c r="N65" i="14"/>
  <c r="M65" i="14"/>
  <c r="F65" i="14"/>
  <c r="C65" i="14"/>
  <c r="O64" i="14"/>
  <c r="N64" i="14"/>
  <c r="F64" i="14"/>
  <c r="C64" i="14"/>
  <c r="M64" i="14" s="1"/>
  <c r="O63" i="14"/>
  <c r="N63" i="14"/>
  <c r="F63" i="14"/>
  <c r="C63" i="14"/>
  <c r="M63" i="14" s="1"/>
  <c r="O62" i="14"/>
  <c r="N62" i="14"/>
  <c r="F62" i="14"/>
  <c r="C62" i="14"/>
  <c r="O61" i="14"/>
  <c r="N61" i="14"/>
  <c r="F61" i="14"/>
  <c r="M61" i="14" s="1"/>
  <c r="C61" i="14"/>
  <c r="O60" i="14"/>
  <c r="N60" i="14"/>
  <c r="F60" i="14"/>
  <c r="C60" i="14"/>
  <c r="O59" i="14"/>
  <c r="N59" i="14"/>
  <c r="F59" i="14"/>
  <c r="C59" i="14"/>
  <c r="O58" i="14"/>
  <c r="N58" i="14"/>
  <c r="F58" i="14"/>
  <c r="M58" i="14" s="1"/>
  <c r="C58" i="14"/>
  <c r="F57" i="14"/>
  <c r="C57" i="14"/>
  <c r="F56" i="14"/>
  <c r="C56" i="14"/>
  <c r="F55" i="14"/>
  <c r="C55" i="14"/>
  <c r="F54" i="14"/>
  <c r="C54" i="14"/>
  <c r="F53" i="14"/>
  <c r="C53" i="14"/>
  <c r="O52" i="14"/>
  <c r="N52" i="14"/>
  <c r="F52" i="14"/>
  <c r="C52" i="14"/>
  <c r="O51" i="14"/>
  <c r="N51" i="14"/>
  <c r="F51" i="14"/>
  <c r="M51" i="14" s="1"/>
  <c r="C51" i="14"/>
  <c r="O50" i="14"/>
  <c r="N50" i="14"/>
  <c r="M50" i="14"/>
  <c r="F50" i="14"/>
  <c r="C50" i="14"/>
  <c r="O49" i="14"/>
  <c r="N49" i="14"/>
  <c r="F49" i="14"/>
  <c r="C49" i="14"/>
  <c r="M49" i="14" s="1"/>
  <c r="O48" i="14"/>
  <c r="N48" i="14"/>
  <c r="F48" i="14"/>
  <c r="C48" i="14"/>
  <c r="M48" i="14" s="1"/>
  <c r="O47" i="14"/>
  <c r="N47" i="14"/>
  <c r="F47" i="14"/>
  <c r="C47" i="14"/>
  <c r="O46" i="14"/>
  <c r="N46" i="14"/>
  <c r="F46" i="14"/>
  <c r="C46" i="14"/>
  <c r="M46" i="14" s="1"/>
  <c r="F45" i="14"/>
  <c r="C45" i="14"/>
  <c r="F44" i="14"/>
  <c r="C44" i="14"/>
  <c r="O43" i="14"/>
  <c r="N43" i="14"/>
  <c r="F43" i="14"/>
  <c r="C43" i="14"/>
  <c r="O42" i="14"/>
  <c r="N42" i="14"/>
  <c r="F42" i="14"/>
  <c r="C42" i="14"/>
  <c r="O41" i="14"/>
  <c r="N41" i="14"/>
  <c r="F41" i="14"/>
  <c r="M41" i="14" s="1"/>
  <c r="C41" i="14"/>
  <c r="F40" i="14"/>
  <c r="C40" i="14"/>
  <c r="F39" i="14"/>
  <c r="C39" i="14"/>
  <c r="O38" i="14"/>
  <c r="N38" i="14"/>
  <c r="F38" i="14"/>
  <c r="C38" i="14"/>
  <c r="M38" i="14" s="1"/>
  <c r="O37" i="14"/>
  <c r="F37" i="14"/>
  <c r="D37" i="14"/>
  <c r="D33" i="14" s="1"/>
  <c r="D29" i="14" s="1"/>
  <c r="O36" i="14"/>
  <c r="N36" i="14"/>
  <c r="F36" i="14"/>
  <c r="M36" i="14" s="1"/>
  <c r="C36" i="14"/>
  <c r="O35" i="14"/>
  <c r="N35" i="14"/>
  <c r="M35" i="14"/>
  <c r="F35" i="14"/>
  <c r="C35" i="14"/>
  <c r="O34" i="14"/>
  <c r="N34" i="14"/>
  <c r="C34" i="14"/>
  <c r="J33" i="14"/>
  <c r="I33" i="14"/>
  <c r="H33" i="14"/>
  <c r="H29" i="14" s="1"/>
  <c r="H9" i="14" s="1"/>
  <c r="G33" i="14"/>
  <c r="E33" i="14"/>
  <c r="O33" i="14" s="1"/>
  <c r="C32" i="14"/>
  <c r="C31" i="14"/>
  <c r="L30" i="14"/>
  <c r="K30" i="14"/>
  <c r="I30" i="14"/>
  <c r="I29" i="14" s="1"/>
  <c r="H30" i="14"/>
  <c r="E30" i="14"/>
  <c r="D30" i="14"/>
  <c r="L29" i="14"/>
  <c r="K29" i="14"/>
  <c r="O28" i="14"/>
  <c r="F28" i="14"/>
  <c r="D28" i="14"/>
  <c r="N28" i="14" s="1"/>
  <c r="F27" i="14"/>
  <c r="E27" i="14"/>
  <c r="O27" i="14" s="1"/>
  <c r="D27" i="14"/>
  <c r="O26" i="14"/>
  <c r="G26" i="14"/>
  <c r="F26" i="14" s="1"/>
  <c r="D26" i="14"/>
  <c r="N26" i="14" s="1"/>
  <c r="O25" i="14"/>
  <c r="N25" i="14"/>
  <c r="G25" i="14"/>
  <c r="F25" i="14" s="1"/>
  <c r="C25" i="14"/>
  <c r="M25" i="14" s="1"/>
  <c r="J24" i="14"/>
  <c r="G24" i="14"/>
  <c r="F24" i="14" s="1"/>
  <c r="E24" i="14"/>
  <c r="O24" i="14" s="1"/>
  <c r="D24" i="14"/>
  <c r="C24" i="14"/>
  <c r="J23" i="14"/>
  <c r="G23" i="14"/>
  <c r="E23" i="14"/>
  <c r="O23" i="14" s="1"/>
  <c r="D23" i="14"/>
  <c r="N23" i="14" s="1"/>
  <c r="O22" i="14"/>
  <c r="N22" i="14"/>
  <c r="F22" i="14"/>
  <c r="C22" i="14"/>
  <c r="M22" i="14" s="1"/>
  <c r="O20" i="14"/>
  <c r="N20" i="14"/>
  <c r="J20" i="14"/>
  <c r="G20" i="14"/>
  <c r="F20" i="14" s="1"/>
  <c r="C20" i="14"/>
  <c r="M20" i="14" s="1"/>
  <c r="O19" i="14"/>
  <c r="J19" i="14"/>
  <c r="G19" i="14"/>
  <c r="F19" i="14"/>
  <c r="D19" i="14"/>
  <c r="C19" i="14" s="1"/>
  <c r="Q18" i="14"/>
  <c r="O18" i="14"/>
  <c r="N18" i="14"/>
  <c r="F18" i="14"/>
  <c r="C18" i="14"/>
  <c r="M18" i="14" s="1"/>
  <c r="Q17" i="14"/>
  <c r="O17" i="14"/>
  <c r="N17" i="14"/>
  <c r="F17" i="14"/>
  <c r="M17" i="14" s="1"/>
  <c r="C17" i="14"/>
  <c r="O16" i="14"/>
  <c r="N16" i="14"/>
  <c r="F16" i="14"/>
  <c r="C16" i="14"/>
  <c r="M16" i="14" s="1"/>
  <c r="O15" i="14"/>
  <c r="G15" i="14"/>
  <c r="F15" i="14" s="1"/>
  <c r="D15" i="14"/>
  <c r="C15" i="14" s="1"/>
  <c r="J14" i="14"/>
  <c r="G14" i="14"/>
  <c r="F14" i="14"/>
  <c r="E14" i="14"/>
  <c r="D14" i="14"/>
  <c r="N14" i="14" s="1"/>
  <c r="O13" i="14"/>
  <c r="N13" i="14"/>
  <c r="F13" i="14"/>
  <c r="C13" i="14"/>
  <c r="M13" i="14" s="1"/>
  <c r="I11" i="14"/>
  <c r="I10" i="14" s="1"/>
  <c r="H11" i="14"/>
  <c r="E11" i="14"/>
  <c r="L10" i="14"/>
  <c r="K10" i="14"/>
  <c r="K9" i="14" s="1"/>
  <c r="H10" i="14"/>
  <c r="L9" i="14"/>
  <c r="C637" i="22"/>
  <c r="I637" i="22"/>
  <c r="L637" i="22"/>
  <c r="P637" i="22"/>
  <c r="Q637" i="22"/>
  <c r="R637" i="22"/>
  <c r="U637" i="22"/>
  <c r="Y637" i="22"/>
  <c r="AB637" i="22"/>
  <c r="AE637" i="22"/>
  <c r="AH637" i="22"/>
  <c r="AL637" i="22"/>
  <c r="AM637" i="22"/>
  <c r="AN637" i="22"/>
  <c r="AO637" i="22"/>
  <c r="C23" i="14" l="1"/>
  <c r="N24" i="14"/>
  <c r="N37" i="14"/>
  <c r="O14" i="14"/>
  <c r="M19" i="14"/>
  <c r="F33" i="14"/>
  <c r="C37" i="14"/>
  <c r="M37" i="14" s="1"/>
  <c r="M47" i="14"/>
  <c r="M52" i="14"/>
  <c r="M62" i="14"/>
  <c r="M67" i="14"/>
  <c r="M68" i="14"/>
  <c r="M78" i="14"/>
  <c r="M83" i="14"/>
  <c r="M84" i="14"/>
  <c r="M94" i="14"/>
  <c r="M99" i="14"/>
  <c r="M100" i="14"/>
  <c r="M106" i="14"/>
  <c r="M111" i="14"/>
  <c r="M116" i="14"/>
  <c r="M117" i="14"/>
  <c r="M127" i="14"/>
  <c r="M15" i="14"/>
  <c r="M24" i="14"/>
  <c r="F23" i="14"/>
  <c r="C26" i="14"/>
  <c r="M26" i="14" s="1"/>
  <c r="C27" i="14"/>
  <c r="M27" i="14" s="1"/>
  <c r="C30" i="14"/>
  <c r="M42" i="14"/>
  <c r="M43" i="14"/>
  <c r="M59" i="14"/>
  <c r="M60" i="14"/>
  <c r="M70" i="14"/>
  <c r="M75" i="14"/>
  <c r="M76" i="14"/>
  <c r="M86" i="14"/>
  <c r="M91" i="14"/>
  <c r="M92" i="14"/>
  <c r="M102" i="14"/>
  <c r="M108" i="14"/>
  <c r="M109" i="14"/>
  <c r="M119" i="14"/>
  <c r="M124" i="14"/>
  <c r="M125" i="14"/>
  <c r="D34" i="3"/>
  <c r="M23" i="14"/>
  <c r="I9" i="14"/>
  <c r="N27" i="14"/>
  <c r="N33" i="14"/>
  <c r="N19" i="14"/>
  <c r="D12" i="14"/>
  <c r="C14" i="14"/>
  <c r="M14" i="14" s="1"/>
  <c r="C28" i="14"/>
  <c r="M28" i="14" s="1"/>
  <c r="E29" i="14"/>
  <c r="M34" i="14"/>
  <c r="N15" i="14"/>
  <c r="AK637" i="22"/>
  <c r="X637" i="22"/>
  <c r="O637" i="22"/>
  <c r="H637" i="22"/>
  <c r="N252" i="16"/>
  <c r="AA252" i="16" s="1"/>
  <c r="E252" i="16"/>
  <c r="H252" i="16"/>
  <c r="I252" i="16"/>
  <c r="L252" i="16"/>
  <c r="J252" i="16" s="1"/>
  <c r="AC252" i="16" s="1"/>
  <c r="C33" i="14" l="1"/>
  <c r="C252" i="16"/>
  <c r="C11" i="16" s="1"/>
  <c r="M252" i="16"/>
  <c r="N11" i="16"/>
  <c r="AA11" i="16" s="1"/>
  <c r="D11" i="14"/>
  <c r="C12" i="14"/>
  <c r="G26" i="3"/>
  <c r="G25" i="3"/>
  <c r="M33" i="14" l="1"/>
  <c r="P34" i="14"/>
  <c r="C29" i="14"/>
  <c r="Z252" i="16"/>
  <c r="C11" i="14"/>
  <c r="J24" i="3"/>
  <c r="J23" i="3"/>
  <c r="G24" i="3"/>
  <c r="G23" i="3"/>
  <c r="K10" i="3" l="1"/>
  <c r="L10" i="3"/>
  <c r="F25" i="2" l="1"/>
  <c r="F13" i="2"/>
  <c r="F19" i="2"/>
  <c r="F18" i="2" s="1"/>
  <c r="H65" i="2"/>
  <c r="G65" i="2"/>
  <c r="H64" i="2"/>
  <c r="G64" i="2"/>
  <c r="H63" i="2"/>
  <c r="G63" i="2"/>
  <c r="H62" i="2"/>
  <c r="G62" i="2"/>
  <c r="H61" i="2"/>
  <c r="G61" i="2"/>
  <c r="H60" i="2"/>
  <c r="G60" i="2"/>
  <c r="H59" i="2"/>
  <c r="G59" i="2"/>
  <c r="H58" i="2"/>
  <c r="G58" i="2"/>
  <c r="F57" i="2"/>
  <c r="E57" i="2"/>
  <c r="D57" i="2"/>
  <c r="H57" i="2" s="1"/>
  <c r="C57" i="2"/>
  <c r="G57" i="2" s="1"/>
  <c r="H56" i="2"/>
  <c r="G56" i="2"/>
  <c r="G55" i="2"/>
  <c r="D55" i="2"/>
  <c r="H55" i="2" s="1"/>
  <c r="H54" i="2"/>
  <c r="G54" i="2"/>
  <c r="D54" i="2"/>
  <c r="G53" i="2"/>
  <c r="H52" i="2"/>
  <c r="G52" i="2"/>
  <c r="F52" i="2"/>
  <c r="D52" i="2"/>
  <c r="H50" i="2"/>
  <c r="G50" i="2"/>
  <c r="F50" i="2"/>
  <c r="D50" i="2"/>
  <c r="H49" i="2"/>
  <c r="G49" i="2"/>
  <c r="D49" i="2"/>
  <c r="H48" i="2"/>
  <c r="G48" i="2"/>
  <c r="D48" i="2"/>
  <c r="G47" i="2"/>
  <c r="D47" i="2"/>
  <c r="H47" i="2" s="1"/>
  <c r="G46" i="2"/>
  <c r="D46" i="2"/>
  <c r="H46" i="2" s="1"/>
  <c r="G45" i="2"/>
  <c r="D45" i="2"/>
  <c r="H45" i="2" s="1"/>
  <c r="G44" i="2"/>
  <c r="D44" i="2"/>
  <c r="H44" i="2" s="1"/>
  <c r="G43" i="2"/>
  <c r="E43" i="2"/>
  <c r="D43" i="2"/>
  <c r="H42" i="2"/>
  <c r="G42" i="2"/>
  <c r="G41" i="2"/>
  <c r="F41" i="2"/>
  <c r="F43" i="2" s="1"/>
  <c r="D41" i="2"/>
  <c r="H41" i="2" s="1"/>
  <c r="C41" i="2"/>
  <c r="G40" i="2"/>
  <c r="D40" i="2"/>
  <c r="H40" i="2" s="1"/>
  <c r="H39" i="2"/>
  <c r="G39" i="2"/>
  <c r="G38" i="2"/>
  <c r="D38" i="2"/>
  <c r="H38" i="2" s="1"/>
  <c r="F37" i="2"/>
  <c r="E37" i="2"/>
  <c r="G37" i="2" s="1"/>
  <c r="D37" i="2"/>
  <c r="H37" i="2" s="1"/>
  <c r="G36" i="2"/>
  <c r="D36" i="2"/>
  <c r="H36" i="2" s="1"/>
  <c r="G35" i="2"/>
  <c r="D35" i="2"/>
  <c r="H35" i="2" s="1"/>
  <c r="G34" i="2"/>
  <c r="D34" i="2"/>
  <c r="H34" i="2" s="1"/>
  <c r="H33" i="2"/>
  <c r="G33" i="2"/>
  <c r="D33" i="2"/>
  <c r="H32" i="2"/>
  <c r="G32" i="2"/>
  <c r="D32" i="2"/>
  <c r="G31" i="2"/>
  <c r="D31" i="2"/>
  <c r="D30" i="2" s="1"/>
  <c r="F30" i="2"/>
  <c r="E30" i="2"/>
  <c r="C30" i="2"/>
  <c r="G30" i="2" s="1"/>
  <c r="H29" i="2"/>
  <c r="G29" i="2"/>
  <c r="H28" i="2"/>
  <c r="G28" i="2"/>
  <c r="H27" i="2"/>
  <c r="G27" i="2"/>
  <c r="G26" i="2"/>
  <c r="D26" i="2"/>
  <c r="H26" i="2" s="1"/>
  <c r="H25" i="2"/>
  <c r="G25" i="2"/>
  <c r="D25" i="2"/>
  <c r="F24" i="2"/>
  <c r="E24" i="2"/>
  <c r="D24" i="2"/>
  <c r="H24" i="2" s="1"/>
  <c r="C24" i="2"/>
  <c r="G23" i="2"/>
  <c r="D23" i="2"/>
  <c r="H23" i="2" s="1"/>
  <c r="H22" i="2"/>
  <c r="G22" i="2"/>
  <c r="D22" i="2"/>
  <c r="H21" i="2"/>
  <c r="G21" i="2"/>
  <c r="D21" i="2"/>
  <c r="G20" i="2"/>
  <c r="D20" i="2"/>
  <c r="H20" i="2" s="1"/>
  <c r="G19" i="2"/>
  <c r="D19" i="2"/>
  <c r="E18" i="2"/>
  <c r="D18" i="2"/>
  <c r="C18" i="2"/>
  <c r="G17" i="2"/>
  <c r="D17" i="2"/>
  <c r="H17" i="2" s="1"/>
  <c r="G16" i="2"/>
  <c r="D16" i="2"/>
  <c r="H16" i="2" s="1"/>
  <c r="G15" i="2"/>
  <c r="D15" i="2"/>
  <c r="H15" i="2" s="1"/>
  <c r="G14" i="2"/>
  <c r="D14" i="2"/>
  <c r="H14" i="2" s="1"/>
  <c r="G13" i="2"/>
  <c r="D13" i="2"/>
  <c r="F12" i="2"/>
  <c r="E12" i="2"/>
  <c r="E11" i="2" s="1"/>
  <c r="E10" i="2" s="1"/>
  <c r="E9" i="2" s="1"/>
  <c r="C12" i="2"/>
  <c r="G12" i="2" s="1"/>
  <c r="H18" i="2" l="1"/>
  <c r="H30" i="2"/>
  <c r="H43" i="2"/>
  <c r="C11" i="2"/>
  <c r="C10" i="2" s="1"/>
  <c r="C9" i="2" s="1"/>
  <c r="G9" i="2" s="1"/>
  <c r="D12" i="2"/>
  <c r="G18" i="2"/>
  <c r="H19" i="2"/>
  <c r="G24" i="2"/>
  <c r="F11" i="2"/>
  <c r="H12" i="2"/>
  <c r="D11" i="2"/>
  <c r="H13" i="2"/>
  <c r="H31" i="2"/>
  <c r="G11" i="2"/>
  <c r="G10" i="2" l="1"/>
  <c r="F10" i="2"/>
  <c r="F9" i="2" s="1"/>
  <c r="D10" i="2"/>
  <c r="H11" i="2"/>
  <c r="H10" i="2" l="1"/>
  <c r="D9" i="2"/>
  <c r="H9" i="2" s="1"/>
  <c r="H11" i="3" l="1"/>
  <c r="H10" i="3" s="1"/>
  <c r="I11" i="3"/>
  <c r="I10" i="3" s="1"/>
  <c r="E11" i="3"/>
  <c r="E34" i="3" l="1"/>
  <c r="G34" i="3"/>
  <c r="J34"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36"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35" i="3"/>
  <c r="F11" i="8"/>
  <c r="F34" i="3" l="1"/>
  <c r="C34" i="3"/>
  <c r="D26" i="3"/>
  <c r="M34" i="3" l="1"/>
  <c r="D19" i="3"/>
  <c r="D12" i="3" s="1"/>
  <c r="E14" i="3"/>
  <c r="D15" i="3"/>
  <c r="D14" i="3"/>
  <c r="E10" i="8" l="1"/>
  <c r="E9" i="8" s="1"/>
  <c r="F10" i="8"/>
  <c r="E48" i="8"/>
  <c r="F9" i="8" l="1"/>
  <c r="D8" i="1" l="1"/>
  <c r="E8" i="1"/>
  <c r="G16" i="12" l="1"/>
  <c r="G15" i="12"/>
  <c r="G14" i="12"/>
  <c r="G13" i="12"/>
  <c r="G12" i="12"/>
  <c r="J9" i="12"/>
  <c r="J8" i="12" s="1"/>
  <c r="I9" i="12"/>
  <c r="I8" i="12" s="1"/>
  <c r="H9" i="12"/>
  <c r="H8" i="12" s="1"/>
  <c r="G11" i="12" l="1"/>
  <c r="G10" i="12"/>
  <c r="Q15" i="22"/>
  <c r="P17" i="22"/>
  <c r="Q17" i="22"/>
  <c r="P18" i="22"/>
  <c r="Q18" i="22"/>
  <c r="P19" i="22"/>
  <c r="P20" i="22"/>
  <c r="P21" i="22"/>
  <c r="Q21" i="22"/>
  <c r="P22" i="22"/>
  <c r="Q22" i="22"/>
  <c r="P23" i="22"/>
  <c r="Q23" i="22"/>
  <c r="P24" i="22"/>
  <c r="Q24" i="22"/>
  <c r="P25" i="22"/>
  <c r="Q25" i="22"/>
  <c r="P26" i="22"/>
  <c r="Q26" i="22"/>
  <c r="P27" i="22"/>
  <c r="Q27" i="22"/>
  <c r="P28" i="22"/>
  <c r="Q28" i="22"/>
  <c r="P29" i="22"/>
  <c r="Q29" i="22"/>
  <c r="P30" i="22"/>
  <c r="Q30" i="22"/>
  <c r="P31" i="22"/>
  <c r="Q31" i="22"/>
  <c r="P32" i="22"/>
  <c r="Q32" i="22"/>
  <c r="P33" i="22"/>
  <c r="Q33" i="22"/>
  <c r="P37" i="22"/>
  <c r="Q37" i="22"/>
  <c r="P38" i="22"/>
  <c r="Q38" i="22"/>
  <c r="Q39" i="22"/>
  <c r="Q40" i="22"/>
  <c r="P41" i="22"/>
  <c r="Q41" i="22"/>
  <c r="P43" i="22"/>
  <c r="Q43" i="22"/>
  <c r="P44" i="22"/>
  <c r="Q44" i="22"/>
  <c r="P45" i="22"/>
  <c r="Q45" i="22"/>
  <c r="P46" i="22"/>
  <c r="Q46" i="22"/>
  <c r="P47" i="22"/>
  <c r="Q47" i="22"/>
  <c r="P49" i="22"/>
  <c r="Q49" i="22"/>
  <c r="P50" i="22"/>
  <c r="P51" i="22"/>
  <c r="P52" i="22"/>
  <c r="P53" i="22"/>
  <c r="P54" i="22"/>
  <c r="Q54" i="22"/>
  <c r="P56" i="22"/>
  <c r="Q56" i="22"/>
  <c r="P57" i="22"/>
  <c r="Q57" i="22"/>
  <c r="P60" i="22"/>
  <c r="Q60" i="22"/>
  <c r="Q61" i="22"/>
  <c r="P62" i="22"/>
  <c r="Q62" i="22"/>
  <c r="P63" i="22"/>
  <c r="Q63" i="22"/>
  <c r="Q64" i="22"/>
  <c r="P65" i="22"/>
  <c r="Q65" i="22"/>
  <c r="P66" i="22"/>
  <c r="Q66" i="22"/>
  <c r="Q67" i="22"/>
  <c r="Q68" i="22"/>
  <c r="P69" i="22"/>
  <c r="Q69" i="22"/>
  <c r="P71" i="22"/>
  <c r="Q71" i="22"/>
  <c r="P72" i="22"/>
  <c r="P73" i="22"/>
  <c r="Q73" i="22"/>
  <c r="P74" i="22"/>
  <c r="Q74" i="22"/>
  <c r="P75" i="22"/>
  <c r="Q75" i="22"/>
  <c r="P76" i="22"/>
  <c r="Q76" i="22"/>
  <c r="P77" i="22"/>
  <c r="Q77" i="22"/>
  <c r="P78" i="22"/>
  <c r="P79" i="22"/>
  <c r="Q79" i="22"/>
  <c r="P80" i="22"/>
  <c r="Q80" i="22"/>
  <c r="P82" i="22"/>
  <c r="Q82" i="22"/>
  <c r="P83" i="22"/>
  <c r="Q83" i="22"/>
  <c r="P84" i="22"/>
  <c r="Q84" i="22"/>
  <c r="P85" i="22"/>
  <c r="Q85" i="22"/>
  <c r="P86" i="22"/>
  <c r="Q86" i="22"/>
  <c r="P87" i="22"/>
  <c r="Q87" i="22"/>
  <c r="P88" i="22"/>
  <c r="Q88" i="22"/>
  <c r="P89" i="22"/>
  <c r="Q89" i="22"/>
  <c r="P90" i="22"/>
  <c r="P91" i="22"/>
  <c r="Q91" i="22"/>
  <c r="P92" i="22"/>
  <c r="Q92" i="22"/>
  <c r="P94" i="22"/>
  <c r="Q94" i="22"/>
  <c r="P96" i="22"/>
  <c r="Q96" i="22"/>
  <c r="P97" i="22"/>
  <c r="Q97" i="22"/>
  <c r="P98" i="22"/>
  <c r="Q98" i="22"/>
  <c r="P99" i="22"/>
  <c r="Q99" i="22"/>
  <c r="P100" i="22"/>
  <c r="P101" i="22"/>
  <c r="Q101" i="22"/>
  <c r="P102" i="22"/>
  <c r="Q102" i="22"/>
  <c r="P103" i="22"/>
  <c r="Q103" i="22"/>
  <c r="P105" i="22"/>
  <c r="Q105" i="22"/>
  <c r="P106" i="22"/>
  <c r="Q106" i="22"/>
  <c r="P107" i="22"/>
  <c r="Q107" i="22"/>
  <c r="P108" i="22"/>
  <c r="Q108" i="22"/>
  <c r="P109" i="22"/>
  <c r="Q109" i="22"/>
  <c r="P110" i="22"/>
  <c r="Q110" i="22"/>
  <c r="P111" i="22"/>
  <c r="Q111" i="22"/>
  <c r="P112" i="22"/>
  <c r="Q112" i="22"/>
  <c r="P113" i="22"/>
  <c r="Q113" i="22"/>
  <c r="P114" i="22"/>
  <c r="Q114" i="22"/>
  <c r="P115" i="22"/>
  <c r="Q115" i="22"/>
  <c r="P116" i="22"/>
  <c r="Q116" i="22"/>
  <c r="P117" i="22"/>
  <c r="Q117" i="22"/>
  <c r="P119" i="22"/>
  <c r="Q119" i="22"/>
  <c r="P120" i="22"/>
  <c r="Q120" i="22"/>
  <c r="P121" i="22"/>
  <c r="Q121" i="22"/>
  <c r="P122" i="22"/>
  <c r="Q122" i="22"/>
  <c r="P123" i="22"/>
  <c r="Q123" i="22"/>
  <c r="P124" i="22"/>
  <c r="Q124" i="22"/>
  <c r="P125" i="22"/>
  <c r="P126" i="22"/>
  <c r="Q126" i="22"/>
  <c r="P127" i="22"/>
  <c r="Q127" i="22"/>
  <c r="P128" i="22"/>
  <c r="Q128" i="22"/>
  <c r="P129" i="22"/>
  <c r="Q129" i="22"/>
  <c r="P130" i="22"/>
  <c r="Q130" i="22"/>
  <c r="P134" i="22"/>
  <c r="Q134" i="22"/>
  <c r="P136" i="22"/>
  <c r="Q136" i="22"/>
  <c r="P137" i="22"/>
  <c r="Q137" i="22"/>
  <c r="P142" i="22"/>
  <c r="Q142" i="22"/>
  <c r="P143" i="22"/>
  <c r="Q143" i="22"/>
  <c r="P144" i="22"/>
  <c r="Q144" i="22"/>
  <c r="P146" i="22"/>
  <c r="Q146" i="22"/>
  <c r="P147" i="22"/>
  <c r="Q147" i="22"/>
  <c r="P149" i="22"/>
  <c r="Q149" i="22"/>
  <c r="P151" i="22"/>
  <c r="Q151" i="22"/>
  <c r="P153" i="22"/>
  <c r="Q153" i="22"/>
  <c r="P156" i="22"/>
  <c r="Q156" i="22"/>
  <c r="P157" i="22"/>
  <c r="Q157" i="22"/>
  <c r="P159" i="22"/>
  <c r="Q159" i="22"/>
  <c r="P161" i="22"/>
  <c r="Q161" i="22"/>
  <c r="P164" i="22"/>
  <c r="Q164" i="22"/>
  <c r="P165" i="22"/>
  <c r="Q165" i="22"/>
  <c r="P166" i="22"/>
  <c r="Q166" i="22"/>
  <c r="P167" i="22"/>
  <c r="Q167" i="22"/>
  <c r="P169" i="22"/>
  <c r="Q169" i="22"/>
  <c r="P171" i="22"/>
  <c r="Q171" i="22"/>
  <c r="P173" i="22"/>
  <c r="Q173" i="22"/>
  <c r="P175" i="22"/>
  <c r="Q175" i="22"/>
  <c r="P177" i="22"/>
  <c r="Q177" i="22"/>
  <c r="P179" i="22"/>
  <c r="Q179" i="22"/>
  <c r="P180" i="22"/>
  <c r="Q180" i="22"/>
  <c r="P181" i="22"/>
  <c r="Q181" i="22"/>
  <c r="P182" i="22"/>
  <c r="Q182" i="22"/>
  <c r="P186" i="22"/>
  <c r="Q186" i="22"/>
  <c r="P187" i="22"/>
  <c r="Q187" i="22"/>
  <c r="P188" i="22"/>
  <c r="Q188" i="22"/>
  <c r="P189" i="22"/>
  <c r="Q189" i="22"/>
  <c r="P190" i="22"/>
  <c r="Q190" i="22"/>
  <c r="P191" i="22"/>
  <c r="Q191" i="22"/>
  <c r="P192" i="22"/>
  <c r="Q192" i="22"/>
  <c r="P193" i="22"/>
  <c r="Q193" i="22"/>
  <c r="P194" i="22"/>
  <c r="Q194" i="22"/>
  <c r="P195" i="22"/>
  <c r="Q195" i="22"/>
  <c r="P196" i="22"/>
  <c r="Q196" i="22"/>
  <c r="P197" i="22"/>
  <c r="Q197" i="22"/>
  <c r="P198" i="22"/>
  <c r="Q198" i="22"/>
  <c r="P199" i="22"/>
  <c r="Q199" i="22"/>
  <c r="P200" i="22"/>
  <c r="Q200" i="22"/>
  <c r="P201" i="22"/>
  <c r="Q201" i="22"/>
  <c r="P202" i="22"/>
  <c r="Q202" i="22"/>
  <c r="P203" i="22"/>
  <c r="Q203" i="22"/>
  <c r="P204" i="22"/>
  <c r="Q204" i="22"/>
  <c r="P205" i="22"/>
  <c r="Q205" i="22"/>
  <c r="P206" i="22"/>
  <c r="Q206" i="22"/>
  <c r="P207" i="22"/>
  <c r="Q207" i="22"/>
  <c r="P208" i="22"/>
  <c r="Q208" i="22"/>
  <c r="P210" i="22"/>
  <c r="Q210" i="22"/>
  <c r="Q211" i="22"/>
  <c r="P212" i="22"/>
  <c r="Q212" i="22"/>
  <c r="P213" i="22"/>
  <c r="Q213" i="22"/>
  <c r="Q214" i="22"/>
  <c r="P215" i="22"/>
  <c r="Q215" i="22"/>
  <c r="P216" i="22"/>
  <c r="Q216" i="22"/>
  <c r="P217" i="22"/>
  <c r="Q217" i="22"/>
  <c r="Q218" i="22"/>
  <c r="P219" i="22"/>
  <c r="Q219" i="22"/>
  <c r="P221" i="22"/>
  <c r="Q221" i="22"/>
  <c r="P222" i="22"/>
  <c r="Q222" i="22"/>
  <c r="Q223" i="22"/>
  <c r="P224" i="22"/>
  <c r="Q224" i="22"/>
  <c r="P226" i="22"/>
  <c r="Q226" i="22"/>
  <c r="P227" i="22"/>
  <c r="Q227" i="22"/>
  <c r="P228" i="22"/>
  <c r="Q228" i="22"/>
  <c r="P229" i="22"/>
  <c r="Q229" i="22"/>
  <c r="P230" i="22"/>
  <c r="Q230" i="22"/>
  <c r="P231" i="22"/>
  <c r="Q231" i="22"/>
  <c r="P232" i="22"/>
  <c r="Q232" i="22"/>
  <c r="P233" i="22"/>
  <c r="Q233" i="22"/>
  <c r="P238" i="22"/>
  <c r="Q238" i="22"/>
  <c r="P240" i="22"/>
  <c r="Q240" i="22"/>
  <c r="P242" i="22"/>
  <c r="Q242" i="22"/>
  <c r="P244" i="22"/>
  <c r="P245" i="22"/>
  <c r="Q245" i="22"/>
  <c r="P247" i="22"/>
  <c r="Q247" i="22"/>
  <c r="P248" i="22"/>
  <c r="Q248" i="22"/>
  <c r="P249" i="22"/>
  <c r="Q249" i="22"/>
  <c r="P251" i="22"/>
  <c r="Q251" i="22"/>
  <c r="P253" i="22"/>
  <c r="Q253" i="22"/>
  <c r="P255" i="22"/>
  <c r="Q255" i="22"/>
  <c r="P258" i="22"/>
  <c r="Q258" i="22"/>
  <c r="P259" i="22"/>
  <c r="Q259" i="22"/>
  <c r="P260" i="22"/>
  <c r="Q260" i="22"/>
  <c r="P262" i="22"/>
  <c r="Q262" i="22"/>
  <c r="P263" i="22"/>
  <c r="Q263" i="22"/>
  <c r="P267" i="22"/>
  <c r="Q267" i="22"/>
  <c r="P268" i="22"/>
  <c r="P269" i="22"/>
  <c r="P270" i="22"/>
  <c r="Q270" i="22"/>
  <c r="P272" i="22"/>
  <c r="Q272" i="22"/>
  <c r="P273" i="22"/>
  <c r="Q273" i="22"/>
  <c r="P274" i="22"/>
  <c r="P275" i="22"/>
  <c r="P276" i="22"/>
  <c r="Q276" i="22"/>
  <c r="P277" i="22"/>
  <c r="Q277" i="22"/>
  <c r="P278" i="22"/>
  <c r="Q278" i="22"/>
  <c r="P279" i="22"/>
  <c r="Q279" i="22"/>
  <c r="P281" i="22"/>
  <c r="P282" i="22"/>
  <c r="Q282" i="22"/>
  <c r="P283" i="22"/>
  <c r="Q283" i="22"/>
  <c r="P284" i="22"/>
  <c r="P286" i="22"/>
  <c r="Q286" i="22"/>
  <c r="P287" i="22"/>
  <c r="P288" i="22"/>
  <c r="Q288" i="22"/>
  <c r="P289" i="22"/>
  <c r="P290" i="22"/>
  <c r="Q290" i="22"/>
  <c r="P291" i="22"/>
  <c r="Q291" i="22"/>
  <c r="P292" i="22"/>
  <c r="Q292" i="22"/>
  <c r="P294" i="22"/>
  <c r="Q294" i="22"/>
  <c r="P295" i="22"/>
  <c r="Q295" i="22"/>
  <c r="P297" i="22"/>
  <c r="Q297" i="22"/>
  <c r="P298" i="22"/>
  <c r="P299" i="22"/>
  <c r="Q299" i="22"/>
  <c r="P300" i="22"/>
  <c r="Q300" i="22"/>
  <c r="P301" i="22"/>
  <c r="Q301" i="22"/>
  <c r="P302" i="22"/>
  <c r="Q302" i="22"/>
  <c r="P303" i="22"/>
  <c r="Q303" i="22"/>
  <c r="P304" i="22"/>
  <c r="Q304" i="22"/>
  <c r="P305" i="22"/>
  <c r="Q305" i="22"/>
  <c r="P306" i="22"/>
  <c r="Q306" i="22"/>
  <c r="P307" i="22"/>
  <c r="Q307" i="22"/>
  <c r="P308" i="22"/>
  <c r="Q308" i="22"/>
  <c r="P310" i="22"/>
  <c r="Q310" i="22"/>
  <c r="P311" i="22"/>
  <c r="Q311" i="22"/>
  <c r="P312" i="22"/>
  <c r="P313" i="22"/>
  <c r="Q313" i="22"/>
  <c r="P314" i="22"/>
  <c r="Q314" i="22"/>
  <c r="P315" i="22"/>
  <c r="Q315" i="22"/>
  <c r="P316" i="22"/>
  <c r="P317" i="22"/>
  <c r="Q317" i="22"/>
  <c r="P318" i="22"/>
  <c r="Q318" i="22"/>
  <c r="P319" i="22"/>
  <c r="Q319" i="22"/>
  <c r="P320" i="22"/>
  <c r="Q320" i="22"/>
  <c r="P321" i="22"/>
  <c r="Q321" i="22"/>
  <c r="P322" i="22"/>
  <c r="Q322" i="22"/>
  <c r="P323" i="22"/>
  <c r="Q323" i="22"/>
  <c r="P324" i="22"/>
  <c r="Q324" i="22"/>
  <c r="Q326" i="22"/>
  <c r="P327" i="22"/>
  <c r="Q327" i="22"/>
  <c r="P328" i="22"/>
  <c r="Q328" i="22"/>
  <c r="P329" i="22"/>
  <c r="Q329" i="22"/>
  <c r="P331" i="22"/>
  <c r="Q331" i="22"/>
  <c r="P332" i="22"/>
  <c r="Q332" i="22"/>
  <c r="P333" i="22"/>
  <c r="Q333" i="22"/>
  <c r="P334" i="22"/>
  <c r="Q334" i="22"/>
  <c r="P336" i="22"/>
  <c r="P337" i="22"/>
  <c r="Q337" i="22"/>
  <c r="P338" i="22"/>
  <c r="Q338" i="22"/>
  <c r="P340" i="22"/>
  <c r="Q340" i="22"/>
  <c r="P341" i="22"/>
  <c r="Q341" i="22"/>
  <c r="P343" i="22"/>
  <c r="Q343" i="22"/>
  <c r="P344" i="22"/>
  <c r="Q344" i="22"/>
  <c r="P345" i="22"/>
  <c r="Q345" i="22"/>
  <c r="P346" i="22"/>
  <c r="Q346" i="22"/>
  <c r="P347" i="22"/>
  <c r="Q347" i="22"/>
  <c r="P348" i="22"/>
  <c r="Q348" i="22"/>
  <c r="P349" i="22"/>
  <c r="Q349" i="22"/>
  <c r="P350" i="22"/>
  <c r="Q350" i="22"/>
  <c r="P351" i="22"/>
  <c r="Q351" i="22"/>
  <c r="P352" i="22"/>
  <c r="Q352" i="22"/>
  <c r="P353" i="22"/>
  <c r="Q353" i="22"/>
  <c r="P355" i="22"/>
  <c r="P357" i="22"/>
  <c r="Q357" i="22"/>
  <c r="P359" i="22"/>
  <c r="Q359" i="22"/>
  <c r="P360" i="22"/>
  <c r="Q360" i="22"/>
  <c r="P361" i="22"/>
  <c r="Q361" i="22"/>
  <c r="P362" i="22"/>
  <c r="Q362" i="22"/>
  <c r="P363" i="22"/>
  <c r="Q363" i="22"/>
  <c r="P364" i="22"/>
  <c r="Q364" i="22"/>
  <c r="P365" i="22"/>
  <c r="Q365" i="22"/>
  <c r="P367" i="22"/>
  <c r="Q367" i="22"/>
  <c r="P368" i="22"/>
  <c r="Q368" i="22"/>
  <c r="P369" i="22"/>
  <c r="Q369" i="22"/>
  <c r="P370" i="22"/>
  <c r="Q370" i="22"/>
  <c r="P371" i="22"/>
  <c r="Q371" i="22"/>
  <c r="P372" i="22"/>
  <c r="Q372" i="22"/>
  <c r="P373" i="22"/>
  <c r="Q373" i="22"/>
  <c r="P374" i="22"/>
  <c r="Q374" i="22"/>
  <c r="P375" i="22"/>
  <c r="Q375" i="22"/>
  <c r="P376" i="22"/>
  <c r="Q376" i="22"/>
  <c r="P378" i="22"/>
  <c r="Q378" i="22"/>
  <c r="P380" i="22"/>
  <c r="Q380" i="22"/>
  <c r="P382" i="22"/>
  <c r="P383" i="22"/>
  <c r="P384" i="22"/>
  <c r="Q384" i="22"/>
  <c r="P385" i="22"/>
  <c r="P386" i="22"/>
  <c r="P387" i="22"/>
  <c r="Q387" i="22"/>
  <c r="P388" i="22"/>
  <c r="Q388" i="22"/>
  <c r="P389" i="22"/>
  <c r="P390" i="22"/>
  <c r="Q390" i="22"/>
  <c r="P391" i="22"/>
  <c r="P392" i="22"/>
  <c r="Q392" i="22"/>
  <c r="P393" i="22"/>
  <c r="Q393" i="22"/>
  <c r="P395" i="22"/>
  <c r="Q395" i="22"/>
  <c r="P396" i="22"/>
  <c r="Q396" i="22"/>
  <c r="P397" i="22"/>
  <c r="Q397" i="22"/>
  <c r="P398" i="22"/>
  <c r="Q398" i="22"/>
  <c r="P399" i="22"/>
  <c r="Q399" i="22"/>
  <c r="P400" i="22"/>
  <c r="Q400" i="22"/>
  <c r="P401" i="22"/>
  <c r="Q401" i="22"/>
  <c r="P402" i="22"/>
  <c r="Q402" i="22"/>
  <c r="P403" i="22"/>
  <c r="Q403" i="22"/>
  <c r="P404" i="22"/>
  <c r="Q404" i="22"/>
  <c r="P405" i="22"/>
  <c r="Q405" i="22"/>
  <c r="P407" i="22"/>
  <c r="Q407" i="22"/>
  <c r="P408" i="22"/>
  <c r="P409" i="22"/>
  <c r="Q409" i="22"/>
  <c r="P410" i="22"/>
  <c r="Q410" i="22"/>
  <c r="P411" i="22"/>
  <c r="Q411" i="22"/>
  <c r="P412" i="22"/>
  <c r="Q412" i="22"/>
  <c r="P413" i="22"/>
  <c r="P414" i="22"/>
  <c r="Q414" i="22"/>
  <c r="P415" i="22"/>
  <c r="Q415" i="22"/>
  <c r="P416" i="22"/>
  <c r="Q416" i="22"/>
  <c r="P418" i="22"/>
  <c r="Q418" i="22"/>
  <c r="P419" i="22"/>
  <c r="Q419" i="22"/>
  <c r="P420" i="22"/>
  <c r="Q420" i="22"/>
  <c r="P421" i="22"/>
  <c r="Q421" i="22"/>
  <c r="P422" i="22"/>
  <c r="Q422" i="22"/>
  <c r="P423" i="22"/>
  <c r="Q423" i="22"/>
  <c r="P424" i="22"/>
  <c r="Q424" i="22"/>
  <c r="P425" i="22"/>
  <c r="Q425" i="22"/>
  <c r="P426" i="22"/>
  <c r="Q426" i="22"/>
  <c r="P427" i="22"/>
  <c r="Q427" i="22"/>
  <c r="P428" i="22"/>
  <c r="Q428" i="22"/>
  <c r="P429" i="22"/>
  <c r="Q429" i="22"/>
  <c r="P431" i="22"/>
  <c r="Q431" i="22"/>
  <c r="P432" i="22"/>
  <c r="Q432" i="22"/>
  <c r="P433" i="22"/>
  <c r="Q433" i="22"/>
  <c r="P434" i="22"/>
  <c r="Q434" i="22"/>
  <c r="P435" i="22"/>
  <c r="Q435" i="22"/>
  <c r="P436" i="22"/>
  <c r="Q436" i="22"/>
  <c r="P438" i="22"/>
  <c r="Q438" i="22"/>
  <c r="P439" i="22"/>
  <c r="Q439" i="22"/>
  <c r="P440" i="22"/>
  <c r="Q440" i="22"/>
  <c r="P441" i="22"/>
  <c r="Q441" i="22"/>
  <c r="P443" i="22"/>
  <c r="Q443" i="22"/>
  <c r="P445" i="22"/>
  <c r="Q445" i="22"/>
  <c r="P446" i="22"/>
  <c r="Q446" i="22"/>
  <c r="P447" i="22"/>
  <c r="Q447" i="22"/>
  <c r="P448" i="22"/>
  <c r="Q448" i="22"/>
  <c r="P449" i="22"/>
  <c r="Q449" i="22"/>
  <c r="P450" i="22"/>
  <c r="Q450" i="22"/>
  <c r="P451" i="22"/>
  <c r="Q451" i="22"/>
  <c r="P452" i="22"/>
  <c r="Q452" i="22"/>
  <c r="P453" i="22"/>
  <c r="Q453" i="22"/>
  <c r="P454" i="22"/>
  <c r="Q454" i="22"/>
  <c r="P455" i="22"/>
  <c r="Q455" i="22"/>
  <c r="P456" i="22"/>
  <c r="Q456" i="22"/>
  <c r="P457" i="22"/>
  <c r="Q457" i="22"/>
  <c r="P458" i="22"/>
  <c r="Q458" i="22"/>
  <c r="P459" i="22"/>
  <c r="Q459" i="22"/>
  <c r="P460" i="22"/>
  <c r="Q460" i="22"/>
  <c r="P461" i="22"/>
  <c r="Q461" i="22"/>
  <c r="P462" i="22"/>
  <c r="Q462" i="22"/>
  <c r="P463" i="22"/>
  <c r="Q463" i="22"/>
  <c r="P464" i="22"/>
  <c r="Q464" i="22"/>
  <c r="P465" i="22"/>
  <c r="Q465" i="22"/>
  <c r="P466" i="22"/>
  <c r="Q466" i="22"/>
  <c r="P468" i="22"/>
  <c r="Q468" i="22"/>
  <c r="P469" i="22"/>
  <c r="Q469" i="22"/>
  <c r="P470" i="22"/>
  <c r="Q470" i="22"/>
  <c r="P471" i="22"/>
  <c r="P472" i="22"/>
  <c r="Q472" i="22"/>
  <c r="P473" i="22"/>
  <c r="Q473" i="22"/>
  <c r="P474" i="22"/>
  <c r="Q474" i="22"/>
  <c r="P475" i="22"/>
  <c r="Q475" i="22"/>
  <c r="P476" i="22"/>
  <c r="Q476" i="22"/>
  <c r="P477" i="22"/>
  <c r="Q477" i="22"/>
  <c r="P478" i="22"/>
  <c r="Q478" i="22"/>
  <c r="P479" i="22"/>
  <c r="P481" i="22"/>
  <c r="Q481" i="22"/>
  <c r="P482" i="22"/>
  <c r="Q482" i="22"/>
  <c r="P483" i="22"/>
  <c r="P484" i="22"/>
  <c r="P485" i="22"/>
  <c r="Q485" i="22"/>
  <c r="P486" i="22"/>
  <c r="Q486" i="22"/>
  <c r="P487" i="22"/>
  <c r="Q487" i="22"/>
  <c r="P488" i="22"/>
  <c r="Q488" i="22"/>
  <c r="P489" i="22"/>
  <c r="Q489" i="22"/>
  <c r="P490" i="22"/>
  <c r="Q490" i="22"/>
  <c r="P491" i="22"/>
  <c r="Q491" i="22"/>
  <c r="P493" i="22"/>
  <c r="Q493" i="22"/>
  <c r="P494" i="22"/>
  <c r="Q494" i="22"/>
  <c r="P496" i="22"/>
  <c r="Q496" i="22"/>
  <c r="P498" i="22"/>
  <c r="Q498" i="22"/>
  <c r="P499" i="22"/>
  <c r="Q499" i="22"/>
  <c r="P501" i="22"/>
  <c r="Q501" i="22"/>
  <c r="P502" i="22"/>
  <c r="Q502" i="22"/>
  <c r="P503" i="22"/>
  <c r="Q503" i="22"/>
  <c r="P504" i="22"/>
  <c r="Q504" i="22"/>
  <c r="P505" i="22"/>
  <c r="Q505" i="22"/>
  <c r="P506" i="22"/>
  <c r="Q506" i="22"/>
  <c r="P507" i="22"/>
  <c r="Q507" i="22"/>
  <c r="P508" i="22"/>
  <c r="Q508" i="22"/>
  <c r="P509" i="22"/>
  <c r="Q509" i="22"/>
  <c r="P510" i="22"/>
  <c r="Q510" i="22"/>
  <c r="P511" i="22"/>
  <c r="Q511" i="22"/>
  <c r="P512" i="22"/>
  <c r="Q512" i="22"/>
  <c r="P513" i="22"/>
  <c r="Q513" i="22"/>
  <c r="P514" i="22"/>
  <c r="Q514" i="22"/>
  <c r="P515" i="22"/>
  <c r="Q515" i="22"/>
  <c r="P516" i="22"/>
  <c r="Q516" i="22"/>
  <c r="P517" i="22"/>
  <c r="Q517" i="22"/>
  <c r="P519" i="22"/>
  <c r="Q519" i="22"/>
  <c r="P520" i="22"/>
  <c r="Q520" i="22"/>
  <c r="P521" i="22"/>
  <c r="Q521" i="22"/>
  <c r="P522" i="22"/>
  <c r="Q522" i="22"/>
  <c r="P525" i="22"/>
  <c r="Q525" i="22"/>
  <c r="P527" i="22"/>
  <c r="Q527" i="22"/>
  <c r="P529" i="22"/>
  <c r="Q529" i="22"/>
  <c r="P531" i="22"/>
  <c r="Q531" i="22"/>
  <c r="P533" i="22"/>
  <c r="Q533" i="22"/>
  <c r="P534" i="22"/>
  <c r="Q534" i="22"/>
  <c r="P535" i="22"/>
  <c r="Q535" i="22"/>
  <c r="P536" i="22"/>
  <c r="Q536" i="22"/>
  <c r="P538" i="22"/>
  <c r="Q538" i="22"/>
  <c r="P539" i="22"/>
  <c r="Q539" i="22"/>
  <c r="P541" i="22"/>
  <c r="Q541" i="22"/>
  <c r="P543" i="22"/>
  <c r="Q543" i="22"/>
  <c r="P545" i="22"/>
  <c r="Q545" i="22"/>
  <c r="P547" i="22"/>
  <c r="Q547" i="22"/>
  <c r="P548" i="22"/>
  <c r="Q548" i="22"/>
  <c r="P549" i="22"/>
  <c r="Q549" i="22"/>
  <c r="P550" i="22"/>
  <c r="P551" i="22"/>
  <c r="Q551" i="22"/>
  <c r="P552" i="22"/>
  <c r="Q552" i="22"/>
  <c r="P553" i="22"/>
  <c r="Q553" i="22"/>
  <c r="P554" i="22"/>
  <c r="Q554" i="22"/>
  <c r="P555" i="22"/>
  <c r="Q555" i="22"/>
  <c r="P556" i="22"/>
  <c r="Q556" i="22"/>
  <c r="P558" i="22"/>
  <c r="Q558" i="22"/>
  <c r="P559" i="22"/>
  <c r="Q559" i="22"/>
  <c r="P560" i="22"/>
  <c r="Q560" i="22"/>
  <c r="P561" i="22"/>
  <c r="Q561" i="22"/>
  <c r="P563" i="22"/>
  <c r="Q563" i="22"/>
  <c r="P565" i="22"/>
  <c r="Q565" i="22"/>
  <c r="P567" i="22"/>
  <c r="Q567" i="22"/>
  <c r="P568" i="22"/>
  <c r="Q568" i="22"/>
  <c r="P569" i="22"/>
  <c r="Q569" i="22"/>
  <c r="P570" i="22"/>
  <c r="Q570" i="22"/>
  <c r="P571" i="22"/>
  <c r="Q571" i="22"/>
  <c r="P572" i="22"/>
  <c r="Q572" i="22"/>
  <c r="P573" i="22"/>
  <c r="Q573" i="22"/>
  <c r="P574" i="22"/>
  <c r="Q574" i="22"/>
  <c r="P575" i="22"/>
  <c r="Q575" i="22"/>
  <c r="P576" i="22"/>
  <c r="Q576" i="22"/>
  <c r="P578" i="22"/>
  <c r="Q578" i="22"/>
  <c r="P580" i="22"/>
  <c r="Q580" i="22"/>
  <c r="P582" i="22"/>
  <c r="Q582" i="22"/>
  <c r="P585" i="22"/>
  <c r="Q585" i="22"/>
  <c r="P587" i="22"/>
  <c r="Q587" i="22"/>
  <c r="P588" i="22"/>
  <c r="Q588" i="22"/>
  <c r="P590" i="22"/>
  <c r="Q590" i="22"/>
  <c r="P591" i="22"/>
  <c r="Q591" i="22"/>
  <c r="P592" i="22"/>
  <c r="Q592" i="22"/>
  <c r="P593" i="22"/>
  <c r="Q593" i="22"/>
  <c r="P594" i="22"/>
  <c r="Q594" i="22"/>
  <c r="P595" i="22"/>
  <c r="Q595" i="22"/>
  <c r="P596" i="22"/>
  <c r="Q596" i="22"/>
  <c r="P597" i="22"/>
  <c r="Q597" i="22"/>
  <c r="P599" i="22"/>
  <c r="Q599" i="22"/>
  <c r="P601" i="22"/>
  <c r="Q601" i="22"/>
  <c r="P603" i="22"/>
  <c r="Q603" i="22"/>
  <c r="P604" i="22"/>
  <c r="Q604" i="22"/>
  <c r="P605" i="22"/>
  <c r="Q605" i="22"/>
  <c r="P606" i="22"/>
  <c r="Q606" i="22"/>
  <c r="P607" i="22"/>
  <c r="Q607" i="22"/>
  <c r="P609" i="22"/>
  <c r="Q609" i="22"/>
  <c r="P611" i="22"/>
  <c r="Q611" i="22"/>
  <c r="P613" i="22"/>
  <c r="Q613" i="22"/>
  <c r="P615" i="22"/>
  <c r="Q615" i="22"/>
  <c r="P616" i="22"/>
  <c r="Q616" i="22"/>
  <c r="P617" i="22"/>
  <c r="Q617" i="22"/>
  <c r="P619" i="22"/>
  <c r="Q619" i="22"/>
  <c r="P621" i="22"/>
  <c r="Q621" i="22"/>
  <c r="P623" i="22"/>
  <c r="Q623" i="22"/>
  <c r="P625" i="22"/>
  <c r="Q625" i="22"/>
  <c r="P627" i="22"/>
  <c r="Q627" i="22"/>
  <c r="P629" i="22"/>
  <c r="Q629" i="22"/>
  <c r="P631" i="22"/>
  <c r="Q631" i="22"/>
  <c r="P633" i="22"/>
  <c r="Q633" i="22"/>
  <c r="P635" i="22"/>
  <c r="Q635" i="22"/>
  <c r="P639" i="22"/>
  <c r="Q639" i="22"/>
  <c r="P14" i="22"/>
  <c r="AO639" i="22"/>
  <c r="AN639" i="22"/>
  <c r="AM639" i="22"/>
  <c r="AL639" i="22"/>
  <c r="AH639" i="22"/>
  <c r="AH638" i="22" s="1"/>
  <c r="AE639" i="22"/>
  <c r="AE638" i="22" s="1"/>
  <c r="AB639" i="22"/>
  <c r="AB638" i="22" s="1"/>
  <c r="Y639" i="22"/>
  <c r="R639" i="22"/>
  <c r="I639" i="22"/>
  <c r="H639" i="22" s="1"/>
  <c r="H638" i="22" s="1"/>
  <c r="C639" i="22"/>
  <c r="AJ638" i="22"/>
  <c r="AI638" i="22"/>
  <c r="AG638" i="22"/>
  <c r="AF638" i="22"/>
  <c r="AD638" i="22"/>
  <c r="AC638" i="22"/>
  <c r="AA638" i="22"/>
  <c r="Z638" i="22"/>
  <c r="W638" i="22"/>
  <c r="V638" i="22"/>
  <c r="U638" i="22"/>
  <c r="T638" i="22"/>
  <c r="S638" i="22"/>
  <c r="N638" i="22"/>
  <c r="M638" i="22"/>
  <c r="L638" i="22"/>
  <c r="K638" i="22"/>
  <c r="J638" i="22"/>
  <c r="C638" i="22"/>
  <c r="AO636" i="22"/>
  <c r="AM636" i="22"/>
  <c r="AE636" i="22"/>
  <c r="AB636" i="22"/>
  <c r="AN636" i="22"/>
  <c r="AJ636" i="22"/>
  <c r="AI636" i="22"/>
  <c r="AH636" i="22"/>
  <c r="AG636" i="22"/>
  <c r="AF636" i="22"/>
  <c r="AD636" i="22"/>
  <c r="AC636" i="22"/>
  <c r="AA636" i="22"/>
  <c r="Z636" i="22"/>
  <c r="C636" i="22"/>
  <c r="AO635" i="22"/>
  <c r="AO634" i="22" s="1"/>
  <c r="AN635" i="22"/>
  <c r="AN634" i="22" s="1"/>
  <c r="AM635" i="22"/>
  <c r="AL635" i="22"/>
  <c r="AL634" i="22" s="1"/>
  <c r="AH635" i="22"/>
  <c r="AH634" i="22" s="1"/>
  <c r="AE635" i="22"/>
  <c r="AE634" i="22" s="1"/>
  <c r="AB635" i="22"/>
  <c r="AB634" i="22" s="1"/>
  <c r="Y635" i="22"/>
  <c r="Y634" i="22" s="1"/>
  <c r="O635" i="22"/>
  <c r="O634" i="22" s="1"/>
  <c r="L635" i="22"/>
  <c r="L634" i="22" s="1"/>
  <c r="I635" i="22"/>
  <c r="C635" i="22"/>
  <c r="AJ634" i="22"/>
  <c r="AI634" i="22"/>
  <c r="AG634" i="22"/>
  <c r="AF634" i="22"/>
  <c r="AD634" i="22"/>
  <c r="AC634" i="22"/>
  <c r="AA634" i="22"/>
  <c r="Z634" i="22"/>
  <c r="W634" i="22"/>
  <c r="V634" i="22"/>
  <c r="U634" i="22"/>
  <c r="T634" i="22"/>
  <c r="S634" i="22"/>
  <c r="R634" i="22"/>
  <c r="N634" i="22"/>
  <c r="M634" i="22"/>
  <c r="K634" i="22"/>
  <c r="J634" i="22"/>
  <c r="C634" i="22"/>
  <c r="AO633" i="22"/>
  <c r="AN633" i="22"/>
  <c r="AM633" i="22"/>
  <c r="AL633" i="22"/>
  <c r="AH633" i="22"/>
  <c r="AH632" i="22" s="1"/>
  <c r="AE633" i="22"/>
  <c r="AE632" i="22" s="1"/>
  <c r="Y633" i="22"/>
  <c r="Y632" i="22" s="1"/>
  <c r="R633" i="22"/>
  <c r="O633" i="22" s="1"/>
  <c r="O632" i="22" s="1"/>
  <c r="I633" i="22"/>
  <c r="I632" i="22" s="1"/>
  <c r="C633" i="22"/>
  <c r="AJ632" i="22"/>
  <c r="AI632" i="22"/>
  <c r="AG632" i="22"/>
  <c r="AF632" i="22"/>
  <c r="AD632" i="22"/>
  <c r="AC632" i="22"/>
  <c r="AB632" i="22"/>
  <c r="AA632" i="22"/>
  <c r="Z632" i="22"/>
  <c r="W632" i="22"/>
  <c r="V632" i="22"/>
  <c r="U632" i="22"/>
  <c r="T632" i="22"/>
  <c r="S632" i="22"/>
  <c r="N632" i="22"/>
  <c r="M632" i="22"/>
  <c r="L632" i="22"/>
  <c r="K632" i="22"/>
  <c r="J632" i="22"/>
  <c r="C632" i="22"/>
  <c r="AO631" i="22"/>
  <c r="AN631" i="22"/>
  <c r="AM631" i="22"/>
  <c r="AL631" i="22"/>
  <c r="AH631" i="22"/>
  <c r="AH630" i="22" s="1"/>
  <c r="AE631" i="22"/>
  <c r="AE630" i="22" s="1"/>
  <c r="AB631" i="22"/>
  <c r="AB630" i="22" s="1"/>
  <c r="Y631" i="22"/>
  <c r="Y630" i="22" s="1"/>
  <c r="U631" i="22"/>
  <c r="U630" i="22" s="1"/>
  <c r="R631" i="22"/>
  <c r="L631" i="22"/>
  <c r="I631" i="22"/>
  <c r="I630" i="22" s="1"/>
  <c r="C631" i="22"/>
  <c r="AJ630" i="22"/>
  <c r="AI630" i="22"/>
  <c r="AG630" i="22"/>
  <c r="AF630" i="22"/>
  <c r="AD630" i="22"/>
  <c r="AC630" i="22"/>
  <c r="AA630" i="22"/>
  <c r="Z630" i="22"/>
  <c r="W630" i="22"/>
  <c r="V630" i="22"/>
  <c r="T630" i="22"/>
  <c r="S630" i="22"/>
  <c r="N630" i="22"/>
  <c r="M630" i="22"/>
  <c r="K630" i="22"/>
  <c r="J630" i="22"/>
  <c r="C630" i="22"/>
  <c r="AO629" i="22"/>
  <c r="AO628" i="22" s="1"/>
  <c r="AN629" i="22"/>
  <c r="AN628" i="22" s="1"/>
  <c r="AM629" i="22"/>
  <c r="AM628" i="22" s="1"/>
  <c r="AL629" i="22"/>
  <c r="AL628" i="22" s="1"/>
  <c r="AH629" i="22"/>
  <c r="AH628" i="22" s="1"/>
  <c r="AE629" i="22"/>
  <c r="AE628" i="22" s="1"/>
  <c r="AB629" i="22"/>
  <c r="AB628" i="22" s="1"/>
  <c r="Y629" i="22"/>
  <c r="Y628" i="22" s="1"/>
  <c r="U629" i="22"/>
  <c r="U628" i="22" s="1"/>
  <c r="R629" i="22"/>
  <c r="R628" i="22" s="1"/>
  <c r="I629" i="22"/>
  <c r="H629" i="22" s="1"/>
  <c r="H628" i="22" s="1"/>
  <c r="C629" i="22"/>
  <c r="AR628" i="22"/>
  <c r="AQ628" i="22"/>
  <c r="AJ628" i="22"/>
  <c r="AI628" i="22"/>
  <c r="AG628" i="22"/>
  <c r="AF628" i="22"/>
  <c r="AD628" i="22"/>
  <c r="AC628" i="22"/>
  <c r="AA628" i="22"/>
  <c r="Z628" i="22"/>
  <c r="W628" i="22"/>
  <c r="V628" i="22"/>
  <c r="T628" i="22"/>
  <c r="S628" i="22"/>
  <c r="N628" i="22"/>
  <c r="M628" i="22"/>
  <c r="L628" i="22"/>
  <c r="K628" i="22"/>
  <c r="J628" i="22"/>
  <c r="E628" i="22"/>
  <c r="C628" i="22" s="1"/>
  <c r="AO627" i="22"/>
  <c r="AN627" i="22"/>
  <c r="AM627" i="22"/>
  <c r="AL627" i="22"/>
  <c r="AH627" i="22"/>
  <c r="AH626" i="22" s="1"/>
  <c r="AE627" i="22"/>
  <c r="AE626" i="22" s="1"/>
  <c r="AB627" i="22"/>
  <c r="Y627" i="22"/>
  <c r="Y626" i="22" s="1"/>
  <c r="U627" i="22"/>
  <c r="U626" i="22" s="1"/>
  <c r="L627" i="22"/>
  <c r="L626" i="22" s="1"/>
  <c r="I627" i="22"/>
  <c r="C627" i="22"/>
  <c r="AJ626" i="22"/>
  <c r="AI626" i="22"/>
  <c r="AG626" i="22"/>
  <c r="AF626" i="22"/>
  <c r="AD626" i="22"/>
  <c r="AC626" i="22"/>
  <c r="AB626" i="22"/>
  <c r="AA626" i="22"/>
  <c r="Z626" i="22"/>
  <c r="W626" i="22"/>
  <c r="V626" i="22"/>
  <c r="T626" i="22"/>
  <c r="S626" i="22"/>
  <c r="R626" i="22"/>
  <c r="N626" i="22"/>
  <c r="M626" i="22"/>
  <c r="K626" i="22"/>
  <c r="J626" i="22"/>
  <c r="C626" i="22"/>
  <c r="AO625" i="22"/>
  <c r="AN625" i="22"/>
  <c r="AM625" i="22"/>
  <c r="AL625" i="22"/>
  <c r="AH625" i="22"/>
  <c r="AH624" i="22" s="1"/>
  <c r="AE625" i="22"/>
  <c r="AE624" i="22" s="1"/>
  <c r="AB625" i="22"/>
  <c r="AB624" i="22" s="1"/>
  <c r="Y625" i="22"/>
  <c r="Y624" i="22" s="1"/>
  <c r="U625" i="22"/>
  <c r="R625" i="22"/>
  <c r="R624" i="22" s="1"/>
  <c r="L625" i="22"/>
  <c r="L624" i="22" s="1"/>
  <c r="C625" i="22"/>
  <c r="AJ624" i="22"/>
  <c r="AI624" i="22"/>
  <c r="AG624" i="22"/>
  <c r="AF624" i="22"/>
  <c r="AD624" i="22"/>
  <c r="AC624" i="22"/>
  <c r="AA624" i="22"/>
  <c r="Z624" i="22"/>
  <c r="W624" i="22"/>
  <c r="V624" i="22"/>
  <c r="T624" i="22"/>
  <c r="S624" i="22"/>
  <c r="N624" i="22"/>
  <c r="M624" i="22"/>
  <c r="K624" i="22"/>
  <c r="J624" i="22"/>
  <c r="I624" i="22"/>
  <c r="C624" i="22"/>
  <c r="AO623" i="22"/>
  <c r="AN623" i="22"/>
  <c r="AM623" i="22"/>
  <c r="AL623" i="22"/>
  <c r="AH623" i="22"/>
  <c r="AE623" i="22"/>
  <c r="AE622" i="22" s="1"/>
  <c r="U623" i="22"/>
  <c r="U622" i="22" s="1"/>
  <c r="R623" i="22"/>
  <c r="I623" i="22"/>
  <c r="H623" i="22" s="1"/>
  <c r="H622" i="22" s="1"/>
  <c r="C623" i="22"/>
  <c r="AJ622" i="22"/>
  <c r="AI622" i="22"/>
  <c r="AH622" i="22"/>
  <c r="AG622" i="22"/>
  <c r="AF622" i="22"/>
  <c r="AD622" i="22"/>
  <c r="AC622" i="22"/>
  <c r="AB622" i="22"/>
  <c r="AA622" i="22"/>
  <c r="Z622" i="22"/>
  <c r="Y622" i="22"/>
  <c r="W622" i="22"/>
  <c r="V622" i="22"/>
  <c r="T622" i="22"/>
  <c r="S622" i="22"/>
  <c r="N622" i="22"/>
  <c r="M622" i="22"/>
  <c r="L622" i="22"/>
  <c r="K622" i="22"/>
  <c r="J622" i="22"/>
  <c r="C622" i="22"/>
  <c r="AO621" i="22"/>
  <c r="AO620" i="22" s="1"/>
  <c r="AN621" i="22"/>
  <c r="AM621" i="22"/>
  <c r="AM620" i="22" s="1"/>
  <c r="AL621" i="22"/>
  <c r="AB621" i="22"/>
  <c r="AB620" i="22" s="1"/>
  <c r="Y621" i="22"/>
  <c r="Y620" i="22" s="1"/>
  <c r="U621" i="22"/>
  <c r="R621" i="22"/>
  <c r="R620" i="22" s="1"/>
  <c r="C621" i="22"/>
  <c r="AN620" i="22"/>
  <c r="AJ620" i="22"/>
  <c r="AI620" i="22"/>
  <c r="AH620" i="22"/>
  <c r="AG620" i="22"/>
  <c r="AF620" i="22"/>
  <c r="AE620" i="22"/>
  <c r="AD620" i="22"/>
  <c r="AC620" i="22"/>
  <c r="AA620" i="22"/>
  <c r="Z620" i="22"/>
  <c r="W620" i="22"/>
  <c r="V620" i="22"/>
  <c r="T620" i="22"/>
  <c r="S620" i="22"/>
  <c r="N620" i="22"/>
  <c r="M620" i="22"/>
  <c r="L620" i="22"/>
  <c r="K620" i="22"/>
  <c r="J620" i="22"/>
  <c r="I620" i="22"/>
  <c r="H620" i="22"/>
  <c r="C620" i="22"/>
  <c r="AO619" i="22"/>
  <c r="AN619" i="22"/>
  <c r="AM619" i="22"/>
  <c r="AL619" i="22"/>
  <c r="AH619" i="22"/>
  <c r="AH618" i="22" s="1"/>
  <c r="AE619" i="22"/>
  <c r="AE618" i="22" s="1"/>
  <c r="AB619" i="22"/>
  <c r="AB618" i="22" s="1"/>
  <c r="Y619" i="22"/>
  <c r="U619" i="22"/>
  <c r="O619" i="22" s="1"/>
  <c r="O618" i="22" s="1"/>
  <c r="L619" i="22"/>
  <c r="L618" i="22" s="1"/>
  <c r="I619" i="22"/>
  <c r="C619" i="22"/>
  <c r="AJ618" i="22"/>
  <c r="AI618" i="22"/>
  <c r="AG618" i="22"/>
  <c r="AF618" i="22"/>
  <c r="AD618" i="22"/>
  <c r="AC618" i="22"/>
  <c r="AA618" i="22"/>
  <c r="Z618" i="22"/>
  <c r="W618" i="22"/>
  <c r="V618" i="22"/>
  <c r="T618" i="22"/>
  <c r="S618" i="22"/>
  <c r="R618" i="22"/>
  <c r="N618" i="22"/>
  <c r="M618" i="22"/>
  <c r="K618" i="22"/>
  <c r="J618" i="22"/>
  <c r="C618" i="22"/>
  <c r="AO617" i="22"/>
  <c r="AN617" i="22"/>
  <c r="AM617" i="22"/>
  <c r="AL617" i="22"/>
  <c r="AH617" i="22"/>
  <c r="AE617" i="22"/>
  <c r="AB617" i="22"/>
  <c r="Y617" i="22"/>
  <c r="U617" i="22"/>
  <c r="R617" i="22"/>
  <c r="L617" i="22"/>
  <c r="I617" i="22"/>
  <c r="C617" i="22"/>
  <c r="AO616" i="22"/>
  <c r="AN616" i="22"/>
  <c r="AM616" i="22"/>
  <c r="AL616" i="22"/>
  <c r="AH616" i="22"/>
  <c r="AE616" i="22"/>
  <c r="AB616" i="22"/>
  <c r="Y616" i="22"/>
  <c r="U616" i="22"/>
  <c r="R616" i="22"/>
  <c r="L616" i="22"/>
  <c r="I616" i="22"/>
  <c r="C616" i="22"/>
  <c r="AO615" i="22"/>
  <c r="AN615" i="22"/>
  <c r="AM615" i="22"/>
  <c r="AL615" i="22"/>
  <c r="AH615" i="22"/>
  <c r="AE615" i="22"/>
  <c r="AB615" i="22"/>
  <c r="Y615" i="22"/>
  <c r="U615" i="22"/>
  <c r="R615" i="22"/>
  <c r="L615" i="22"/>
  <c r="I615" i="22"/>
  <c r="C615" i="22"/>
  <c r="AJ614" i="22"/>
  <c r="AI614" i="22"/>
  <c r="AG614" i="22"/>
  <c r="AF614" i="22"/>
  <c r="AD614" i="22"/>
  <c r="AC614" i="22"/>
  <c r="AA614" i="22"/>
  <c r="Z614" i="22"/>
  <c r="W614" i="22"/>
  <c r="V614" i="22"/>
  <c r="T614" i="22"/>
  <c r="S614" i="22"/>
  <c r="N614" i="22"/>
  <c r="M614" i="22"/>
  <c r="K614" i="22"/>
  <c r="J614" i="22"/>
  <c r="G614" i="22"/>
  <c r="F614" i="22"/>
  <c r="E614" i="22"/>
  <c r="AM614" i="22" s="1"/>
  <c r="D614" i="22"/>
  <c r="AL614" i="22" s="1"/>
  <c r="AO613" i="22"/>
  <c r="AN613" i="22"/>
  <c r="AM613" i="22"/>
  <c r="AL613" i="22"/>
  <c r="AH613" i="22"/>
  <c r="AH612" i="22" s="1"/>
  <c r="AE613" i="22"/>
  <c r="AE612" i="22" s="1"/>
  <c r="AB613" i="22"/>
  <c r="AB612" i="22" s="1"/>
  <c r="Y613" i="22"/>
  <c r="U613" i="22"/>
  <c r="U612" i="22" s="1"/>
  <c r="R613" i="22"/>
  <c r="R612" i="22" s="1"/>
  <c r="L613" i="22"/>
  <c r="L612" i="22" s="1"/>
  <c r="I613" i="22"/>
  <c r="C613" i="22"/>
  <c r="AJ612" i="22"/>
  <c r="AI612" i="22"/>
  <c r="AG612" i="22"/>
  <c r="AF612" i="22"/>
  <c r="AD612" i="22"/>
  <c r="AC612" i="22"/>
  <c r="AA612" i="22"/>
  <c r="Z612" i="22"/>
  <c r="W612" i="22"/>
  <c r="V612" i="22"/>
  <c r="T612" i="22"/>
  <c r="S612" i="22"/>
  <c r="N612" i="22"/>
  <c r="M612" i="22"/>
  <c r="K612" i="22"/>
  <c r="J612" i="22"/>
  <c r="C612" i="22"/>
  <c r="AO611" i="22"/>
  <c r="AN611" i="22"/>
  <c r="AM611" i="22"/>
  <c r="AL611" i="22"/>
  <c r="AH611" i="22"/>
  <c r="AH610" i="22" s="1"/>
  <c r="AE611" i="22"/>
  <c r="AE610" i="22" s="1"/>
  <c r="AB611" i="22"/>
  <c r="AB610" i="22" s="1"/>
  <c r="Y611" i="22"/>
  <c r="U611" i="22"/>
  <c r="R611" i="22"/>
  <c r="R610" i="22" s="1"/>
  <c r="L611" i="22"/>
  <c r="L610" i="22" s="1"/>
  <c r="I611" i="22"/>
  <c r="C611" i="22"/>
  <c r="AJ610" i="22"/>
  <c r="AI610" i="22"/>
  <c r="AG610" i="22"/>
  <c r="AF610" i="22"/>
  <c r="AD610" i="22"/>
  <c r="AC610" i="22"/>
  <c r="AA610" i="22"/>
  <c r="Z610" i="22"/>
  <c r="W610" i="22"/>
  <c r="V610" i="22"/>
  <c r="T610" i="22"/>
  <c r="S610" i="22"/>
  <c r="N610" i="22"/>
  <c r="M610" i="22"/>
  <c r="K610" i="22"/>
  <c r="J610" i="22"/>
  <c r="C610" i="22"/>
  <c r="AO609" i="22"/>
  <c r="AN609" i="22"/>
  <c r="AM609" i="22"/>
  <c r="AL609" i="22"/>
  <c r="R609" i="22"/>
  <c r="O609" i="22" s="1"/>
  <c r="O608" i="22" s="1"/>
  <c r="I609" i="22"/>
  <c r="H609" i="22" s="1"/>
  <c r="H608" i="22" s="1"/>
  <c r="C609" i="22"/>
  <c r="AJ608" i="22"/>
  <c r="AI608" i="22"/>
  <c r="AH608" i="22"/>
  <c r="AG608" i="22"/>
  <c r="AF608" i="22"/>
  <c r="AE608" i="22"/>
  <c r="AD608" i="22"/>
  <c r="AC608" i="22"/>
  <c r="AB608" i="22"/>
  <c r="AA608" i="22"/>
  <c r="Z608" i="22"/>
  <c r="Y608" i="22"/>
  <c r="X608" i="22"/>
  <c r="W608" i="22"/>
  <c r="V608" i="22"/>
  <c r="U608" i="22"/>
  <c r="T608" i="22"/>
  <c r="S608" i="22"/>
  <c r="N608" i="22"/>
  <c r="M608" i="22"/>
  <c r="L608" i="22"/>
  <c r="K608" i="22"/>
  <c r="J608" i="22"/>
  <c r="C608" i="22"/>
  <c r="AO607" i="22"/>
  <c r="AN607" i="22"/>
  <c r="AM607" i="22"/>
  <c r="AL607" i="22"/>
  <c r="U607" i="22"/>
  <c r="R607" i="22"/>
  <c r="L607" i="22"/>
  <c r="I607" i="22"/>
  <c r="C607" i="22"/>
  <c r="AO606" i="22"/>
  <c r="AN606" i="22"/>
  <c r="AM606" i="22"/>
  <c r="AL606" i="22"/>
  <c r="U606" i="22"/>
  <c r="R606" i="22"/>
  <c r="L606" i="22"/>
  <c r="I606" i="22"/>
  <c r="C606" i="22"/>
  <c r="AO605" i="22"/>
  <c r="AN605" i="22"/>
  <c r="AM605" i="22"/>
  <c r="AL605" i="22"/>
  <c r="U605" i="22"/>
  <c r="R605" i="22"/>
  <c r="L605" i="22"/>
  <c r="I605" i="22"/>
  <c r="C605" i="22"/>
  <c r="AO604" i="22"/>
  <c r="AN604" i="22"/>
  <c r="AM604" i="22"/>
  <c r="AL604" i="22"/>
  <c r="U604" i="22"/>
  <c r="R604" i="22"/>
  <c r="L604" i="22"/>
  <c r="I604" i="22"/>
  <c r="C604" i="22"/>
  <c r="AO603" i="22"/>
  <c r="AN603" i="22"/>
  <c r="AM603" i="22"/>
  <c r="AL603" i="22"/>
  <c r="U603" i="22"/>
  <c r="R603" i="22"/>
  <c r="L603" i="22"/>
  <c r="I603" i="22"/>
  <c r="C603" i="22"/>
  <c r="AJ602" i="22"/>
  <c r="AI602" i="22"/>
  <c r="AH602" i="22"/>
  <c r="AG602" i="22"/>
  <c r="AF602" i="22"/>
  <c r="AE602" i="22"/>
  <c r="AD602" i="22"/>
  <c r="AC602" i="22"/>
  <c r="AB602" i="22"/>
  <c r="AA602" i="22"/>
  <c r="Z602" i="22"/>
  <c r="Y602" i="22"/>
  <c r="X602" i="22"/>
  <c r="W602" i="22"/>
  <c r="V602" i="22"/>
  <c r="T602" i="22"/>
  <c r="S602" i="22"/>
  <c r="N602" i="22"/>
  <c r="M602" i="22"/>
  <c r="K602" i="22"/>
  <c r="J602" i="22"/>
  <c r="C602" i="22"/>
  <c r="AO601" i="22"/>
  <c r="AO600" i="22" s="1"/>
  <c r="AN601" i="22"/>
  <c r="AN600" i="22" s="1"/>
  <c r="AL601" i="22"/>
  <c r="AL600" i="22" s="1"/>
  <c r="R601" i="22"/>
  <c r="O601" i="22" s="1"/>
  <c r="O600" i="22" s="1"/>
  <c r="I601" i="22"/>
  <c r="I600" i="22" s="1"/>
  <c r="E601" i="22"/>
  <c r="AM601" i="22" s="1"/>
  <c r="AM600" i="22" s="1"/>
  <c r="AR600" i="22"/>
  <c r="AQ600" i="22"/>
  <c r="AJ600" i="22"/>
  <c r="AI600" i="22"/>
  <c r="AH600" i="22"/>
  <c r="AG600" i="22"/>
  <c r="AF600" i="22"/>
  <c r="AE600" i="22"/>
  <c r="AD600" i="22"/>
  <c r="AC600" i="22"/>
  <c r="AB600" i="22"/>
  <c r="AA600" i="22"/>
  <c r="Z600" i="22"/>
  <c r="Y600" i="22"/>
  <c r="X600" i="22"/>
  <c r="W600" i="22"/>
  <c r="V600" i="22"/>
  <c r="U600" i="22"/>
  <c r="T600" i="22"/>
  <c r="S600" i="22"/>
  <c r="N600" i="22"/>
  <c r="M600" i="22"/>
  <c r="L600" i="22"/>
  <c r="K600" i="22"/>
  <c r="J600" i="22"/>
  <c r="G600" i="22"/>
  <c r="G583" i="22" s="1"/>
  <c r="F600" i="22"/>
  <c r="D600" i="22"/>
  <c r="AO599" i="22"/>
  <c r="AO598" i="22" s="1"/>
  <c r="AN599" i="22"/>
  <c r="AM599" i="22"/>
  <c r="AL599" i="22"/>
  <c r="AL598" i="22" s="1"/>
  <c r="R599" i="22"/>
  <c r="R598" i="22" s="1"/>
  <c r="I599" i="22"/>
  <c r="H599" i="22" s="1"/>
  <c r="H598" i="22" s="1"/>
  <c r="C599" i="22"/>
  <c r="AR598" i="22"/>
  <c r="AQ598" i="22"/>
  <c r="AN598" i="22"/>
  <c r="AJ598" i="22"/>
  <c r="AI598" i="22"/>
  <c r="AH598" i="22"/>
  <c r="AG598" i="22"/>
  <c r="AF598" i="22"/>
  <c r="AE598" i="22"/>
  <c r="AD598" i="22"/>
  <c r="AC598" i="22"/>
  <c r="AB598" i="22"/>
  <c r="AA598" i="22"/>
  <c r="Z598" i="22"/>
  <c r="Y598" i="22"/>
  <c r="X598" i="22"/>
  <c r="W598" i="22"/>
  <c r="V598" i="22"/>
  <c r="U598" i="22"/>
  <c r="T598" i="22"/>
  <c r="S598" i="22"/>
  <c r="N598" i="22"/>
  <c r="M598" i="22"/>
  <c r="L598" i="22"/>
  <c r="K598" i="22"/>
  <c r="J598" i="22"/>
  <c r="I598" i="22"/>
  <c r="C598" i="22"/>
  <c r="AO597" i="22"/>
  <c r="AN597" i="22"/>
  <c r="AM597" i="22"/>
  <c r="AL597" i="22"/>
  <c r="AB597" i="22"/>
  <c r="X597" i="22" s="1"/>
  <c r="U597" i="22"/>
  <c r="O597" i="22" s="1"/>
  <c r="L597" i="22"/>
  <c r="I597" i="22"/>
  <c r="C597" i="22"/>
  <c r="AO596" i="22"/>
  <c r="AN596" i="22"/>
  <c r="AM596" i="22"/>
  <c r="AL596" i="22"/>
  <c r="AB596" i="22"/>
  <c r="Y596" i="22"/>
  <c r="U596" i="22"/>
  <c r="O596" i="22" s="1"/>
  <c r="L596" i="22"/>
  <c r="I596" i="22"/>
  <c r="C596" i="22"/>
  <c r="AO595" i="22"/>
  <c r="AN595" i="22"/>
  <c r="AM595" i="22"/>
  <c r="AL595" i="22"/>
  <c r="AB595" i="22"/>
  <c r="Y595" i="22"/>
  <c r="U595" i="22"/>
  <c r="O595" i="22" s="1"/>
  <c r="L595" i="22"/>
  <c r="I595" i="22"/>
  <c r="C595" i="22"/>
  <c r="AO594" i="22"/>
  <c r="AN594" i="22"/>
  <c r="AM594" i="22"/>
  <c r="AL594" i="22"/>
  <c r="AB594" i="22"/>
  <c r="Y594" i="22"/>
  <c r="U594" i="22"/>
  <c r="O594" i="22" s="1"/>
  <c r="L594" i="22"/>
  <c r="I594" i="22"/>
  <c r="C594" i="22"/>
  <c r="AO593" i="22"/>
  <c r="AN593" i="22"/>
  <c r="AM593" i="22"/>
  <c r="AL593" i="22"/>
  <c r="AB593" i="22"/>
  <c r="Y593" i="22"/>
  <c r="U593" i="22"/>
  <c r="O593" i="22" s="1"/>
  <c r="L593" i="22"/>
  <c r="I593" i="22"/>
  <c r="C593" i="22"/>
  <c r="AO592" i="22"/>
  <c r="AN592" i="22"/>
  <c r="AM592" i="22"/>
  <c r="AL592" i="22"/>
  <c r="AB592" i="22"/>
  <c r="Y592" i="22"/>
  <c r="U592" i="22"/>
  <c r="O592" i="22" s="1"/>
  <c r="L592" i="22"/>
  <c r="I592" i="22"/>
  <c r="C592" i="22"/>
  <c r="AO591" i="22"/>
  <c r="AN591" i="22"/>
  <c r="AM591" i="22"/>
  <c r="AL591" i="22"/>
  <c r="AB591" i="22"/>
  <c r="Y591" i="22"/>
  <c r="U591" i="22"/>
  <c r="O591" i="22" s="1"/>
  <c r="L591" i="22"/>
  <c r="I591" i="22"/>
  <c r="C591" i="22"/>
  <c r="AO590" i="22"/>
  <c r="AN590" i="22"/>
  <c r="AM590" i="22"/>
  <c r="AL590" i="22"/>
  <c r="AB590" i="22"/>
  <c r="Y590" i="22"/>
  <c r="U590" i="22"/>
  <c r="O590" i="22" s="1"/>
  <c r="L590" i="22"/>
  <c r="I590" i="22"/>
  <c r="C590" i="22"/>
  <c r="AJ589" i="22"/>
  <c r="AI589" i="22"/>
  <c r="AH589" i="22"/>
  <c r="AG589" i="22"/>
  <c r="AF589" i="22"/>
  <c r="AE589" i="22"/>
  <c r="AD589" i="22"/>
  <c r="AC589" i="22"/>
  <c r="AA589" i="22"/>
  <c r="Z589" i="22"/>
  <c r="W589" i="22"/>
  <c r="V589" i="22"/>
  <c r="T589" i="22"/>
  <c r="S589" i="22"/>
  <c r="R589" i="22"/>
  <c r="N589" i="22"/>
  <c r="M589" i="22"/>
  <c r="K589" i="22"/>
  <c r="J589" i="22"/>
  <c r="C589" i="22"/>
  <c r="AO588" i="22"/>
  <c r="AN588" i="22"/>
  <c r="AM588" i="22"/>
  <c r="AL588" i="22"/>
  <c r="Y588" i="22"/>
  <c r="X588" i="22" s="1"/>
  <c r="X586" i="22" s="1"/>
  <c r="R588" i="22"/>
  <c r="I588" i="22"/>
  <c r="H588" i="22" s="1"/>
  <c r="C588" i="22"/>
  <c r="AO587" i="22"/>
  <c r="AN587" i="22"/>
  <c r="AN586" i="22" s="1"/>
  <c r="AM587" i="22"/>
  <c r="AL587" i="22"/>
  <c r="U587" i="22"/>
  <c r="O587" i="22" s="1"/>
  <c r="L587" i="22"/>
  <c r="I587" i="22"/>
  <c r="I586" i="22" s="1"/>
  <c r="C587" i="22"/>
  <c r="AR586" i="22"/>
  <c r="AQ586" i="22"/>
  <c r="AJ586" i="22"/>
  <c r="AI586" i="22"/>
  <c r="AH586" i="22"/>
  <c r="AG586" i="22"/>
  <c r="AF586" i="22"/>
  <c r="AE586" i="22"/>
  <c r="AD586" i="22"/>
  <c r="AC586" i="22"/>
  <c r="AB586" i="22"/>
  <c r="AA586" i="22"/>
  <c r="Z586" i="22"/>
  <c r="W586" i="22"/>
  <c r="V586" i="22"/>
  <c r="T586" i="22"/>
  <c r="S586" i="22"/>
  <c r="N586" i="22"/>
  <c r="M586" i="22"/>
  <c r="K586" i="22"/>
  <c r="J586" i="22"/>
  <c r="C586" i="22"/>
  <c r="AO585" i="22"/>
  <c r="AN585" i="22"/>
  <c r="AM585" i="22"/>
  <c r="AL585" i="22"/>
  <c r="U585" i="22"/>
  <c r="R585" i="22"/>
  <c r="R584" i="22" s="1"/>
  <c r="L585" i="22"/>
  <c r="L584" i="22" s="1"/>
  <c r="I585" i="22"/>
  <c r="C585" i="22"/>
  <c r="AJ584" i="22"/>
  <c r="AI584" i="22"/>
  <c r="AH584" i="22"/>
  <c r="AG584" i="22"/>
  <c r="AF584" i="22"/>
  <c r="AE584" i="22"/>
  <c r="AD584" i="22"/>
  <c r="AC584" i="22"/>
  <c r="AB584" i="22"/>
  <c r="AA584" i="22"/>
  <c r="Z584" i="22"/>
  <c r="Y584" i="22"/>
  <c r="X584" i="22"/>
  <c r="W584" i="22"/>
  <c r="V584" i="22"/>
  <c r="U584" i="22"/>
  <c r="T584" i="22"/>
  <c r="S584" i="22"/>
  <c r="N584" i="22"/>
  <c r="M584" i="22"/>
  <c r="K584" i="22"/>
  <c r="J584" i="22"/>
  <c r="C584" i="22"/>
  <c r="AO582" i="22"/>
  <c r="AO581" i="22" s="1"/>
  <c r="AN582" i="22"/>
  <c r="AM582" i="22"/>
  <c r="AM581" i="22" s="1"/>
  <c r="AL582" i="22"/>
  <c r="AL581" i="22" s="1"/>
  <c r="U582" i="22"/>
  <c r="R582" i="22"/>
  <c r="I582" i="22"/>
  <c r="H582" i="22" s="1"/>
  <c r="H581" i="22" s="1"/>
  <c r="AR581" i="22"/>
  <c r="AQ581" i="22"/>
  <c r="AJ581" i="22"/>
  <c r="AI581" i="22"/>
  <c r="AH581" i="22"/>
  <c r="AG581" i="22"/>
  <c r="AF581" i="22"/>
  <c r="AE581" i="22"/>
  <c r="AD581" i="22"/>
  <c r="AC581" i="22"/>
  <c r="AB581" i="22"/>
  <c r="AA581" i="22"/>
  <c r="Z581" i="22"/>
  <c r="Y581" i="22"/>
  <c r="X581" i="22"/>
  <c r="W581" i="22"/>
  <c r="Q581" i="22" s="1"/>
  <c r="V581" i="22"/>
  <c r="P581" i="22" s="1"/>
  <c r="R581" i="22"/>
  <c r="N581" i="22"/>
  <c r="M581" i="22"/>
  <c r="L581" i="22"/>
  <c r="K581" i="22"/>
  <c r="J581" i="22"/>
  <c r="AO580" i="22"/>
  <c r="AO579" i="22" s="1"/>
  <c r="AN580" i="22"/>
  <c r="AN579" i="22" s="1"/>
  <c r="AM580" i="22"/>
  <c r="AM579" i="22" s="1"/>
  <c r="AL580" i="22"/>
  <c r="AH580" i="22"/>
  <c r="AH579" i="22" s="1"/>
  <c r="AE580" i="22"/>
  <c r="Y580" i="22"/>
  <c r="U580" i="22"/>
  <c r="U579" i="22" s="1"/>
  <c r="R580" i="22"/>
  <c r="R579" i="22" s="1"/>
  <c r="I580" i="22"/>
  <c r="H580" i="22" s="1"/>
  <c r="H579" i="22" s="1"/>
  <c r="C580" i="22"/>
  <c r="AR579" i="22"/>
  <c r="AQ579" i="22"/>
  <c r="AJ579" i="22"/>
  <c r="AI579" i="22"/>
  <c r="AG579" i="22"/>
  <c r="AF579" i="22"/>
  <c r="AE579" i="22"/>
  <c r="AD579" i="22"/>
  <c r="AC579" i="22"/>
  <c r="AB579" i="22"/>
  <c r="AA579" i="22"/>
  <c r="Z579" i="22"/>
  <c r="W579" i="22"/>
  <c r="V579" i="22"/>
  <c r="T579" i="22"/>
  <c r="S579" i="22"/>
  <c r="N579" i="22"/>
  <c r="M579" i="22"/>
  <c r="L579" i="22"/>
  <c r="K579" i="22"/>
  <c r="J579" i="22"/>
  <c r="C579" i="22"/>
  <c r="AO578" i="22"/>
  <c r="AO577" i="22" s="1"/>
  <c r="AN578" i="22"/>
  <c r="AM578" i="22"/>
  <c r="AM577" i="22" s="1"/>
  <c r="AL578" i="22"/>
  <c r="AL577" i="22" s="1"/>
  <c r="U578" i="22"/>
  <c r="R578" i="22"/>
  <c r="I578" i="22"/>
  <c r="I577" i="22" s="1"/>
  <c r="AR577" i="22"/>
  <c r="AQ577" i="22"/>
  <c r="AJ577" i="22"/>
  <c r="AI577" i="22"/>
  <c r="AH577" i="22"/>
  <c r="AG577" i="22"/>
  <c r="AF577" i="22"/>
  <c r="AE577" i="22"/>
  <c r="AD577" i="22"/>
  <c r="AC577" i="22"/>
  <c r="AB577" i="22"/>
  <c r="AA577" i="22"/>
  <c r="Z577" i="22"/>
  <c r="Y577" i="22"/>
  <c r="X577" i="22"/>
  <c r="W577" i="22"/>
  <c r="Q577" i="22" s="1"/>
  <c r="V577" i="22"/>
  <c r="P577" i="22" s="1"/>
  <c r="R577" i="22"/>
  <c r="N577" i="22"/>
  <c r="M577" i="22"/>
  <c r="L577" i="22"/>
  <c r="K577" i="22"/>
  <c r="J577" i="22"/>
  <c r="AO576" i="22"/>
  <c r="AN576" i="22"/>
  <c r="AM576" i="22"/>
  <c r="AL576" i="22"/>
  <c r="U576" i="22"/>
  <c r="R576" i="22"/>
  <c r="L576" i="22"/>
  <c r="I576" i="22"/>
  <c r="AO575" i="22"/>
  <c r="AN575" i="22"/>
  <c r="AM575" i="22"/>
  <c r="AL575" i="22"/>
  <c r="U575" i="22"/>
  <c r="R575" i="22"/>
  <c r="L575" i="22"/>
  <c r="I575" i="22"/>
  <c r="AO574" i="22"/>
  <c r="AN574" i="22"/>
  <c r="AM574" i="22"/>
  <c r="AL574" i="22"/>
  <c r="U574" i="22"/>
  <c r="R574" i="22"/>
  <c r="L574" i="22"/>
  <c r="I574" i="22"/>
  <c r="AO573" i="22"/>
  <c r="AN573" i="22"/>
  <c r="AM573" i="22"/>
  <c r="AL573" i="22"/>
  <c r="U573" i="22"/>
  <c r="R573" i="22"/>
  <c r="L573" i="22"/>
  <c r="I573" i="22"/>
  <c r="AO572" i="22"/>
  <c r="AN572" i="22"/>
  <c r="AM572" i="22"/>
  <c r="AL572" i="22"/>
  <c r="U572" i="22"/>
  <c r="R572" i="22"/>
  <c r="L572" i="22"/>
  <c r="I572" i="22"/>
  <c r="AO571" i="22"/>
  <c r="AN571" i="22"/>
  <c r="AM571" i="22"/>
  <c r="AL571" i="22"/>
  <c r="U571" i="22"/>
  <c r="R571" i="22"/>
  <c r="L571" i="22"/>
  <c r="I571" i="22"/>
  <c r="AO570" i="22"/>
  <c r="AN570" i="22"/>
  <c r="AM570" i="22"/>
  <c r="AL570" i="22"/>
  <c r="U570" i="22"/>
  <c r="R570" i="22"/>
  <c r="L570" i="22"/>
  <c r="I570" i="22"/>
  <c r="AO569" i="22"/>
  <c r="AN569" i="22"/>
  <c r="AM569" i="22"/>
  <c r="AL569" i="22"/>
  <c r="U569" i="22"/>
  <c r="R569" i="22"/>
  <c r="L569" i="22"/>
  <c r="I569" i="22"/>
  <c r="AO568" i="22"/>
  <c r="AN568" i="22"/>
  <c r="AM568" i="22"/>
  <c r="AL568" i="22"/>
  <c r="U568" i="22"/>
  <c r="R568" i="22"/>
  <c r="L568" i="22"/>
  <c r="I568" i="22"/>
  <c r="AO567" i="22"/>
  <c r="AN567" i="22"/>
  <c r="AM567" i="22"/>
  <c r="AL567" i="22"/>
  <c r="U567" i="22"/>
  <c r="R567" i="22"/>
  <c r="L567" i="22"/>
  <c r="I567" i="22"/>
  <c r="AJ566" i="22"/>
  <c r="AI566" i="22"/>
  <c r="AH566" i="22"/>
  <c r="AG566" i="22"/>
  <c r="AF566" i="22"/>
  <c r="AE566" i="22"/>
  <c r="AD566" i="22"/>
  <c r="AC566" i="22"/>
  <c r="AB566" i="22"/>
  <c r="AA566" i="22"/>
  <c r="Z566" i="22"/>
  <c r="Y566" i="22"/>
  <c r="X566" i="22"/>
  <c r="W566" i="22"/>
  <c r="Q566" i="22" s="1"/>
  <c r="V566" i="22"/>
  <c r="P566" i="22" s="1"/>
  <c r="R566" i="22"/>
  <c r="N566" i="22"/>
  <c r="M566" i="22"/>
  <c r="K566" i="22"/>
  <c r="J566" i="22"/>
  <c r="AO565" i="22"/>
  <c r="AO564" i="22" s="1"/>
  <c r="AN565" i="22"/>
  <c r="AM565" i="22"/>
  <c r="AM564" i="22" s="1"/>
  <c r="AL565" i="22"/>
  <c r="AL564" i="22" s="1"/>
  <c r="U565" i="22"/>
  <c r="R565" i="22"/>
  <c r="I565" i="22"/>
  <c r="H565" i="22" s="1"/>
  <c r="H564" i="22" s="1"/>
  <c r="AR564" i="22"/>
  <c r="AQ564" i="22"/>
  <c r="AN564" i="22"/>
  <c r="AJ564" i="22"/>
  <c r="AI564" i="22"/>
  <c r="AH564" i="22"/>
  <c r="AG564" i="22"/>
  <c r="AF564" i="22"/>
  <c r="AE564" i="22"/>
  <c r="AD564" i="22"/>
  <c r="AC564" i="22"/>
  <c r="AB564" i="22"/>
  <c r="AA564" i="22"/>
  <c r="Z564" i="22"/>
  <c r="Y564" i="22"/>
  <c r="X564" i="22"/>
  <c r="W564" i="22"/>
  <c r="Q564" i="22" s="1"/>
  <c r="V564" i="22"/>
  <c r="R564" i="22"/>
  <c r="N564" i="22"/>
  <c r="M564" i="22"/>
  <c r="L564" i="22"/>
  <c r="K564" i="22"/>
  <c r="J564" i="22"/>
  <c r="AO563" i="22"/>
  <c r="AO562" i="22" s="1"/>
  <c r="AN563" i="22"/>
  <c r="AM563" i="22"/>
  <c r="AM562" i="22" s="1"/>
  <c r="AL563" i="22"/>
  <c r="AL562" i="22" s="1"/>
  <c r="U563" i="22"/>
  <c r="R563" i="22"/>
  <c r="I563" i="22"/>
  <c r="AR562" i="22"/>
  <c r="AQ562" i="22"/>
  <c r="AJ562" i="22"/>
  <c r="AI562" i="22"/>
  <c r="AH562" i="22"/>
  <c r="AG562" i="22"/>
  <c r="AF562" i="22"/>
  <c r="AE562" i="22"/>
  <c r="AD562" i="22"/>
  <c r="AC562" i="22"/>
  <c r="AB562" i="22"/>
  <c r="AA562" i="22"/>
  <c r="Z562" i="22"/>
  <c r="Y562" i="22"/>
  <c r="X562" i="22"/>
  <c r="W562" i="22"/>
  <c r="Q562" i="22" s="1"/>
  <c r="V562" i="22"/>
  <c r="P562" i="22" s="1"/>
  <c r="R562" i="22"/>
  <c r="N562" i="22"/>
  <c r="M562" i="22"/>
  <c r="L562" i="22"/>
  <c r="K562" i="22"/>
  <c r="J562" i="22"/>
  <c r="AO561" i="22"/>
  <c r="AN561" i="22"/>
  <c r="AM561" i="22"/>
  <c r="AL561" i="22"/>
  <c r="U561" i="22"/>
  <c r="R561" i="22"/>
  <c r="I561" i="22"/>
  <c r="H561" i="22" s="1"/>
  <c r="AO560" i="22"/>
  <c r="AN560" i="22"/>
  <c r="AM560" i="22"/>
  <c r="AL560" i="22"/>
  <c r="U560" i="22"/>
  <c r="R560" i="22"/>
  <c r="I560" i="22"/>
  <c r="H560" i="22" s="1"/>
  <c r="AO559" i="22"/>
  <c r="AN559" i="22"/>
  <c r="AM559" i="22"/>
  <c r="AL559" i="22"/>
  <c r="U559" i="22"/>
  <c r="R559" i="22"/>
  <c r="I559" i="22"/>
  <c r="H559" i="22" s="1"/>
  <c r="AO558" i="22"/>
  <c r="AN558" i="22"/>
  <c r="AL558" i="22"/>
  <c r="U558" i="22"/>
  <c r="R558" i="22"/>
  <c r="K558" i="22"/>
  <c r="I558" i="22" s="1"/>
  <c r="H558" i="22" s="1"/>
  <c r="AJ557" i="22"/>
  <c r="AI557" i="22"/>
  <c r="AH557" i="22"/>
  <c r="AG557" i="22"/>
  <c r="AF557" i="22"/>
  <c r="AE557" i="22"/>
  <c r="AD557" i="22"/>
  <c r="AC557" i="22"/>
  <c r="AB557" i="22"/>
  <c r="AA557" i="22"/>
  <c r="Z557" i="22"/>
  <c r="Y557" i="22"/>
  <c r="X557" i="22"/>
  <c r="W557" i="22"/>
  <c r="V557" i="22"/>
  <c r="T557" i="22"/>
  <c r="S557" i="22"/>
  <c r="N557" i="22"/>
  <c r="M557" i="22"/>
  <c r="L557" i="22"/>
  <c r="J557" i="22"/>
  <c r="AO556" i="22"/>
  <c r="AN556" i="22"/>
  <c r="AL556" i="22"/>
  <c r="U556" i="22"/>
  <c r="R556" i="22"/>
  <c r="E556" i="22"/>
  <c r="AO555" i="22"/>
  <c r="AN555" i="22"/>
  <c r="AM555" i="22"/>
  <c r="AL555" i="22"/>
  <c r="AH555" i="22"/>
  <c r="AE555" i="22"/>
  <c r="AB555" i="22"/>
  <c r="Y555" i="22"/>
  <c r="U555" i="22"/>
  <c r="R555" i="22"/>
  <c r="L555" i="22"/>
  <c r="I555" i="22"/>
  <c r="C555" i="22"/>
  <c r="AO554" i="22"/>
  <c r="AN554" i="22"/>
  <c r="AM554" i="22"/>
  <c r="AL554" i="22"/>
  <c r="U554" i="22"/>
  <c r="R554" i="22"/>
  <c r="L554" i="22"/>
  <c r="H554" i="22" s="1"/>
  <c r="C554" i="22"/>
  <c r="AO553" i="22"/>
  <c r="AN553" i="22"/>
  <c r="AM553" i="22"/>
  <c r="AL553" i="22"/>
  <c r="AH553" i="22"/>
  <c r="AE553" i="22"/>
  <c r="AB553" i="22"/>
  <c r="Y553" i="22"/>
  <c r="U553" i="22"/>
  <c r="R553" i="22"/>
  <c r="L553" i="22"/>
  <c r="I553" i="22"/>
  <c r="C553" i="22"/>
  <c r="AO552" i="22"/>
  <c r="AN552" i="22"/>
  <c r="AM552" i="22"/>
  <c r="AL552" i="22"/>
  <c r="AH552" i="22"/>
  <c r="AE552" i="22"/>
  <c r="AB552" i="22"/>
  <c r="Y552" i="22"/>
  <c r="U552" i="22"/>
  <c r="R552" i="22"/>
  <c r="L552" i="22"/>
  <c r="I552" i="22"/>
  <c r="C552" i="22"/>
  <c r="AO551" i="22"/>
  <c r="AN551" i="22"/>
  <c r="AM551" i="22"/>
  <c r="AL551" i="22"/>
  <c r="AH551" i="22"/>
  <c r="AE551" i="22"/>
  <c r="AB551" i="22"/>
  <c r="Y551" i="22"/>
  <c r="U551" i="22"/>
  <c r="R551" i="22"/>
  <c r="L551" i="22"/>
  <c r="I551" i="22"/>
  <c r="C551" i="22"/>
  <c r="AN550" i="22"/>
  <c r="AM550" i="22"/>
  <c r="AL550" i="22"/>
  <c r="R550" i="22"/>
  <c r="L550" i="22"/>
  <c r="I550" i="22"/>
  <c r="G550" i="22"/>
  <c r="AO549" i="22"/>
  <c r="AN549" i="22"/>
  <c r="AM549" i="22"/>
  <c r="AL549" i="22"/>
  <c r="AH549" i="22"/>
  <c r="AE549" i="22"/>
  <c r="AB549" i="22"/>
  <c r="Y549" i="22"/>
  <c r="U549" i="22"/>
  <c r="R549" i="22"/>
  <c r="L549" i="22"/>
  <c r="I549" i="22"/>
  <c r="C549" i="22"/>
  <c r="AO548" i="22"/>
  <c r="AN548" i="22"/>
  <c r="AM548" i="22"/>
  <c r="AL548" i="22"/>
  <c r="AH548" i="22"/>
  <c r="AE548" i="22"/>
  <c r="AB548" i="22"/>
  <c r="Y548" i="22"/>
  <c r="U548" i="22"/>
  <c r="R548" i="22"/>
  <c r="L548" i="22"/>
  <c r="I548" i="22"/>
  <c r="C548" i="22"/>
  <c r="AN547" i="22"/>
  <c r="AM547" i="22"/>
  <c r="AL547" i="22"/>
  <c r="AH547" i="22"/>
  <c r="AE547" i="22"/>
  <c r="AD547" i="22"/>
  <c r="Y547" i="22"/>
  <c r="U547" i="22"/>
  <c r="R547" i="22"/>
  <c r="L547" i="22"/>
  <c r="I547" i="22"/>
  <c r="G547" i="22"/>
  <c r="C547" i="22" s="1"/>
  <c r="AJ546" i="22"/>
  <c r="AI546" i="22"/>
  <c r="AG546" i="22"/>
  <c r="AF546" i="22"/>
  <c r="AC546" i="22"/>
  <c r="AA546" i="22"/>
  <c r="Z546" i="22"/>
  <c r="V546" i="22"/>
  <c r="P546" i="22" s="1"/>
  <c r="R546" i="22"/>
  <c r="N546" i="22"/>
  <c r="M546" i="22"/>
  <c r="K546" i="22"/>
  <c r="J546" i="22"/>
  <c r="F546" i="22"/>
  <c r="F523" i="22" s="1"/>
  <c r="E546" i="22"/>
  <c r="E523" i="22" s="1"/>
  <c r="D546" i="22"/>
  <c r="D523" i="22" s="1"/>
  <c r="AO545" i="22"/>
  <c r="AO544" i="22" s="1"/>
  <c r="AN545" i="22"/>
  <c r="AN544" i="22" s="1"/>
  <c r="AM545" i="22"/>
  <c r="AM544" i="22" s="1"/>
  <c r="AL545" i="22"/>
  <c r="AL544" i="22" s="1"/>
  <c r="U545" i="22"/>
  <c r="U544" i="22" s="1"/>
  <c r="R545" i="22"/>
  <c r="R544" i="22" s="1"/>
  <c r="I545" i="22"/>
  <c r="H545" i="22" s="1"/>
  <c r="H544" i="22" s="1"/>
  <c r="AJ544" i="22"/>
  <c r="AI544" i="22"/>
  <c r="AH544" i="22"/>
  <c r="AG544" i="22"/>
  <c r="AF544" i="22"/>
  <c r="AE544" i="22"/>
  <c r="AD544" i="22"/>
  <c r="AC544" i="22"/>
  <c r="AB544" i="22"/>
  <c r="AA544" i="22"/>
  <c r="Z544" i="22"/>
  <c r="Y544" i="22"/>
  <c r="X544" i="22"/>
  <c r="W544" i="22"/>
  <c r="V544" i="22"/>
  <c r="T544" i="22"/>
  <c r="S544" i="22"/>
  <c r="N544" i="22"/>
  <c r="M544" i="22"/>
  <c r="L544" i="22"/>
  <c r="K544" i="22"/>
  <c r="J544" i="22"/>
  <c r="AO543" i="22"/>
  <c r="AO542" i="22" s="1"/>
  <c r="AN543" i="22"/>
  <c r="AN542" i="22" s="1"/>
  <c r="AM543" i="22"/>
  <c r="AM542" i="22" s="1"/>
  <c r="AL543" i="22"/>
  <c r="AL542" i="22" s="1"/>
  <c r="U543" i="22"/>
  <c r="R543" i="22"/>
  <c r="R542" i="22" s="1"/>
  <c r="I543" i="22"/>
  <c r="H543" i="22" s="1"/>
  <c r="H542" i="22" s="1"/>
  <c r="AJ542" i="22"/>
  <c r="AI542" i="22"/>
  <c r="AH542" i="22"/>
  <c r="AG542" i="22"/>
  <c r="AF542" i="22"/>
  <c r="AE542" i="22"/>
  <c r="AD542" i="22"/>
  <c r="AC542" i="22"/>
  <c r="AB542" i="22"/>
  <c r="AA542" i="22"/>
  <c r="Z542" i="22"/>
  <c r="Y542" i="22"/>
  <c r="X542" i="22"/>
  <c r="W542" i="22"/>
  <c r="V542" i="22"/>
  <c r="T542" i="22"/>
  <c r="S542" i="22"/>
  <c r="N542" i="22"/>
  <c r="M542" i="22"/>
  <c r="L542" i="22"/>
  <c r="K542" i="22"/>
  <c r="J542" i="22"/>
  <c r="AO541" i="22"/>
  <c r="AO540" i="22" s="1"/>
  <c r="AN541" i="22"/>
  <c r="AN540" i="22" s="1"/>
  <c r="AM541" i="22"/>
  <c r="AM540" i="22" s="1"/>
  <c r="AL541" i="22"/>
  <c r="AL540" i="22" s="1"/>
  <c r="U541" i="22"/>
  <c r="R541" i="22"/>
  <c r="I541" i="22"/>
  <c r="H541" i="22" s="1"/>
  <c r="H540" i="22" s="1"/>
  <c r="AR540" i="22"/>
  <c r="AQ540" i="22"/>
  <c r="AJ540" i="22"/>
  <c r="AI540" i="22"/>
  <c r="AH540" i="22"/>
  <c r="AG540" i="22"/>
  <c r="AF540" i="22"/>
  <c r="AE540" i="22"/>
  <c r="AD540" i="22"/>
  <c r="AC540" i="22"/>
  <c r="AB540" i="22"/>
  <c r="AA540" i="22"/>
  <c r="Z540" i="22"/>
  <c r="Y540" i="22"/>
  <c r="X540" i="22"/>
  <c r="W540" i="22"/>
  <c r="Q540" i="22" s="1"/>
  <c r="V540" i="22"/>
  <c r="P540" i="22" s="1"/>
  <c r="R540" i="22"/>
  <c r="N540" i="22"/>
  <c r="M540" i="22"/>
  <c r="L540" i="22"/>
  <c r="K540" i="22"/>
  <c r="J540" i="22"/>
  <c r="AO539" i="22"/>
  <c r="AN539" i="22"/>
  <c r="AM539" i="22"/>
  <c r="AL539" i="22"/>
  <c r="U539" i="22"/>
  <c r="R539" i="22"/>
  <c r="I539" i="22"/>
  <c r="AO538" i="22"/>
  <c r="AN538" i="22"/>
  <c r="AM538" i="22"/>
  <c r="AL538" i="22"/>
  <c r="U538" i="22"/>
  <c r="R538" i="22"/>
  <c r="L538" i="22"/>
  <c r="L537" i="22" s="1"/>
  <c r="I538" i="22"/>
  <c r="AR537" i="22"/>
  <c r="AQ537" i="22"/>
  <c r="AJ537" i="22"/>
  <c r="AI537" i="22"/>
  <c r="AH537" i="22"/>
  <c r="AG537" i="22"/>
  <c r="AF537" i="22"/>
  <c r="AE537" i="22"/>
  <c r="AD537" i="22"/>
  <c r="AC537" i="22"/>
  <c r="AB537" i="22"/>
  <c r="AA537" i="22"/>
  <c r="Z537" i="22"/>
  <c r="Y537" i="22"/>
  <c r="X537" i="22"/>
  <c r="W537" i="22"/>
  <c r="V537" i="22"/>
  <c r="P537" i="22" s="1"/>
  <c r="R537" i="22"/>
  <c r="N537" i="22"/>
  <c r="M537" i="22"/>
  <c r="K537" i="22"/>
  <c r="J537" i="22"/>
  <c r="AO536" i="22"/>
  <c r="AN536" i="22"/>
  <c r="AL536" i="22"/>
  <c r="U536" i="22"/>
  <c r="R536" i="22"/>
  <c r="K536" i="22"/>
  <c r="AO535" i="22"/>
  <c r="AN535" i="22"/>
  <c r="AL535" i="22"/>
  <c r="U535" i="22"/>
  <c r="R535" i="22"/>
  <c r="K535" i="22"/>
  <c r="AM535" i="22" s="1"/>
  <c r="AO534" i="22"/>
  <c r="AN534" i="22"/>
  <c r="AL534" i="22"/>
  <c r="U534" i="22"/>
  <c r="R534" i="22"/>
  <c r="K534" i="22"/>
  <c r="AM534" i="22" s="1"/>
  <c r="AO533" i="22"/>
  <c r="AN533" i="22"/>
  <c r="AL533" i="22"/>
  <c r="U533" i="22"/>
  <c r="R533" i="22"/>
  <c r="K533" i="22"/>
  <c r="AM533" i="22" s="1"/>
  <c r="AJ532" i="22"/>
  <c r="AI532" i="22"/>
  <c r="AH532" i="22"/>
  <c r="AG532" i="22"/>
  <c r="AF532" i="22"/>
  <c r="AE532" i="22"/>
  <c r="AD532" i="22"/>
  <c r="AC532" i="22"/>
  <c r="AB532" i="22"/>
  <c r="AA532" i="22"/>
  <c r="Z532" i="22"/>
  <c r="Y532" i="22"/>
  <c r="X532" i="22"/>
  <c r="W532" i="22"/>
  <c r="V532" i="22"/>
  <c r="T532" i="22"/>
  <c r="S532" i="22"/>
  <c r="N532" i="22"/>
  <c r="M532" i="22"/>
  <c r="L532" i="22"/>
  <c r="J532" i="22"/>
  <c r="AO531" i="22"/>
  <c r="AO530" i="22" s="1"/>
  <c r="AN531" i="22"/>
  <c r="AM531" i="22"/>
  <c r="AM530" i="22" s="1"/>
  <c r="AL531" i="22"/>
  <c r="U531" i="22"/>
  <c r="U530" i="22" s="1"/>
  <c r="R531" i="22"/>
  <c r="R530" i="22" s="1"/>
  <c r="I531" i="22"/>
  <c r="AR530" i="22"/>
  <c r="AQ530" i="22"/>
  <c r="AN530" i="22"/>
  <c r="AJ530" i="22"/>
  <c r="AI530" i="22"/>
  <c r="AH530" i="22"/>
  <c r="AG530" i="22"/>
  <c r="AF530" i="22"/>
  <c r="AE530" i="22"/>
  <c r="AD530" i="22"/>
  <c r="AC530" i="22"/>
  <c r="AB530" i="22"/>
  <c r="AA530" i="22"/>
  <c r="Z530" i="22"/>
  <c r="Y530" i="22"/>
  <c r="X530" i="22"/>
  <c r="W530" i="22"/>
  <c r="V530" i="22"/>
  <c r="T530" i="22"/>
  <c r="S530" i="22"/>
  <c r="N530" i="22"/>
  <c r="M530" i="22"/>
  <c r="L530" i="22"/>
  <c r="K530" i="22"/>
  <c r="J530" i="22"/>
  <c r="AO529" i="22"/>
  <c r="AN529" i="22"/>
  <c r="AN528" i="22" s="1"/>
  <c r="AM529" i="22"/>
  <c r="AM528" i="22" s="1"/>
  <c r="AL529" i="22"/>
  <c r="AL528" i="22" s="1"/>
  <c r="Y529" i="22"/>
  <c r="X529" i="22" s="1"/>
  <c r="X528" i="22" s="1"/>
  <c r="U529" i="22"/>
  <c r="R529" i="22"/>
  <c r="I529" i="22"/>
  <c r="H529" i="22" s="1"/>
  <c r="H528" i="22" s="1"/>
  <c r="AO528" i="22"/>
  <c r="AJ528" i="22"/>
  <c r="AI528" i="22"/>
  <c r="AH528" i="22"/>
  <c r="AG528" i="22"/>
  <c r="AF528" i="22"/>
  <c r="AE528" i="22"/>
  <c r="AD528" i="22"/>
  <c r="AC528" i="22"/>
  <c r="AB528" i="22"/>
  <c r="AA528" i="22"/>
  <c r="Z528" i="22"/>
  <c r="W528" i="22"/>
  <c r="Q528" i="22" s="1"/>
  <c r="V528" i="22"/>
  <c r="R528" i="22"/>
  <c r="N528" i="22"/>
  <c r="M528" i="22"/>
  <c r="L528" i="22"/>
  <c r="K528" i="22"/>
  <c r="J528" i="22"/>
  <c r="AO527" i="22"/>
  <c r="AO526" i="22" s="1"/>
  <c r="AN527" i="22"/>
  <c r="AN526" i="22" s="1"/>
  <c r="AM527" i="22"/>
  <c r="AL527" i="22"/>
  <c r="AL526" i="22" s="1"/>
  <c r="U527" i="22"/>
  <c r="U526" i="22" s="1"/>
  <c r="R527" i="22"/>
  <c r="R526" i="22" s="1"/>
  <c r="I527" i="22"/>
  <c r="H527" i="22" s="1"/>
  <c r="H526" i="22" s="1"/>
  <c r="AJ526" i="22"/>
  <c r="AI526" i="22"/>
  <c r="AH526" i="22"/>
  <c r="AG526" i="22"/>
  <c r="AF526" i="22"/>
  <c r="AE526" i="22"/>
  <c r="AD526" i="22"/>
  <c r="AC526" i="22"/>
  <c r="AB526" i="22"/>
  <c r="AA526" i="22"/>
  <c r="Z526" i="22"/>
  <c r="Y526" i="22"/>
  <c r="X526" i="22"/>
  <c r="W526" i="22"/>
  <c r="V526" i="22"/>
  <c r="T526" i="22"/>
  <c r="S526" i="22"/>
  <c r="N526" i="22"/>
  <c r="M526" i="22"/>
  <c r="L526" i="22"/>
  <c r="K526" i="22"/>
  <c r="J526" i="22"/>
  <c r="AO525" i="22"/>
  <c r="AO524" i="22" s="1"/>
  <c r="AN525" i="22"/>
  <c r="AN524" i="22" s="1"/>
  <c r="AM525" i="22"/>
  <c r="AM524" i="22" s="1"/>
  <c r="AL525" i="22"/>
  <c r="AL524" i="22" s="1"/>
  <c r="U525" i="22"/>
  <c r="R525" i="22"/>
  <c r="R524" i="22" s="1"/>
  <c r="I525" i="22"/>
  <c r="H525" i="22" s="1"/>
  <c r="H524" i="22" s="1"/>
  <c r="AJ524" i="22"/>
  <c r="AI524" i="22"/>
  <c r="AH524" i="22"/>
  <c r="AG524" i="22"/>
  <c r="AF524" i="22"/>
  <c r="AE524" i="22"/>
  <c r="AD524" i="22"/>
  <c r="AC524" i="22"/>
  <c r="AB524" i="22"/>
  <c r="AA524" i="22"/>
  <c r="Z524" i="22"/>
  <c r="Y524" i="22"/>
  <c r="X524" i="22"/>
  <c r="W524" i="22"/>
  <c r="V524" i="22"/>
  <c r="T524" i="22"/>
  <c r="S524" i="22"/>
  <c r="N524" i="22"/>
  <c r="M524" i="22"/>
  <c r="L524" i="22"/>
  <c r="K524" i="22"/>
  <c r="J524" i="22"/>
  <c r="AO522" i="22"/>
  <c r="AN522" i="22"/>
  <c r="AM522" i="22"/>
  <c r="AL522" i="22"/>
  <c r="AH522" i="22"/>
  <c r="AH518" i="22" s="1"/>
  <c r="AE522" i="22"/>
  <c r="AE518" i="22" s="1"/>
  <c r="AB522" i="22"/>
  <c r="AB518" i="22" s="1"/>
  <c r="Y522" i="22"/>
  <c r="Y518" i="22" s="1"/>
  <c r="U522" i="22"/>
  <c r="R522" i="22"/>
  <c r="I522" i="22"/>
  <c r="H522" i="22" s="1"/>
  <c r="C522" i="22"/>
  <c r="AO521" i="22"/>
  <c r="AN521" i="22"/>
  <c r="AM521" i="22"/>
  <c r="U521" i="22"/>
  <c r="R521" i="22"/>
  <c r="I521" i="22"/>
  <c r="H521" i="22" s="1"/>
  <c r="C521" i="22"/>
  <c r="AO520" i="22"/>
  <c r="AN520" i="22"/>
  <c r="AM520" i="22"/>
  <c r="AL520" i="22"/>
  <c r="U520" i="22"/>
  <c r="R520" i="22"/>
  <c r="I520" i="22"/>
  <c r="C520" i="22"/>
  <c r="AO519" i="22"/>
  <c r="AN519" i="22"/>
  <c r="AM519" i="22"/>
  <c r="AL519" i="22"/>
  <c r="U519" i="22"/>
  <c r="R519" i="22"/>
  <c r="I519" i="22"/>
  <c r="H519" i="22" s="1"/>
  <c r="C519" i="22"/>
  <c r="AR518" i="22"/>
  <c r="AQ518" i="22"/>
  <c r="AJ518" i="22"/>
  <c r="AI518" i="22"/>
  <c r="AG518" i="22"/>
  <c r="AF518" i="22"/>
  <c r="AD518" i="22"/>
  <c r="AC518" i="22"/>
  <c r="AA518" i="22"/>
  <c r="Z518" i="22"/>
  <c r="W518" i="22"/>
  <c r="Q518" i="22" s="1"/>
  <c r="V518" i="22"/>
  <c r="P518" i="22" s="1"/>
  <c r="R518" i="22"/>
  <c r="N518" i="22"/>
  <c r="M518" i="22"/>
  <c r="L518" i="22"/>
  <c r="K518" i="22"/>
  <c r="J518" i="22"/>
  <c r="C518" i="22"/>
  <c r="AO517" i="22"/>
  <c r="AN517" i="22"/>
  <c r="AM517" i="22"/>
  <c r="AL517" i="22"/>
  <c r="AH517" i="22"/>
  <c r="AE517" i="22"/>
  <c r="Y517" i="22"/>
  <c r="Y500" i="22" s="1"/>
  <c r="U517" i="22"/>
  <c r="R517" i="22"/>
  <c r="I517" i="22"/>
  <c r="H517" i="22" s="1"/>
  <c r="C517" i="22"/>
  <c r="AO516" i="22"/>
  <c r="AN516" i="22"/>
  <c r="AM516" i="22"/>
  <c r="AL516" i="22"/>
  <c r="U516" i="22"/>
  <c r="R516" i="22"/>
  <c r="I516" i="22"/>
  <c r="H516" i="22" s="1"/>
  <c r="C516" i="22"/>
  <c r="AO515" i="22"/>
  <c r="AN515" i="22"/>
  <c r="AM515" i="22"/>
  <c r="AL515" i="22"/>
  <c r="U515" i="22"/>
  <c r="R515" i="22"/>
  <c r="I515" i="22"/>
  <c r="H515" i="22" s="1"/>
  <c r="C515" i="22"/>
  <c r="AO514" i="22"/>
  <c r="AN514" i="22"/>
  <c r="AM514" i="22"/>
  <c r="AL514" i="22"/>
  <c r="U514" i="22"/>
  <c r="R514" i="22"/>
  <c r="I514" i="22"/>
  <c r="H514" i="22" s="1"/>
  <c r="C514" i="22"/>
  <c r="AO513" i="22"/>
  <c r="AN513" i="22"/>
  <c r="AM513" i="22"/>
  <c r="AL513" i="22"/>
  <c r="U513" i="22"/>
  <c r="R513" i="22"/>
  <c r="I513" i="22"/>
  <c r="H513" i="22" s="1"/>
  <c r="C513" i="22"/>
  <c r="AO512" i="22"/>
  <c r="AN512" i="22"/>
  <c r="AM512" i="22"/>
  <c r="AL512" i="22"/>
  <c r="U512" i="22"/>
  <c r="R512" i="22"/>
  <c r="I512" i="22"/>
  <c r="H512" i="22" s="1"/>
  <c r="C512" i="22"/>
  <c r="AO511" i="22"/>
  <c r="AN511" i="22"/>
  <c r="AM511" i="22"/>
  <c r="AL511" i="22"/>
  <c r="U511" i="22"/>
  <c r="R511" i="22"/>
  <c r="I511" i="22"/>
  <c r="H511" i="22" s="1"/>
  <c r="C511" i="22"/>
  <c r="AO510" i="22"/>
  <c r="AN510" i="22"/>
  <c r="AM510" i="22"/>
  <c r="AL510" i="22"/>
  <c r="U510" i="22"/>
  <c r="R510" i="22"/>
  <c r="I510" i="22"/>
  <c r="H510" i="22" s="1"/>
  <c r="C510" i="22"/>
  <c r="AO509" i="22"/>
  <c r="AN509" i="22"/>
  <c r="AL509" i="22"/>
  <c r="U509" i="22"/>
  <c r="R509" i="22"/>
  <c r="I509" i="22"/>
  <c r="H509" i="22" s="1"/>
  <c r="C509" i="22"/>
  <c r="AO508" i="22"/>
  <c r="AN508" i="22"/>
  <c r="AM508" i="22"/>
  <c r="AL508" i="22"/>
  <c r="U508" i="22"/>
  <c r="R508" i="22"/>
  <c r="I508" i="22"/>
  <c r="H508" i="22" s="1"/>
  <c r="C508" i="22"/>
  <c r="AO507" i="22"/>
  <c r="AN507" i="22"/>
  <c r="AM507" i="22"/>
  <c r="AL507" i="22"/>
  <c r="AH507" i="22"/>
  <c r="AE507" i="22"/>
  <c r="U507" i="22"/>
  <c r="R507" i="22"/>
  <c r="I507" i="22"/>
  <c r="H507" i="22" s="1"/>
  <c r="C507" i="22"/>
  <c r="AO506" i="22"/>
  <c r="AN506" i="22"/>
  <c r="AM506" i="22"/>
  <c r="AL506" i="22"/>
  <c r="AH506" i="22"/>
  <c r="AE506" i="22"/>
  <c r="U506" i="22"/>
  <c r="R506" i="22"/>
  <c r="I506" i="22"/>
  <c r="H506" i="22" s="1"/>
  <c r="C506" i="22"/>
  <c r="AO505" i="22"/>
  <c r="AN505" i="22"/>
  <c r="AM505" i="22"/>
  <c r="AL505" i="22"/>
  <c r="AH505" i="22"/>
  <c r="AE505" i="22"/>
  <c r="U505" i="22"/>
  <c r="R505" i="22"/>
  <c r="I505" i="22"/>
  <c r="H505" i="22" s="1"/>
  <c r="C505" i="22"/>
  <c r="AO504" i="22"/>
  <c r="AN504" i="22"/>
  <c r="AM504" i="22"/>
  <c r="AL504" i="22"/>
  <c r="AH504" i="22"/>
  <c r="AE504" i="22"/>
  <c r="U504" i="22"/>
  <c r="R504" i="22"/>
  <c r="I504" i="22"/>
  <c r="H504" i="22" s="1"/>
  <c r="C504" i="22"/>
  <c r="AO503" i="22"/>
  <c r="AN503" i="22"/>
  <c r="AM503" i="22"/>
  <c r="AL503" i="22"/>
  <c r="R503" i="22"/>
  <c r="O503" i="22" s="1"/>
  <c r="I503" i="22"/>
  <c r="H503" i="22" s="1"/>
  <c r="C503" i="22"/>
  <c r="AO502" i="22"/>
  <c r="AN502" i="22"/>
  <c r="AM502" i="22"/>
  <c r="AL502" i="22"/>
  <c r="AH502" i="22"/>
  <c r="AE502" i="22"/>
  <c r="U502" i="22"/>
  <c r="R502" i="22"/>
  <c r="I502" i="22"/>
  <c r="H502" i="22" s="1"/>
  <c r="C502" i="22"/>
  <c r="AO501" i="22"/>
  <c r="AN501" i="22"/>
  <c r="AM501" i="22"/>
  <c r="AL501" i="22"/>
  <c r="AH501" i="22"/>
  <c r="AE501" i="22"/>
  <c r="U501" i="22"/>
  <c r="R501" i="22"/>
  <c r="I501" i="22"/>
  <c r="H501" i="22" s="1"/>
  <c r="C501" i="22"/>
  <c r="AR500" i="22"/>
  <c r="AQ500" i="22"/>
  <c r="AJ500" i="22"/>
  <c r="AI500" i="22"/>
  <c r="AG500" i="22"/>
  <c r="AF500" i="22"/>
  <c r="AD500" i="22"/>
  <c r="AC500" i="22"/>
  <c r="AB500" i="22"/>
  <c r="AA500" i="22"/>
  <c r="Z500" i="22"/>
  <c r="W500" i="22"/>
  <c r="V500" i="22"/>
  <c r="T500" i="22"/>
  <c r="S500" i="22"/>
  <c r="N500" i="22"/>
  <c r="M500" i="22"/>
  <c r="L500" i="22"/>
  <c r="K500" i="22"/>
  <c r="J500" i="22"/>
  <c r="G500" i="22"/>
  <c r="F500" i="22"/>
  <c r="E500" i="22"/>
  <c r="D500" i="22"/>
  <c r="AO499" i="22"/>
  <c r="AN499" i="22"/>
  <c r="AM499" i="22"/>
  <c r="AL499" i="22"/>
  <c r="U499" i="22"/>
  <c r="R499" i="22"/>
  <c r="I499" i="22"/>
  <c r="H499" i="22" s="1"/>
  <c r="C499" i="22"/>
  <c r="AO498" i="22"/>
  <c r="AO497" i="22" s="1"/>
  <c r="AM498" i="22"/>
  <c r="AL498" i="22"/>
  <c r="U498" i="22"/>
  <c r="R498" i="22"/>
  <c r="I498" i="22"/>
  <c r="AR497" i="22"/>
  <c r="AQ497" i="22"/>
  <c r="AJ497" i="22"/>
  <c r="AI497" i="22"/>
  <c r="AH497" i="22"/>
  <c r="AG497" i="22"/>
  <c r="AF497" i="22"/>
  <c r="AE497" i="22"/>
  <c r="AD497" i="22"/>
  <c r="AC497" i="22"/>
  <c r="AB497" i="22"/>
  <c r="AA497" i="22"/>
  <c r="Z497" i="22"/>
  <c r="Y497" i="22"/>
  <c r="X497" i="22"/>
  <c r="W497" i="22"/>
  <c r="V497" i="22"/>
  <c r="T497" i="22"/>
  <c r="S497" i="22"/>
  <c r="N497" i="22"/>
  <c r="M497" i="22"/>
  <c r="L497" i="22"/>
  <c r="K497" i="22"/>
  <c r="J497" i="22"/>
  <c r="C497" i="22"/>
  <c r="AO496" i="22"/>
  <c r="AO495" i="22" s="1"/>
  <c r="AN496" i="22"/>
  <c r="AN495" i="22" s="1"/>
  <c r="AM496" i="22"/>
  <c r="AM495" i="22" s="1"/>
  <c r="AL496" i="22"/>
  <c r="AH496" i="22"/>
  <c r="AH495" i="22" s="1"/>
  <c r="AE496" i="22"/>
  <c r="AE495" i="22" s="1"/>
  <c r="U496" i="22"/>
  <c r="U495" i="22" s="1"/>
  <c r="R496" i="22"/>
  <c r="R495" i="22" s="1"/>
  <c r="I496" i="22"/>
  <c r="H496" i="22" s="1"/>
  <c r="H495" i="22" s="1"/>
  <c r="C496" i="22"/>
  <c r="AR495" i="22"/>
  <c r="AQ495" i="22"/>
  <c r="AJ495" i="22"/>
  <c r="AI495" i="22"/>
  <c r="AG495" i="22"/>
  <c r="AF495" i="22"/>
  <c r="AD495" i="22"/>
  <c r="AC495" i="22"/>
  <c r="AB495" i="22"/>
  <c r="AA495" i="22"/>
  <c r="Z495" i="22"/>
  <c r="Y495" i="22"/>
  <c r="W495" i="22"/>
  <c r="V495" i="22"/>
  <c r="T495" i="22"/>
  <c r="S495" i="22"/>
  <c r="N495" i="22"/>
  <c r="M495" i="22"/>
  <c r="L495" i="22"/>
  <c r="K495" i="22"/>
  <c r="J495" i="22"/>
  <c r="C495" i="22"/>
  <c r="AO494" i="22"/>
  <c r="AN494" i="22"/>
  <c r="AM494" i="22"/>
  <c r="AL494" i="22"/>
  <c r="U494" i="22"/>
  <c r="R494" i="22"/>
  <c r="I494" i="22"/>
  <c r="H494" i="22" s="1"/>
  <c r="C494" i="22"/>
  <c r="AO493" i="22"/>
  <c r="AN493" i="22"/>
  <c r="AM493" i="22"/>
  <c r="AL493" i="22"/>
  <c r="AH493" i="22"/>
  <c r="AH492" i="22" s="1"/>
  <c r="AE493" i="22"/>
  <c r="AE492" i="22" s="1"/>
  <c r="AB493" i="22"/>
  <c r="AB492" i="22" s="1"/>
  <c r="Y493" i="22"/>
  <c r="Y492" i="22" s="1"/>
  <c r="U493" i="22"/>
  <c r="R493" i="22"/>
  <c r="I493" i="22"/>
  <c r="H493" i="22" s="1"/>
  <c r="C493" i="22"/>
  <c r="AR492" i="22"/>
  <c r="AQ492" i="22"/>
  <c r="AJ492" i="22"/>
  <c r="AI492" i="22"/>
  <c r="AG492" i="22"/>
  <c r="AF492" i="22"/>
  <c r="AD492" i="22"/>
  <c r="AC492" i="22"/>
  <c r="AA492" i="22"/>
  <c r="Z492" i="22"/>
  <c r="W492" i="22"/>
  <c r="V492" i="22"/>
  <c r="T492" i="22"/>
  <c r="S492" i="22"/>
  <c r="N492" i="22"/>
  <c r="M492" i="22"/>
  <c r="L492" i="22"/>
  <c r="K492" i="22"/>
  <c r="J492" i="22"/>
  <c r="C492" i="22"/>
  <c r="AO491" i="22"/>
  <c r="AN491" i="22"/>
  <c r="AM491" i="22"/>
  <c r="AL491" i="22"/>
  <c r="U491" i="22"/>
  <c r="R491" i="22"/>
  <c r="L491" i="22"/>
  <c r="I491" i="22"/>
  <c r="AO490" i="22"/>
  <c r="AN490" i="22"/>
  <c r="AM490" i="22"/>
  <c r="AL490" i="22"/>
  <c r="U490" i="22"/>
  <c r="R490" i="22"/>
  <c r="L490" i="22"/>
  <c r="I490" i="22"/>
  <c r="AO489" i="22"/>
  <c r="AN489" i="22"/>
  <c r="AM489" i="22"/>
  <c r="AL489" i="22"/>
  <c r="U489" i="22"/>
  <c r="R489" i="22"/>
  <c r="L489" i="22"/>
  <c r="I489" i="22"/>
  <c r="C489" i="22"/>
  <c r="AO488" i="22"/>
  <c r="AN488" i="22"/>
  <c r="AM488" i="22"/>
  <c r="AL488" i="22"/>
  <c r="U488" i="22"/>
  <c r="R488" i="22"/>
  <c r="L488" i="22"/>
  <c r="I488" i="22"/>
  <c r="C488" i="22"/>
  <c r="AO487" i="22"/>
  <c r="AN487" i="22"/>
  <c r="AM487" i="22"/>
  <c r="AL487" i="22"/>
  <c r="U487" i="22"/>
  <c r="R487" i="22"/>
  <c r="L487" i="22"/>
  <c r="I487" i="22"/>
  <c r="C487" i="22"/>
  <c r="AO486" i="22"/>
  <c r="AN486" i="22"/>
  <c r="AM486" i="22"/>
  <c r="AL486" i="22"/>
  <c r="U486" i="22"/>
  <c r="R486" i="22"/>
  <c r="L486" i="22"/>
  <c r="I486" i="22"/>
  <c r="C486" i="22"/>
  <c r="AO485" i="22"/>
  <c r="AN485" i="22"/>
  <c r="AM485" i="22"/>
  <c r="AL485" i="22"/>
  <c r="U485" i="22"/>
  <c r="R485" i="22"/>
  <c r="L485" i="22"/>
  <c r="I485" i="22"/>
  <c r="C485" i="22"/>
  <c r="AN484" i="22"/>
  <c r="AM484" i="22"/>
  <c r="AL484" i="22"/>
  <c r="AH484" i="22"/>
  <c r="AE484" i="22"/>
  <c r="W484" i="22"/>
  <c r="U484" i="22" s="1"/>
  <c r="R484" i="22"/>
  <c r="L484" i="22"/>
  <c r="I484" i="22"/>
  <c r="C484" i="22"/>
  <c r="AN483" i="22"/>
  <c r="AM483" i="22"/>
  <c r="AL483" i="22"/>
  <c r="AH483" i="22"/>
  <c r="AE483" i="22"/>
  <c r="R483" i="22"/>
  <c r="L483" i="22"/>
  <c r="W483" i="22" s="1"/>
  <c r="Q483" i="22" s="1"/>
  <c r="I483" i="22"/>
  <c r="C483" i="22"/>
  <c r="AO482" i="22"/>
  <c r="AN482" i="22"/>
  <c r="AM482" i="22"/>
  <c r="AL482" i="22"/>
  <c r="AH482" i="22"/>
  <c r="AE482" i="22"/>
  <c r="U482" i="22"/>
  <c r="R482" i="22"/>
  <c r="L482" i="22"/>
  <c r="I482" i="22"/>
  <c r="C482" i="22"/>
  <c r="AO481" i="22"/>
  <c r="AN481" i="22"/>
  <c r="AL481" i="22"/>
  <c r="AH481" i="22"/>
  <c r="AE481" i="22"/>
  <c r="Y481" i="22"/>
  <c r="Y480" i="22" s="1"/>
  <c r="U481" i="22"/>
  <c r="R481" i="22"/>
  <c r="K481" i="22"/>
  <c r="C481" i="22"/>
  <c r="AJ480" i="22"/>
  <c r="AI480" i="22"/>
  <c r="AG480" i="22"/>
  <c r="AF480" i="22"/>
  <c r="AD480" i="22"/>
  <c r="AC480" i="22"/>
  <c r="AB480" i="22"/>
  <c r="AA480" i="22"/>
  <c r="Z480" i="22"/>
  <c r="V480" i="22"/>
  <c r="T480" i="22"/>
  <c r="S480" i="22"/>
  <c r="N480" i="22"/>
  <c r="M480" i="22"/>
  <c r="J480" i="22"/>
  <c r="C480" i="22"/>
  <c r="AN479" i="22"/>
  <c r="AM479" i="22"/>
  <c r="AL479" i="22"/>
  <c r="AH479" i="22"/>
  <c r="AE479" i="22"/>
  <c r="AB479" i="22"/>
  <c r="Y479" i="22"/>
  <c r="W479" i="22"/>
  <c r="Q479" i="22" s="1"/>
  <c r="R479" i="22"/>
  <c r="L479" i="22"/>
  <c r="I479" i="22"/>
  <c r="C479" i="22"/>
  <c r="AO478" i="22"/>
  <c r="AN478" i="22"/>
  <c r="AM478" i="22"/>
  <c r="AL478" i="22"/>
  <c r="AH478" i="22"/>
  <c r="AE478" i="22"/>
  <c r="AB478" i="22"/>
  <c r="Y478" i="22"/>
  <c r="U478" i="22"/>
  <c r="R478" i="22"/>
  <c r="L478" i="22"/>
  <c r="I478" i="22"/>
  <c r="C478" i="22"/>
  <c r="AO477" i="22"/>
  <c r="AN477" i="22"/>
  <c r="AM477" i="22"/>
  <c r="AL477" i="22"/>
  <c r="AH477" i="22"/>
  <c r="AE477" i="22"/>
  <c r="AB477" i="22"/>
  <c r="Y477" i="22"/>
  <c r="U477" i="22"/>
  <c r="R477" i="22"/>
  <c r="L477" i="22"/>
  <c r="I477" i="22"/>
  <c r="C477" i="22"/>
  <c r="AO476" i="22"/>
  <c r="AN476" i="22"/>
  <c r="AM476" i="22"/>
  <c r="AL476" i="22"/>
  <c r="AH476" i="22"/>
  <c r="AE476" i="22"/>
  <c r="AB476" i="22"/>
  <c r="Y476" i="22"/>
  <c r="U476" i="22"/>
  <c r="R476" i="22"/>
  <c r="L476" i="22"/>
  <c r="I476" i="22"/>
  <c r="C476" i="22"/>
  <c r="AO475" i="22"/>
  <c r="AN475" i="22"/>
  <c r="AM475" i="22"/>
  <c r="AL475" i="22"/>
  <c r="AH475" i="22"/>
  <c r="AE475" i="22"/>
  <c r="AB475" i="22"/>
  <c r="Y475" i="22"/>
  <c r="U475" i="22"/>
  <c r="R475" i="22"/>
  <c r="L475" i="22"/>
  <c r="I475" i="22"/>
  <c r="C475" i="22"/>
  <c r="AO474" i="22"/>
  <c r="AN474" i="22"/>
  <c r="AM474" i="22"/>
  <c r="AL474" i="22"/>
  <c r="AH474" i="22"/>
  <c r="AE474" i="22"/>
  <c r="AB474" i="22"/>
  <c r="Y474" i="22"/>
  <c r="U474" i="22"/>
  <c r="R474" i="22"/>
  <c r="L474" i="22"/>
  <c r="I474" i="22"/>
  <c r="C474" i="22"/>
  <c r="AO473" i="22"/>
  <c r="AN473" i="22"/>
  <c r="AM473" i="22"/>
  <c r="AL473" i="22"/>
  <c r="AH473" i="22"/>
  <c r="AE473" i="22"/>
  <c r="AB473" i="22"/>
  <c r="Y473" i="22"/>
  <c r="U473" i="22"/>
  <c r="R473" i="22"/>
  <c r="L473" i="22"/>
  <c r="I473" i="22"/>
  <c r="C473" i="22"/>
  <c r="AO472" i="22"/>
  <c r="AN472" i="22"/>
  <c r="AM472" i="22"/>
  <c r="AL472" i="22"/>
  <c r="AH472" i="22"/>
  <c r="AE472" i="22"/>
  <c r="AB472" i="22"/>
  <c r="Y472" i="22"/>
  <c r="U472" i="22"/>
  <c r="R472" i="22"/>
  <c r="L472" i="22"/>
  <c r="I472" i="22"/>
  <c r="C472" i="22"/>
  <c r="AN471" i="22"/>
  <c r="AM471" i="22"/>
  <c r="AL471" i="22"/>
  <c r="AH471" i="22"/>
  <c r="AE471" i="22"/>
  <c r="AB471" i="22"/>
  <c r="Y471" i="22"/>
  <c r="R471" i="22"/>
  <c r="L471" i="22"/>
  <c r="I471" i="22"/>
  <c r="C471" i="22"/>
  <c r="AO470" i="22"/>
  <c r="AN470" i="22"/>
  <c r="AM470" i="22"/>
  <c r="AL470" i="22"/>
  <c r="AB470" i="22"/>
  <c r="Y470" i="22"/>
  <c r="U470" i="22"/>
  <c r="R470" i="22"/>
  <c r="L470" i="22"/>
  <c r="I470" i="22"/>
  <c r="C470" i="22"/>
  <c r="AO469" i="22"/>
  <c r="AN469" i="22"/>
  <c r="AM469" i="22"/>
  <c r="AL469" i="22"/>
  <c r="AB469" i="22"/>
  <c r="Y469" i="22"/>
  <c r="U469" i="22"/>
  <c r="R469" i="22"/>
  <c r="L469" i="22"/>
  <c r="I469" i="22"/>
  <c r="C469" i="22"/>
  <c r="AO468" i="22"/>
  <c r="AN468" i="22"/>
  <c r="AL468" i="22"/>
  <c r="AH468" i="22"/>
  <c r="AE468" i="22"/>
  <c r="AB468" i="22"/>
  <c r="Y468" i="22"/>
  <c r="U468" i="22"/>
  <c r="R468" i="22"/>
  <c r="L468" i="22"/>
  <c r="K468" i="22"/>
  <c r="I468" i="22" s="1"/>
  <c r="C468" i="22"/>
  <c r="AJ467" i="22"/>
  <c r="AI467" i="22"/>
  <c r="AG467" i="22"/>
  <c r="AF467" i="22"/>
  <c r="AD467" i="22"/>
  <c r="AC467" i="22"/>
  <c r="AA467" i="22"/>
  <c r="Z467" i="22"/>
  <c r="V467" i="22"/>
  <c r="T467" i="22"/>
  <c r="S467" i="22"/>
  <c r="N467" i="22"/>
  <c r="M467" i="22"/>
  <c r="J467" i="22"/>
  <c r="C467" i="22"/>
  <c r="AO466" i="22"/>
  <c r="AN466" i="22"/>
  <c r="AM466" i="22"/>
  <c r="AL466" i="22"/>
  <c r="U466" i="22"/>
  <c r="R466" i="22"/>
  <c r="L466" i="22"/>
  <c r="I466" i="22"/>
  <c r="AO465" i="22"/>
  <c r="AN465" i="22"/>
  <c r="AM465" i="22"/>
  <c r="AL465" i="22"/>
  <c r="U465" i="22"/>
  <c r="R465" i="22"/>
  <c r="L465" i="22"/>
  <c r="I465" i="22"/>
  <c r="AO464" i="22"/>
  <c r="AN464" i="22"/>
  <c r="AM464" i="22"/>
  <c r="AL464" i="22"/>
  <c r="U464" i="22"/>
  <c r="R464" i="22"/>
  <c r="L464" i="22"/>
  <c r="I464" i="22"/>
  <c r="AO463" i="22"/>
  <c r="AN463" i="22"/>
  <c r="AM463" i="22"/>
  <c r="AL463" i="22"/>
  <c r="U463" i="22"/>
  <c r="R463" i="22"/>
  <c r="L463" i="22"/>
  <c r="I463" i="22"/>
  <c r="AO462" i="22"/>
  <c r="AN462" i="22"/>
  <c r="AM462" i="22"/>
  <c r="AL462" i="22"/>
  <c r="U462" i="22"/>
  <c r="R462" i="22"/>
  <c r="L462" i="22"/>
  <c r="I462" i="22"/>
  <c r="AO461" i="22"/>
  <c r="AN461" i="22"/>
  <c r="AM461" i="22"/>
  <c r="AL461" i="22"/>
  <c r="U461" i="22"/>
  <c r="R461" i="22"/>
  <c r="L461" i="22"/>
  <c r="I461" i="22"/>
  <c r="AO460" i="22"/>
  <c r="AN460" i="22"/>
  <c r="AM460" i="22"/>
  <c r="AL460" i="22"/>
  <c r="U460" i="22"/>
  <c r="R460" i="22"/>
  <c r="L460" i="22"/>
  <c r="I460" i="22"/>
  <c r="AO459" i="22"/>
  <c r="AN459" i="22"/>
  <c r="AM459" i="22"/>
  <c r="AL459" i="22"/>
  <c r="U459" i="22"/>
  <c r="R459" i="22"/>
  <c r="L459" i="22"/>
  <c r="I459" i="22"/>
  <c r="AO458" i="22"/>
  <c r="AN458" i="22"/>
  <c r="AM458" i="22"/>
  <c r="AL458" i="22"/>
  <c r="U458" i="22"/>
  <c r="R458" i="22"/>
  <c r="L458" i="22"/>
  <c r="I458" i="22"/>
  <c r="AO457" i="22"/>
  <c r="AN457" i="22"/>
  <c r="AM457" i="22"/>
  <c r="AL457" i="22"/>
  <c r="U457" i="22"/>
  <c r="R457" i="22"/>
  <c r="L457" i="22"/>
  <c r="I457" i="22"/>
  <c r="AO456" i="22"/>
  <c r="AN456" i="22"/>
  <c r="AM456" i="22"/>
  <c r="AL456" i="22"/>
  <c r="U456" i="22"/>
  <c r="R456" i="22"/>
  <c r="L456" i="22"/>
  <c r="I456" i="22"/>
  <c r="AO455" i="22"/>
  <c r="AN455" i="22"/>
  <c r="AM455" i="22"/>
  <c r="AL455" i="22"/>
  <c r="U455" i="22"/>
  <c r="R455" i="22"/>
  <c r="L455" i="22"/>
  <c r="I455" i="22"/>
  <c r="AO454" i="22"/>
  <c r="AN454" i="22"/>
  <c r="AM454" i="22"/>
  <c r="AL454" i="22"/>
  <c r="U454" i="22"/>
  <c r="R454" i="22"/>
  <c r="L454" i="22"/>
  <c r="I454" i="22"/>
  <c r="AO453" i="22"/>
  <c r="AN453" i="22"/>
  <c r="AM453" i="22"/>
  <c r="AL453" i="22"/>
  <c r="U453" i="22"/>
  <c r="R453" i="22"/>
  <c r="L453" i="22"/>
  <c r="I453" i="22"/>
  <c r="AO452" i="22"/>
  <c r="AN452" i="22"/>
  <c r="AM452" i="22"/>
  <c r="AL452" i="22"/>
  <c r="U452" i="22"/>
  <c r="R452" i="22"/>
  <c r="L452" i="22"/>
  <c r="I452" i="22"/>
  <c r="AO451" i="22"/>
  <c r="AN451" i="22"/>
  <c r="AM451" i="22"/>
  <c r="AL451" i="22"/>
  <c r="U451" i="22"/>
  <c r="R451" i="22"/>
  <c r="L451" i="22"/>
  <c r="I451" i="22"/>
  <c r="AO450" i="22"/>
  <c r="AN450" i="22"/>
  <c r="AM450" i="22"/>
  <c r="AL450" i="22"/>
  <c r="U450" i="22"/>
  <c r="R450" i="22"/>
  <c r="L450" i="22"/>
  <c r="I450" i="22"/>
  <c r="AO449" i="22"/>
  <c r="AN449" i="22"/>
  <c r="AM449" i="22"/>
  <c r="AL449" i="22"/>
  <c r="U449" i="22"/>
  <c r="R449" i="22"/>
  <c r="L449" i="22"/>
  <c r="I449" i="22"/>
  <c r="AO448" i="22"/>
  <c r="AN448" i="22"/>
  <c r="AM448" i="22"/>
  <c r="AL448" i="22"/>
  <c r="U448" i="22"/>
  <c r="R448" i="22"/>
  <c r="L448" i="22"/>
  <c r="I448" i="22"/>
  <c r="AO447" i="22"/>
  <c r="AN447" i="22"/>
  <c r="AM447" i="22"/>
  <c r="AL447" i="22"/>
  <c r="U447" i="22"/>
  <c r="R447" i="22"/>
  <c r="L447" i="22"/>
  <c r="I447" i="22"/>
  <c r="AO446" i="22"/>
  <c r="AN446" i="22"/>
  <c r="AL446" i="22"/>
  <c r="U446" i="22"/>
  <c r="R446" i="22"/>
  <c r="L446" i="22"/>
  <c r="K446" i="22"/>
  <c r="AM446" i="22" s="1"/>
  <c r="AO445" i="22"/>
  <c r="AN445" i="22"/>
  <c r="AM445" i="22"/>
  <c r="AL445" i="22"/>
  <c r="U445" i="22"/>
  <c r="R445" i="22"/>
  <c r="L445" i="22"/>
  <c r="I445" i="22"/>
  <c r="AR444" i="22"/>
  <c r="AQ444" i="22"/>
  <c r="AJ444" i="22"/>
  <c r="AI444" i="22"/>
  <c r="AH444" i="22"/>
  <c r="AG444" i="22"/>
  <c r="AF444" i="22"/>
  <c r="AE444" i="22"/>
  <c r="AD444" i="22"/>
  <c r="AC444" i="22"/>
  <c r="AB444" i="22"/>
  <c r="AA444" i="22"/>
  <c r="Z444" i="22"/>
  <c r="Y444" i="22"/>
  <c r="X444" i="22"/>
  <c r="W444" i="22"/>
  <c r="V444" i="22"/>
  <c r="T444" i="22"/>
  <c r="S444" i="22"/>
  <c r="N444" i="22"/>
  <c r="M444" i="22"/>
  <c r="J444" i="22"/>
  <c r="AO443" i="22"/>
  <c r="AO442" i="22" s="1"/>
  <c r="AN443" i="22"/>
  <c r="AM443" i="22"/>
  <c r="AM442" i="22" s="1"/>
  <c r="AL443" i="22"/>
  <c r="Y443" i="22"/>
  <c r="X443" i="22" s="1"/>
  <c r="X442" i="22" s="1"/>
  <c r="U443" i="22"/>
  <c r="R443" i="22"/>
  <c r="R442" i="22" s="1"/>
  <c r="I443" i="22"/>
  <c r="I442" i="22" s="1"/>
  <c r="C443" i="22"/>
  <c r="C442" i="22" s="1"/>
  <c r="AN442" i="22"/>
  <c r="AJ442" i="22"/>
  <c r="AI442" i="22"/>
  <c r="AH442" i="22"/>
  <c r="AG442" i="22"/>
  <c r="AF442" i="22"/>
  <c r="AE442" i="22"/>
  <c r="AD442" i="22"/>
  <c r="AC442" i="22"/>
  <c r="AB442" i="22"/>
  <c r="AA442" i="22"/>
  <c r="Z442" i="22"/>
  <c r="W442" i="22"/>
  <c r="V442" i="22"/>
  <c r="T442" i="22"/>
  <c r="S442" i="22"/>
  <c r="N442" i="22"/>
  <c r="M442" i="22"/>
  <c r="L442" i="22"/>
  <c r="K442" i="22"/>
  <c r="J442" i="22"/>
  <c r="G442" i="22"/>
  <c r="F442" i="22"/>
  <c r="E442" i="22"/>
  <c r="D442" i="22"/>
  <c r="AO441" i="22"/>
  <c r="AN441" i="22"/>
  <c r="AL441" i="22"/>
  <c r="U441" i="22"/>
  <c r="R441" i="22"/>
  <c r="K441" i="22"/>
  <c r="I441" i="22" s="1"/>
  <c r="H441" i="22" s="1"/>
  <c r="AO440" i="22"/>
  <c r="AN440" i="22"/>
  <c r="AL440" i="22"/>
  <c r="U440" i="22"/>
  <c r="R440" i="22"/>
  <c r="K440" i="22"/>
  <c r="AM440" i="22" s="1"/>
  <c r="AO439" i="22"/>
  <c r="AN439" i="22"/>
  <c r="AM439" i="22"/>
  <c r="AL439" i="22"/>
  <c r="U439" i="22"/>
  <c r="R439" i="22"/>
  <c r="I439" i="22"/>
  <c r="H439" i="22" s="1"/>
  <c r="AO438" i="22"/>
  <c r="AN438" i="22"/>
  <c r="AM438" i="22"/>
  <c r="AL438" i="22"/>
  <c r="U438" i="22"/>
  <c r="R438" i="22"/>
  <c r="I438" i="22"/>
  <c r="AQ437" i="22"/>
  <c r="AJ437" i="22"/>
  <c r="AI437" i="22"/>
  <c r="AH437" i="22"/>
  <c r="AG437" i="22"/>
  <c r="AF437" i="22"/>
  <c r="AE437" i="22"/>
  <c r="AD437" i="22"/>
  <c r="AC437" i="22"/>
  <c r="AB437" i="22"/>
  <c r="AA437" i="22"/>
  <c r="Z437" i="22"/>
  <c r="Y437" i="22"/>
  <c r="X437" i="22"/>
  <c r="W437" i="22"/>
  <c r="V437" i="22"/>
  <c r="T437" i="22"/>
  <c r="S437" i="22"/>
  <c r="N437" i="22"/>
  <c r="M437" i="22"/>
  <c r="L437" i="22"/>
  <c r="J437" i="22"/>
  <c r="G437" i="22"/>
  <c r="F437" i="22"/>
  <c r="E437" i="22"/>
  <c r="D437" i="22"/>
  <c r="C437" i="22"/>
  <c r="AO436" i="22"/>
  <c r="AN436" i="22"/>
  <c r="AM436" i="22"/>
  <c r="AL436" i="22"/>
  <c r="U436" i="22"/>
  <c r="R436" i="22"/>
  <c r="I436" i="22"/>
  <c r="H436" i="22" s="1"/>
  <c r="AO435" i="22"/>
  <c r="AN435" i="22"/>
  <c r="AM435" i="22"/>
  <c r="AL435" i="22"/>
  <c r="AH435" i="22"/>
  <c r="AE435" i="22"/>
  <c r="U435" i="22"/>
  <c r="R435" i="22"/>
  <c r="L435" i="22"/>
  <c r="I435" i="22"/>
  <c r="C435" i="22"/>
  <c r="AO434" i="22"/>
  <c r="AN434" i="22"/>
  <c r="AM434" i="22"/>
  <c r="AL434" i="22"/>
  <c r="AH434" i="22"/>
  <c r="AE434" i="22"/>
  <c r="AB434" i="22"/>
  <c r="Y434" i="22"/>
  <c r="U434" i="22"/>
  <c r="R434" i="22"/>
  <c r="L434" i="22"/>
  <c r="I434" i="22"/>
  <c r="C434" i="22"/>
  <c r="AO433" i="22"/>
  <c r="AN433" i="22"/>
  <c r="AM433" i="22"/>
  <c r="AL433" i="22"/>
  <c r="AH433" i="22"/>
  <c r="AE433" i="22"/>
  <c r="AB433" i="22"/>
  <c r="Y433" i="22"/>
  <c r="U433" i="22"/>
  <c r="R433" i="22"/>
  <c r="L433" i="22"/>
  <c r="I433" i="22"/>
  <c r="C433" i="22"/>
  <c r="AO432" i="22"/>
  <c r="AN432" i="22"/>
  <c r="AM432" i="22"/>
  <c r="AL432" i="22"/>
  <c r="AH432" i="22"/>
  <c r="AE432" i="22"/>
  <c r="AB432" i="22"/>
  <c r="Y432" i="22"/>
  <c r="U432" i="22"/>
  <c r="R432" i="22"/>
  <c r="L432" i="22"/>
  <c r="I432" i="22"/>
  <c r="C432" i="22"/>
  <c r="AO431" i="22"/>
  <c r="AN431" i="22"/>
  <c r="AM431" i="22"/>
  <c r="AL431" i="22"/>
  <c r="AH431" i="22"/>
  <c r="AE431" i="22"/>
  <c r="AB431" i="22"/>
  <c r="Y431" i="22"/>
  <c r="U431" i="22"/>
  <c r="R431" i="22"/>
  <c r="L431" i="22"/>
  <c r="I431" i="22"/>
  <c r="C431" i="22"/>
  <c r="AR430" i="22"/>
  <c r="AQ430" i="22"/>
  <c r="AJ430" i="22"/>
  <c r="AI430" i="22"/>
  <c r="AG430" i="22"/>
  <c r="AF430" i="22"/>
  <c r="AD430" i="22"/>
  <c r="AC430" i="22"/>
  <c r="AA430" i="22"/>
  <c r="Z430" i="22"/>
  <c r="W430" i="22"/>
  <c r="V430" i="22"/>
  <c r="T430" i="22"/>
  <c r="S430" i="22"/>
  <c r="N430" i="22"/>
  <c r="M430" i="22"/>
  <c r="K430" i="22"/>
  <c r="J430" i="22"/>
  <c r="C430" i="22"/>
  <c r="AO429" i="22"/>
  <c r="AN429" i="22"/>
  <c r="AM429" i="22"/>
  <c r="AL429" i="22"/>
  <c r="Y429" i="22"/>
  <c r="X429" i="22" s="1"/>
  <c r="U429" i="22"/>
  <c r="R429" i="22"/>
  <c r="I429" i="22"/>
  <c r="H429" i="22" s="1"/>
  <c r="C429" i="22"/>
  <c r="AO428" i="22"/>
  <c r="AN428" i="22"/>
  <c r="AM428" i="22"/>
  <c r="AL428" i="22"/>
  <c r="AH428" i="22"/>
  <c r="AE428" i="22"/>
  <c r="U428" i="22"/>
  <c r="R428" i="22"/>
  <c r="L428" i="22"/>
  <c r="I428" i="22"/>
  <c r="C428" i="22"/>
  <c r="AO427" i="22"/>
  <c r="AN427" i="22"/>
  <c r="AM427" i="22"/>
  <c r="AL427" i="22"/>
  <c r="AH427" i="22"/>
  <c r="AE427" i="22"/>
  <c r="U427" i="22"/>
  <c r="R427" i="22"/>
  <c r="L427" i="22"/>
  <c r="I427" i="22"/>
  <c r="C427" i="22"/>
  <c r="AO426" i="22"/>
  <c r="AN426" i="22"/>
  <c r="AM426" i="22"/>
  <c r="AL426" i="22"/>
  <c r="AH426" i="22"/>
  <c r="AE426" i="22"/>
  <c r="AB426" i="22"/>
  <c r="Y426" i="22"/>
  <c r="U426" i="22"/>
  <c r="R426" i="22"/>
  <c r="L426" i="22"/>
  <c r="I426" i="22"/>
  <c r="C426" i="22"/>
  <c r="AO425" i="22"/>
  <c r="AN425" i="22"/>
  <c r="AM425" i="22"/>
  <c r="AL425" i="22"/>
  <c r="AH425" i="22"/>
  <c r="AE425" i="22"/>
  <c r="U425" i="22"/>
  <c r="R425" i="22"/>
  <c r="L425" i="22"/>
  <c r="I425" i="22"/>
  <c r="C425" i="22"/>
  <c r="AO424" i="22"/>
  <c r="AN424" i="22"/>
  <c r="AM424" i="22"/>
  <c r="AL424" i="22"/>
  <c r="AH424" i="22"/>
  <c r="AE424" i="22"/>
  <c r="AB424" i="22"/>
  <c r="U424" i="22"/>
  <c r="R424" i="22"/>
  <c r="L424" i="22"/>
  <c r="I424" i="22"/>
  <c r="C424" i="22"/>
  <c r="AO423" i="22"/>
  <c r="AN423" i="22"/>
  <c r="AM423" i="22"/>
  <c r="AL423" i="22"/>
  <c r="AH423" i="22"/>
  <c r="AE423" i="22"/>
  <c r="U423" i="22"/>
  <c r="R423" i="22"/>
  <c r="L423" i="22"/>
  <c r="I423" i="22"/>
  <c r="C423" i="22"/>
  <c r="AO422" i="22"/>
  <c r="AN422" i="22"/>
  <c r="AM422" i="22"/>
  <c r="AL422" i="22"/>
  <c r="AH422" i="22"/>
  <c r="AE422" i="22"/>
  <c r="U422" i="22"/>
  <c r="R422" i="22"/>
  <c r="L422" i="22"/>
  <c r="I422" i="22"/>
  <c r="C422" i="22"/>
  <c r="AO421" i="22"/>
  <c r="AN421" i="22"/>
  <c r="AM421" i="22"/>
  <c r="AL421" i="22"/>
  <c r="AH421" i="22"/>
  <c r="AE421" i="22"/>
  <c r="U421" i="22"/>
  <c r="R421" i="22"/>
  <c r="L421" i="22"/>
  <c r="I421" i="22"/>
  <c r="C421" i="22"/>
  <c r="AO420" i="22"/>
  <c r="AN420" i="22"/>
  <c r="AM420" i="22"/>
  <c r="AL420" i="22"/>
  <c r="AH420" i="22"/>
  <c r="AE420" i="22"/>
  <c r="U420" i="22"/>
  <c r="R420" i="22"/>
  <c r="L420" i="22"/>
  <c r="I420" i="22"/>
  <c r="C420" i="22"/>
  <c r="AO419" i="22"/>
  <c r="AN419" i="22"/>
  <c r="AM419" i="22"/>
  <c r="AL419" i="22"/>
  <c r="AH419" i="22"/>
  <c r="AE419" i="22"/>
  <c r="U419" i="22"/>
  <c r="R419" i="22"/>
  <c r="L419" i="22"/>
  <c r="I419" i="22"/>
  <c r="C419" i="22"/>
  <c r="AO418" i="22"/>
  <c r="AN418" i="22"/>
  <c r="AM418" i="22"/>
  <c r="AL418" i="22"/>
  <c r="AH418" i="22"/>
  <c r="AE418" i="22"/>
  <c r="AB418" i="22"/>
  <c r="U418" i="22"/>
  <c r="R418" i="22"/>
  <c r="L418" i="22"/>
  <c r="I418" i="22"/>
  <c r="C418" i="22"/>
  <c r="AJ417" i="22"/>
  <c r="AI417" i="22"/>
  <c r="AG417" i="22"/>
  <c r="AF417" i="22"/>
  <c r="AD417" i="22"/>
  <c r="AC417" i="22"/>
  <c r="AA417" i="22"/>
  <c r="Z417" i="22"/>
  <c r="W417" i="22"/>
  <c r="V417" i="22"/>
  <c r="T417" i="22"/>
  <c r="S417" i="22"/>
  <c r="N417" i="22"/>
  <c r="M417" i="22"/>
  <c r="K417" i="22"/>
  <c r="J417" i="22"/>
  <c r="C417" i="22"/>
  <c r="AO416" i="22"/>
  <c r="AN416" i="22"/>
  <c r="AL416" i="22"/>
  <c r="AH416" i="22"/>
  <c r="AE416" i="22"/>
  <c r="AB416" i="22"/>
  <c r="Y416" i="22"/>
  <c r="U416" i="22"/>
  <c r="R416" i="22"/>
  <c r="L416" i="22"/>
  <c r="K416" i="22"/>
  <c r="I416" i="22" s="1"/>
  <c r="C416" i="22"/>
  <c r="AO415" i="22"/>
  <c r="AN415" i="22"/>
  <c r="AM415" i="22"/>
  <c r="AL415" i="22"/>
  <c r="AH415" i="22"/>
  <c r="AE415" i="22"/>
  <c r="AB415" i="22"/>
  <c r="Y415" i="22"/>
  <c r="U415" i="22"/>
  <c r="R415" i="22"/>
  <c r="L415" i="22"/>
  <c r="I415" i="22"/>
  <c r="C415" i="22"/>
  <c r="AO414" i="22"/>
  <c r="AN414" i="22"/>
  <c r="AM414" i="22"/>
  <c r="AL414" i="22"/>
  <c r="U414" i="22"/>
  <c r="R414" i="22"/>
  <c r="L414" i="22"/>
  <c r="H414" i="22" s="1"/>
  <c r="AN413" i="22"/>
  <c r="AM413" i="22"/>
  <c r="AL413" i="22"/>
  <c r="AH413" i="22"/>
  <c r="AE413" i="22"/>
  <c r="AB413" i="22"/>
  <c r="Y413" i="22"/>
  <c r="R413" i="22"/>
  <c r="L413" i="22"/>
  <c r="I413" i="22"/>
  <c r="C413" i="22"/>
  <c r="AN412" i="22"/>
  <c r="AM412" i="22"/>
  <c r="AL412" i="22"/>
  <c r="X412" i="22"/>
  <c r="U412" i="22"/>
  <c r="R412" i="22"/>
  <c r="N412" i="22"/>
  <c r="AO412" i="22" s="1"/>
  <c r="C412" i="22"/>
  <c r="AO411" i="22"/>
  <c r="AN411" i="22"/>
  <c r="AM411" i="22"/>
  <c r="AL411" i="22"/>
  <c r="AH411" i="22"/>
  <c r="AE411" i="22"/>
  <c r="AB411" i="22"/>
  <c r="Y411" i="22"/>
  <c r="U411" i="22"/>
  <c r="R411" i="22"/>
  <c r="L411" i="22"/>
  <c r="I411" i="22"/>
  <c r="C411" i="22"/>
  <c r="AO410" i="22"/>
  <c r="AN410" i="22"/>
  <c r="AM410" i="22"/>
  <c r="AL410" i="22"/>
  <c r="AH410" i="22"/>
  <c r="AE410" i="22"/>
  <c r="AB410" i="22"/>
  <c r="Y410" i="22"/>
  <c r="U410" i="22"/>
  <c r="R410" i="22"/>
  <c r="L410" i="22"/>
  <c r="I410" i="22"/>
  <c r="C410" i="22"/>
  <c r="AO409" i="22"/>
  <c r="AN409" i="22"/>
  <c r="AM409" i="22"/>
  <c r="AL409" i="22"/>
  <c r="U409" i="22"/>
  <c r="R409" i="22"/>
  <c r="L409" i="22"/>
  <c r="H409" i="22" s="1"/>
  <c r="AN408" i="22"/>
  <c r="AM408" i="22"/>
  <c r="AL408" i="22"/>
  <c r="AH408" i="22"/>
  <c r="AE408" i="22"/>
  <c r="AB408" i="22"/>
  <c r="Y408" i="22"/>
  <c r="R408" i="22"/>
  <c r="N408" i="22"/>
  <c r="I408" i="22"/>
  <c r="C408" i="22"/>
  <c r="AO407" i="22"/>
  <c r="AN407" i="22"/>
  <c r="AM407" i="22"/>
  <c r="AL407" i="22"/>
  <c r="AH407" i="22"/>
  <c r="AE407" i="22"/>
  <c r="AB407" i="22"/>
  <c r="Y407" i="22"/>
  <c r="U407" i="22"/>
  <c r="R407" i="22"/>
  <c r="L407" i="22"/>
  <c r="I407" i="22"/>
  <c r="C407" i="22"/>
  <c r="AR406" i="22"/>
  <c r="AQ406" i="22"/>
  <c r="AJ406" i="22"/>
  <c r="AI406" i="22"/>
  <c r="AG406" i="22"/>
  <c r="AF406" i="22"/>
  <c r="AD406" i="22"/>
  <c r="AC406" i="22"/>
  <c r="AA406" i="22"/>
  <c r="Z406" i="22"/>
  <c r="V406" i="22"/>
  <c r="P406" i="22" s="1"/>
  <c r="R406" i="22"/>
  <c r="M406" i="22"/>
  <c r="J406" i="22"/>
  <c r="C406" i="22"/>
  <c r="AO405" i="22"/>
  <c r="AN405" i="22"/>
  <c r="AM405" i="22"/>
  <c r="AL405" i="22"/>
  <c r="AH405" i="22"/>
  <c r="AE405" i="22"/>
  <c r="AB405" i="22"/>
  <c r="Y405" i="22"/>
  <c r="U405" i="22"/>
  <c r="R405" i="22"/>
  <c r="L405" i="22"/>
  <c r="I405" i="22"/>
  <c r="C405" i="22"/>
  <c r="AO404" i="22"/>
  <c r="AN404" i="22"/>
  <c r="AM404" i="22"/>
  <c r="AL404" i="22"/>
  <c r="AH404" i="22"/>
  <c r="AE404" i="22"/>
  <c r="AB404" i="22"/>
  <c r="Y404" i="22"/>
  <c r="U404" i="22"/>
  <c r="R404" i="22"/>
  <c r="L404" i="22"/>
  <c r="I404" i="22"/>
  <c r="C404" i="22"/>
  <c r="AO403" i="22"/>
  <c r="AN403" i="22"/>
  <c r="AM403" i="22"/>
  <c r="AL403" i="22"/>
  <c r="AH403" i="22"/>
  <c r="AE403" i="22"/>
  <c r="AB403" i="22"/>
  <c r="Y403" i="22"/>
  <c r="U403" i="22"/>
  <c r="R403" i="22"/>
  <c r="L403" i="22"/>
  <c r="I403" i="22"/>
  <c r="C403" i="22"/>
  <c r="AO402" i="22"/>
  <c r="AN402" i="22"/>
  <c r="AM402" i="22"/>
  <c r="AL402" i="22"/>
  <c r="AH402" i="22"/>
  <c r="AE402" i="22"/>
  <c r="AB402" i="22"/>
  <c r="Y402" i="22"/>
  <c r="U402" i="22"/>
  <c r="R402" i="22"/>
  <c r="L402" i="22"/>
  <c r="I402" i="22"/>
  <c r="C402" i="22"/>
  <c r="AO401" i="22"/>
  <c r="AN401" i="22"/>
  <c r="AM401" i="22"/>
  <c r="AL401" i="22"/>
  <c r="AH401" i="22"/>
  <c r="AE401" i="22"/>
  <c r="AB401" i="22"/>
  <c r="Y401" i="22"/>
  <c r="U401" i="22"/>
  <c r="R401" i="22"/>
  <c r="L401" i="22"/>
  <c r="I401" i="22"/>
  <c r="C401" i="22"/>
  <c r="AO400" i="22"/>
  <c r="AN400" i="22"/>
  <c r="AM400" i="22"/>
  <c r="AL400" i="22"/>
  <c r="AH400" i="22"/>
  <c r="AE400" i="22"/>
  <c r="AB400" i="22"/>
  <c r="Y400" i="22"/>
  <c r="U400" i="22"/>
  <c r="R400" i="22"/>
  <c r="L400" i="22"/>
  <c r="I400" i="22"/>
  <c r="C400" i="22"/>
  <c r="AO399" i="22"/>
  <c r="AN399" i="22"/>
  <c r="AM399" i="22"/>
  <c r="AL399" i="22"/>
  <c r="AH399" i="22"/>
  <c r="AE399" i="22"/>
  <c r="AB399" i="22"/>
  <c r="Y399" i="22"/>
  <c r="U399" i="22"/>
  <c r="R399" i="22"/>
  <c r="L399" i="22"/>
  <c r="H399" i="22" s="1"/>
  <c r="C399" i="22"/>
  <c r="AO398" i="22"/>
  <c r="AN398" i="22"/>
  <c r="AM398" i="22"/>
  <c r="AL398" i="22"/>
  <c r="AH398" i="22"/>
  <c r="AE398" i="22"/>
  <c r="AB398" i="22"/>
  <c r="Y398" i="22"/>
  <c r="U398" i="22"/>
  <c r="R398" i="22"/>
  <c r="L398" i="22"/>
  <c r="I398" i="22"/>
  <c r="C398" i="22"/>
  <c r="AO397" i="22"/>
  <c r="AN397" i="22"/>
  <c r="AM397" i="22"/>
  <c r="AL397" i="22"/>
  <c r="AH397" i="22"/>
  <c r="AE397" i="22"/>
  <c r="AB397" i="22"/>
  <c r="Y397" i="22"/>
  <c r="U397" i="22"/>
  <c r="R397" i="22"/>
  <c r="L397" i="22"/>
  <c r="I397" i="22"/>
  <c r="C397" i="22"/>
  <c r="AO396" i="22"/>
  <c r="AN396" i="22"/>
  <c r="AM396" i="22"/>
  <c r="AL396" i="22"/>
  <c r="AH396" i="22"/>
  <c r="AE396" i="22"/>
  <c r="AB396" i="22"/>
  <c r="Y396" i="22"/>
  <c r="U396" i="22"/>
  <c r="R396" i="22"/>
  <c r="L396" i="22"/>
  <c r="I396" i="22"/>
  <c r="C396" i="22"/>
  <c r="AO395" i="22"/>
  <c r="AN395" i="22"/>
  <c r="AM395" i="22"/>
  <c r="AL395" i="22"/>
  <c r="AH395" i="22"/>
  <c r="AE395" i="22"/>
  <c r="AB395" i="22"/>
  <c r="Y395" i="22"/>
  <c r="U395" i="22"/>
  <c r="R395" i="22"/>
  <c r="L395" i="22"/>
  <c r="I395" i="22"/>
  <c r="C395" i="22"/>
  <c r="AJ394" i="22"/>
  <c r="AI394" i="22"/>
  <c r="AG394" i="22"/>
  <c r="AF394" i="22"/>
  <c r="AD394" i="22"/>
  <c r="AC394" i="22"/>
  <c r="AA394" i="22"/>
  <c r="Z394" i="22"/>
  <c r="W394" i="22"/>
  <c r="V394" i="22"/>
  <c r="T394" i="22"/>
  <c r="S394" i="22"/>
  <c r="N394" i="22"/>
  <c r="M394" i="22"/>
  <c r="AN394" i="22" s="1"/>
  <c r="K394" i="22"/>
  <c r="J394" i="22"/>
  <c r="AL394" i="22" s="1"/>
  <c r="C394" i="22"/>
  <c r="AO393" i="22"/>
  <c r="AN393" i="22"/>
  <c r="AL393" i="22"/>
  <c r="AH393" i="22"/>
  <c r="AE393" i="22"/>
  <c r="AB393" i="22"/>
  <c r="Y393" i="22"/>
  <c r="U393" i="22"/>
  <c r="R393" i="22"/>
  <c r="L393" i="22"/>
  <c r="I393" i="22"/>
  <c r="E393" i="22"/>
  <c r="AM393" i="22" s="1"/>
  <c r="AO392" i="22"/>
  <c r="AN392" i="22"/>
  <c r="AM392" i="22"/>
  <c r="AL392" i="22"/>
  <c r="U392" i="22"/>
  <c r="R392" i="22"/>
  <c r="I392" i="22"/>
  <c r="H392" i="22" s="1"/>
  <c r="AN391" i="22"/>
  <c r="AM391" i="22"/>
  <c r="AL391" i="22"/>
  <c r="AH391" i="22"/>
  <c r="AE391" i="22"/>
  <c r="AB391" i="22"/>
  <c r="Y391" i="22"/>
  <c r="R391" i="22"/>
  <c r="L391" i="22"/>
  <c r="I391" i="22"/>
  <c r="G391" i="22"/>
  <c r="AO390" i="22"/>
  <c r="AN390" i="22"/>
  <c r="AM390" i="22"/>
  <c r="AL390" i="22"/>
  <c r="AH390" i="22"/>
  <c r="AE390" i="22"/>
  <c r="AB390" i="22"/>
  <c r="Y390" i="22"/>
  <c r="U390" i="22"/>
  <c r="R390" i="22"/>
  <c r="L390" i="22"/>
  <c r="I390" i="22"/>
  <c r="C390" i="22"/>
  <c r="AN389" i="22"/>
  <c r="AM389" i="22"/>
  <c r="AL389" i="22"/>
  <c r="AH389" i="22"/>
  <c r="AE389" i="22"/>
  <c r="AB389" i="22"/>
  <c r="Y389" i="22"/>
  <c r="W389" i="22"/>
  <c r="U389" i="22" s="1"/>
  <c r="R389" i="22"/>
  <c r="L389" i="22"/>
  <c r="I389" i="22"/>
  <c r="G389" i="22"/>
  <c r="AO389" i="22" s="1"/>
  <c r="AO388" i="22"/>
  <c r="AN388" i="22"/>
  <c r="AM388" i="22"/>
  <c r="AL388" i="22"/>
  <c r="AE388" i="22"/>
  <c r="AB388" i="22"/>
  <c r="Y388" i="22"/>
  <c r="U388" i="22"/>
  <c r="R388" i="22"/>
  <c r="L388" i="22"/>
  <c r="H388" i="22" s="1"/>
  <c r="C388" i="22"/>
  <c r="AN387" i="22"/>
  <c r="AM387" i="22"/>
  <c r="AL387" i="22"/>
  <c r="AE387" i="22"/>
  <c r="AB387" i="22"/>
  <c r="Y387" i="22"/>
  <c r="U387" i="22"/>
  <c r="R387" i="22"/>
  <c r="L387" i="22"/>
  <c r="I387" i="22"/>
  <c r="G387" i="22"/>
  <c r="AO387" i="22" s="1"/>
  <c r="AN386" i="22"/>
  <c r="AM386" i="22"/>
  <c r="AL386" i="22"/>
  <c r="AE386" i="22"/>
  <c r="AB386" i="22"/>
  <c r="Y386" i="22"/>
  <c r="W386" i="22"/>
  <c r="Q386" i="22" s="1"/>
  <c r="R386" i="22"/>
  <c r="L386" i="22"/>
  <c r="I386" i="22"/>
  <c r="C386" i="22"/>
  <c r="AN385" i="22"/>
  <c r="AM385" i="22"/>
  <c r="AL385" i="22"/>
  <c r="AE385" i="22"/>
  <c r="AB385" i="22"/>
  <c r="Y385" i="22"/>
  <c r="W385" i="22"/>
  <c r="Q385" i="22" s="1"/>
  <c r="R385" i="22"/>
  <c r="L385" i="22"/>
  <c r="I385" i="22"/>
  <c r="C385" i="22"/>
  <c r="AO384" i="22"/>
  <c r="AN384" i="22"/>
  <c r="AM384" i="22"/>
  <c r="AL384" i="22"/>
  <c r="AH384" i="22"/>
  <c r="AE384" i="22"/>
  <c r="AB384" i="22"/>
  <c r="Y384" i="22"/>
  <c r="U384" i="22"/>
  <c r="R384" i="22"/>
  <c r="L384" i="22"/>
  <c r="I384" i="22"/>
  <c r="C384" i="22"/>
  <c r="AN383" i="22"/>
  <c r="AM383" i="22"/>
  <c r="AL383" i="22"/>
  <c r="AH383" i="22"/>
  <c r="AE383" i="22"/>
  <c r="AB383" i="22"/>
  <c r="Y383" i="22"/>
  <c r="W383" i="22"/>
  <c r="Q383" i="22" s="1"/>
  <c r="R383" i="22"/>
  <c r="L383" i="22"/>
  <c r="I383" i="22"/>
  <c r="C383" i="22"/>
  <c r="AN382" i="22"/>
  <c r="AM382" i="22"/>
  <c r="AL382" i="22"/>
  <c r="AH382" i="22"/>
  <c r="AE382" i="22"/>
  <c r="AB382" i="22"/>
  <c r="Y382" i="22"/>
  <c r="R382" i="22"/>
  <c r="L382" i="22"/>
  <c r="I382" i="22"/>
  <c r="G382" i="22"/>
  <c r="W382" i="22" s="1"/>
  <c r="Q382" i="22" s="1"/>
  <c r="AR381" i="22"/>
  <c r="AQ381" i="22"/>
  <c r="AJ381" i="22"/>
  <c r="AI381" i="22"/>
  <c r="AG381" i="22"/>
  <c r="AF381" i="22"/>
  <c r="AD381" i="22"/>
  <c r="AC381" i="22"/>
  <c r="AA381" i="22"/>
  <c r="Z381" i="22"/>
  <c r="V381" i="22"/>
  <c r="T381" i="22"/>
  <c r="S381" i="22"/>
  <c r="N381" i="22"/>
  <c r="M381" i="22"/>
  <c r="K381" i="22"/>
  <c r="J381" i="22"/>
  <c r="F381" i="22"/>
  <c r="D381" i="22"/>
  <c r="AO380" i="22"/>
  <c r="AO379" i="22" s="1"/>
  <c r="AN380" i="22"/>
  <c r="AN379" i="22" s="1"/>
  <c r="AM380" i="22"/>
  <c r="AL380" i="22"/>
  <c r="AL379" i="22" s="1"/>
  <c r="U380" i="22"/>
  <c r="U379" i="22" s="1"/>
  <c r="R380" i="22"/>
  <c r="I380" i="22"/>
  <c r="H380" i="22" s="1"/>
  <c r="H379" i="22" s="1"/>
  <c r="AJ379" i="22"/>
  <c r="AI379" i="22"/>
  <c r="AH379" i="22"/>
  <c r="AG379" i="22"/>
  <c r="AF379" i="22"/>
  <c r="AE379" i="22"/>
  <c r="AD379" i="22"/>
  <c r="AC379" i="22"/>
  <c r="AB379" i="22"/>
  <c r="AA379" i="22"/>
  <c r="Z379" i="22"/>
  <c r="Y379" i="22"/>
  <c r="X379" i="22"/>
  <c r="W379" i="22"/>
  <c r="V379" i="22"/>
  <c r="T379" i="22"/>
  <c r="S379" i="22"/>
  <c r="N379" i="22"/>
  <c r="M379" i="22"/>
  <c r="L379" i="22"/>
  <c r="K379" i="22"/>
  <c r="J379" i="22"/>
  <c r="AO378" i="22"/>
  <c r="AO377" i="22" s="1"/>
  <c r="AN378" i="22"/>
  <c r="AN377" i="22" s="1"/>
  <c r="AM378" i="22"/>
  <c r="AM377" i="22" s="1"/>
  <c r="AL378" i="22"/>
  <c r="AL377" i="22" s="1"/>
  <c r="U378" i="22"/>
  <c r="U377" i="22" s="1"/>
  <c r="R378" i="22"/>
  <c r="I378" i="22"/>
  <c r="H378" i="22" s="1"/>
  <c r="H377" i="22" s="1"/>
  <c r="AJ377" i="22"/>
  <c r="AI377" i="22"/>
  <c r="AH377" i="22"/>
  <c r="AG377" i="22"/>
  <c r="AF377" i="22"/>
  <c r="AE377" i="22"/>
  <c r="AD377" i="22"/>
  <c r="AC377" i="22"/>
  <c r="AB377" i="22"/>
  <c r="AA377" i="22"/>
  <c r="Z377" i="22"/>
  <c r="Y377" i="22"/>
  <c r="X377" i="22"/>
  <c r="W377" i="22"/>
  <c r="V377" i="22"/>
  <c r="T377" i="22"/>
  <c r="S377" i="22"/>
  <c r="N377" i="22"/>
  <c r="M377" i="22"/>
  <c r="L377" i="22"/>
  <c r="K377" i="22"/>
  <c r="J377" i="22"/>
  <c r="AO376" i="22"/>
  <c r="AN376" i="22"/>
  <c r="AM376" i="22"/>
  <c r="AL376" i="22"/>
  <c r="U376" i="22"/>
  <c r="R376" i="22"/>
  <c r="L376" i="22"/>
  <c r="I376" i="22"/>
  <c r="AO375" i="22"/>
  <c r="AN375" i="22"/>
  <c r="AM375" i="22"/>
  <c r="AL375" i="22"/>
  <c r="U375" i="22"/>
  <c r="R375" i="22"/>
  <c r="L375" i="22"/>
  <c r="I375" i="22"/>
  <c r="AO374" i="22"/>
  <c r="AN374" i="22"/>
  <c r="AM374" i="22"/>
  <c r="AL374" i="22"/>
  <c r="U374" i="22"/>
  <c r="R374" i="22"/>
  <c r="L374" i="22"/>
  <c r="I374" i="22"/>
  <c r="AO373" i="22"/>
  <c r="AN373" i="22"/>
  <c r="AM373" i="22"/>
  <c r="AL373" i="22"/>
  <c r="U373" i="22"/>
  <c r="R373" i="22"/>
  <c r="L373" i="22"/>
  <c r="I373" i="22"/>
  <c r="AO372" i="22"/>
  <c r="AN372" i="22"/>
  <c r="AM372" i="22"/>
  <c r="AL372" i="22"/>
  <c r="U372" i="22"/>
  <c r="R372" i="22"/>
  <c r="L372" i="22"/>
  <c r="I372" i="22"/>
  <c r="AO371" i="22"/>
  <c r="AN371" i="22"/>
  <c r="AM371" i="22"/>
  <c r="AL371" i="22"/>
  <c r="U371" i="22"/>
  <c r="R371" i="22"/>
  <c r="L371" i="22"/>
  <c r="I371" i="22"/>
  <c r="AO370" i="22"/>
  <c r="AN370" i="22"/>
  <c r="AM370" i="22"/>
  <c r="AL370" i="22"/>
  <c r="U370" i="22"/>
  <c r="R370" i="22"/>
  <c r="L370" i="22"/>
  <c r="I370" i="22"/>
  <c r="AO369" i="22"/>
  <c r="AN369" i="22"/>
  <c r="AM369" i="22"/>
  <c r="AL369" i="22"/>
  <c r="U369" i="22"/>
  <c r="R369" i="22"/>
  <c r="L369" i="22"/>
  <c r="I369" i="22"/>
  <c r="AO368" i="22"/>
  <c r="AN368" i="22"/>
  <c r="AM368" i="22"/>
  <c r="AL368" i="22"/>
  <c r="U368" i="22"/>
  <c r="R368" i="22"/>
  <c r="L368" i="22"/>
  <c r="I368" i="22"/>
  <c r="AO367" i="22"/>
  <c r="AN367" i="22"/>
  <c r="AM367" i="22"/>
  <c r="AL367" i="22"/>
  <c r="U367" i="22"/>
  <c r="U366" i="22" s="1"/>
  <c r="R367" i="22"/>
  <c r="L367" i="22"/>
  <c r="I367" i="22"/>
  <c r="AJ366" i="22"/>
  <c r="AI366" i="22"/>
  <c r="AH366" i="22"/>
  <c r="AG366" i="22"/>
  <c r="AF366" i="22"/>
  <c r="AE366" i="22"/>
  <c r="AD366" i="22"/>
  <c r="AC366" i="22"/>
  <c r="AB366" i="22"/>
  <c r="AA366" i="22"/>
  <c r="Z366" i="22"/>
  <c r="Y366" i="22"/>
  <c r="X366" i="22"/>
  <c r="W366" i="22"/>
  <c r="V366" i="22"/>
  <c r="T366" i="22"/>
  <c r="S366" i="22"/>
  <c r="N366" i="22"/>
  <c r="M366" i="22"/>
  <c r="K366" i="22"/>
  <c r="J366" i="22"/>
  <c r="AO365" i="22"/>
  <c r="AN365" i="22"/>
  <c r="AM365" i="22"/>
  <c r="AL365" i="22"/>
  <c r="U365" i="22"/>
  <c r="R365" i="22"/>
  <c r="L365" i="22"/>
  <c r="I365" i="22"/>
  <c r="AO364" i="22"/>
  <c r="AN364" i="22"/>
  <c r="AM364" i="22"/>
  <c r="AL364" i="22"/>
  <c r="U364" i="22"/>
  <c r="R364" i="22"/>
  <c r="L364" i="22"/>
  <c r="I364" i="22"/>
  <c r="AO363" i="22"/>
  <c r="AN363" i="22"/>
  <c r="AM363" i="22"/>
  <c r="AL363" i="22"/>
  <c r="U363" i="22"/>
  <c r="R363" i="22"/>
  <c r="L363" i="22"/>
  <c r="I363" i="22"/>
  <c r="C363" i="22"/>
  <c r="AN362" i="22"/>
  <c r="AM362" i="22"/>
  <c r="AL362" i="22"/>
  <c r="U362" i="22"/>
  <c r="R362" i="22"/>
  <c r="L362" i="22"/>
  <c r="I362" i="22"/>
  <c r="G362" i="22"/>
  <c r="AO362" i="22" s="1"/>
  <c r="AO361" i="22"/>
  <c r="AN361" i="22"/>
  <c r="AM361" i="22"/>
  <c r="AL361" i="22"/>
  <c r="U361" i="22"/>
  <c r="R361" i="22"/>
  <c r="L361" i="22"/>
  <c r="I361" i="22"/>
  <c r="C361" i="22"/>
  <c r="AO360" i="22"/>
  <c r="AN360" i="22"/>
  <c r="AM360" i="22"/>
  <c r="AL360" i="22"/>
  <c r="U360" i="22"/>
  <c r="R360" i="22"/>
  <c r="L360" i="22"/>
  <c r="I360" i="22"/>
  <c r="C360" i="22"/>
  <c r="AN359" i="22"/>
  <c r="AM359" i="22"/>
  <c r="AL359" i="22"/>
  <c r="U359" i="22"/>
  <c r="R359" i="22"/>
  <c r="L359" i="22"/>
  <c r="I359" i="22"/>
  <c r="G359" i="22"/>
  <c r="AJ358" i="22"/>
  <c r="AI358" i="22"/>
  <c r="AH358" i="22"/>
  <c r="AG358" i="22"/>
  <c r="AF358" i="22"/>
  <c r="AE358" i="22"/>
  <c r="AD358" i="22"/>
  <c r="AC358" i="22"/>
  <c r="AB358" i="22"/>
  <c r="AA358" i="22"/>
  <c r="Z358" i="22"/>
  <c r="Y358" i="22"/>
  <c r="X358" i="22"/>
  <c r="W358" i="22"/>
  <c r="V358" i="22"/>
  <c r="T358" i="22"/>
  <c r="S358" i="22"/>
  <c r="N358" i="22"/>
  <c r="M358" i="22"/>
  <c r="K358" i="22"/>
  <c r="J358" i="22"/>
  <c r="F358" i="22"/>
  <c r="E358" i="22"/>
  <c r="D358" i="22"/>
  <c r="AO357" i="22"/>
  <c r="AN357" i="22"/>
  <c r="AM357" i="22"/>
  <c r="AL357" i="22"/>
  <c r="AH357" i="22"/>
  <c r="AH356" i="22" s="1"/>
  <c r="AE357" i="22"/>
  <c r="AE356" i="22" s="1"/>
  <c r="AB357" i="22"/>
  <c r="Y357" i="22"/>
  <c r="Y356" i="22" s="1"/>
  <c r="R357" i="22"/>
  <c r="R356" i="22" s="1"/>
  <c r="L357" i="22"/>
  <c r="L356" i="22" s="1"/>
  <c r="I357" i="22"/>
  <c r="C357" i="22"/>
  <c r="AJ356" i="22"/>
  <c r="AI356" i="22"/>
  <c r="AG356" i="22"/>
  <c r="AF356" i="22"/>
  <c r="AD356" i="22"/>
  <c r="AC356" i="22"/>
  <c r="AA356" i="22"/>
  <c r="Z356" i="22"/>
  <c r="W356" i="22"/>
  <c r="V356" i="22"/>
  <c r="U356" i="22"/>
  <c r="T356" i="22"/>
  <c r="S356" i="22"/>
  <c r="N356" i="22"/>
  <c r="M356" i="22"/>
  <c r="K356" i="22"/>
  <c r="J356" i="22"/>
  <c r="C356" i="22"/>
  <c r="AO355" i="22"/>
  <c r="AO354" i="22" s="1"/>
  <c r="AN355" i="22"/>
  <c r="AN354" i="22" s="1"/>
  <c r="AL355" i="22"/>
  <c r="AL354" i="22" s="1"/>
  <c r="AH355" i="22"/>
  <c r="AH354" i="22" s="1"/>
  <c r="AE355" i="22"/>
  <c r="AB355" i="22"/>
  <c r="AB354" i="22" s="1"/>
  <c r="Y355" i="22"/>
  <c r="Y354" i="22" s="1"/>
  <c r="T355" i="22"/>
  <c r="Q355" i="22" s="1"/>
  <c r="L355" i="22"/>
  <c r="L354" i="22" s="1"/>
  <c r="I355" i="22"/>
  <c r="C355" i="22"/>
  <c r="C354" i="22" s="1"/>
  <c r="AR354" i="22"/>
  <c r="AQ354" i="22"/>
  <c r="AJ354" i="22"/>
  <c r="AI354" i="22"/>
  <c r="AG354" i="22"/>
  <c r="AF354" i="22"/>
  <c r="AD354" i="22"/>
  <c r="AC354" i="22"/>
  <c r="AA354" i="22"/>
  <c r="Z354" i="22"/>
  <c r="W354" i="22"/>
  <c r="V354" i="22"/>
  <c r="U354" i="22"/>
  <c r="S354" i="22"/>
  <c r="N354" i="22"/>
  <c r="M354" i="22"/>
  <c r="K354" i="22"/>
  <c r="J354" i="22"/>
  <c r="G354" i="22"/>
  <c r="F354" i="22"/>
  <c r="E354" i="22"/>
  <c r="D354" i="22"/>
  <c r="AO353" i="22"/>
  <c r="AN353" i="22"/>
  <c r="AL353" i="22"/>
  <c r="Y353" i="22"/>
  <c r="X353" i="22" s="1"/>
  <c r="U353" i="22"/>
  <c r="O353" i="22" s="1"/>
  <c r="I353" i="22"/>
  <c r="H353" i="22" s="1"/>
  <c r="E353" i="22"/>
  <c r="AM353" i="22" s="1"/>
  <c r="AO352" i="22"/>
  <c r="AN352" i="22"/>
  <c r="AM352" i="22"/>
  <c r="AL352" i="22"/>
  <c r="U352" i="22"/>
  <c r="O352" i="22" s="1"/>
  <c r="C352" i="22"/>
  <c r="AO351" i="22"/>
  <c r="AN351" i="22"/>
  <c r="AM351" i="22"/>
  <c r="AL351" i="22"/>
  <c r="U351" i="22"/>
  <c r="O351" i="22" s="1"/>
  <c r="C351" i="22"/>
  <c r="AN350" i="22"/>
  <c r="AM350" i="22"/>
  <c r="AL350" i="22"/>
  <c r="U350" i="22"/>
  <c r="O350" i="22" s="1"/>
  <c r="G350" i="22"/>
  <c r="AO350" i="22" s="1"/>
  <c r="AN349" i="22"/>
  <c r="AM349" i="22"/>
  <c r="AL349" i="22"/>
  <c r="U349" i="22"/>
  <c r="O349" i="22" s="1"/>
  <c r="G349" i="22"/>
  <c r="AO349" i="22" s="1"/>
  <c r="AO348" i="22"/>
  <c r="AN348" i="22"/>
  <c r="AM348" i="22"/>
  <c r="AL348" i="22"/>
  <c r="U348" i="22"/>
  <c r="O348" i="22" s="1"/>
  <c r="C348" i="22"/>
  <c r="AO347" i="22"/>
  <c r="AN347" i="22"/>
  <c r="AM347" i="22"/>
  <c r="AL347" i="22"/>
  <c r="U347" i="22"/>
  <c r="O347" i="22" s="1"/>
  <c r="C347" i="22"/>
  <c r="AN346" i="22"/>
  <c r="AM346" i="22"/>
  <c r="AL346" i="22"/>
  <c r="U346" i="22"/>
  <c r="O346" i="22" s="1"/>
  <c r="G346" i="22"/>
  <c r="AO345" i="22"/>
  <c r="AN345" i="22"/>
  <c r="AM345" i="22"/>
  <c r="AL345" i="22"/>
  <c r="U345" i="22"/>
  <c r="O345" i="22" s="1"/>
  <c r="C345" i="22"/>
  <c r="AO344" i="22"/>
  <c r="AN344" i="22"/>
  <c r="AM344" i="22"/>
  <c r="AL344" i="22"/>
  <c r="U344" i="22"/>
  <c r="O344" i="22" s="1"/>
  <c r="C344" i="22"/>
  <c r="AO343" i="22"/>
  <c r="AN343" i="22"/>
  <c r="AM343" i="22"/>
  <c r="AL343" i="22"/>
  <c r="Y343" i="22"/>
  <c r="U343" i="22"/>
  <c r="R343" i="22"/>
  <c r="I343" i="22"/>
  <c r="C343" i="22"/>
  <c r="AR342" i="22"/>
  <c r="AQ342" i="22"/>
  <c r="AJ342" i="22"/>
  <c r="AI342" i="22"/>
  <c r="AH342" i="22"/>
  <c r="AG342" i="22"/>
  <c r="AF342" i="22"/>
  <c r="AE342" i="22"/>
  <c r="AD342" i="22"/>
  <c r="AC342" i="22"/>
  <c r="AB342" i="22"/>
  <c r="AA342" i="22"/>
  <c r="Z342" i="22"/>
  <c r="W342" i="22"/>
  <c r="V342" i="22"/>
  <c r="T342" i="22"/>
  <c r="S342" i="22"/>
  <c r="N342" i="22"/>
  <c r="M342" i="22"/>
  <c r="L342" i="22"/>
  <c r="K342" i="22"/>
  <c r="J342" i="22"/>
  <c r="F342" i="22"/>
  <c r="AO341" i="22"/>
  <c r="AN341" i="22"/>
  <c r="AL341" i="22"/>
  <c r="AB341" i="22"/>
  <c r="AB339" i="22" s="1"/>
  <c r="Y341" i="22"/>
  <c r="Y339" i="22" s="1"/>
  <c r="K341" i="22"/>
  <c r="AM341" i="22" s="1"/>
  <c r="AO340" i="22"/>
  <c r="AN340" i="22"/>
  <c r="AL340" i="22"/>
  <c r="AH340" i="22"/>
  <c r="AH339" i="22" s="1"/>
  <c r="AE340" i="22"/>
  <c r="R340" i="22"/>
  <c r="K340" i="22"/>
  <c r="AM340" i="22" s="1"/>
  <c r="C340" i="22"/>
  <c r="AJ339" i="22"/>
  <c r="AI339" i="22"/>
  <c r="AG339" i="22"/>
  <c r="AF339" i="22"/>
  <c r="AD339" i="22"/>
  <c r="AC339" i="22"/>
  <c r="AA339" i="22"/>
  <c r="Z339" i="22"/>
  <c r="W339" i="22"/>
  <c r="V339" i="22"/>
  <c r="U339" i="22"/>
  <c r="T339" i="22"/>
  <c r="S339" i="22"/>
  <c r="N339" i="22"/>
  <c r="M339" i="22"/>
  <c r="L339" i="22"/>
  <c r="J339" i="22"/>
  <c r="C339" i="22"/>
  <c r="AO338" i="22"/>
  <c r="AN338" i="22"/>
  <c r="AM338" i="22"/>
  <c r="AL338" i="22"/>
  <c r="I338" i="22"/>
  <c r="H338" i="22" s="1"/>
  <c r="C338" i="22"/>
  <c r="C337" i="22"/>
  <c r="AN336" i="22"/>
  <c r="AN335" i="22" s="1"/>
  <c r="AM336" i="22"/>
  <c r="AM335" i="22" s="1"/>
  <c r="AL336" i="22"/>
  <c r="AL335" i="22" s="1"/>
  <c r="L336" i="22"/>
  <c r="L335" i="22" s="1"/>
  <c r="I336" i="22"/>
  <c r="I335" i="22" s="1"/>
  <c r="C336" i="22"/>
  <c r="AJ335" i="22"/>
  <c r="AI335" i="22"/>
  <c r="AH335" i="22"/>
  <c r="AG335" i="22"/>
  <c r="AF335" i="22"/>
  <c r="AE335" i="22"/>
  <c r="AD335" i="22"/>
  <c r="AC335" i="22"/>
  <c r="AB335" i="22"/>
  <c r="AA335" i="22"/>
  <c r="Z335" i="22"/>
  <c r="Y335" i="22"/>
  <c r="X335" i="22"/>
  <c r="V335" i="22"/>
  <c r="T335" i="22"/>
  <c r="S335" i="22"/>
  <c r="R335" i="22"/>
  <c r="N335" i="22"/>
  <c r="M335" i="22"/>
  <c r="K335" i="22"/>
  <c r="J335" i="22"/>
  <c r="G335" i="22"/>
  <c r="F335" i="22"/>
  <c r="E335" i="22"/>
  <c r="D335" i="22"/>
  <c r="AN334" i="22"/>
  <c r="AM334" i="22"/>
  <c r="AL334" i="22"/>
  <c r="AH334" i="22"/>
  <c r="AE334" i="22"/>
  <c r="U334" i="22"/>
  <c r="O334" i="22" s="1"/>
  <c r="N334" i="22"/>
  <c r="I334" i="22"/>
  <c r="G334" i="22"/>
  <c r="C334" i="22" s="1"/>
  <c r="AO333" i="22"/>
  <c r="AN333" i="22"/>
  <c r="AM333" i="22"/>
  <c r="AL333" i="22"/>
  <c r="AB333" i="22"/>
  <c r="Y333" i="22"/>
  <c r="L333" i="22"/>
  <c r="I333" i="22"/>
  <c r="C333" i="22"/>
  <c r="AO332" i="22"/>
  <c r="AN332" i="22"/>
  <c r="AM332" i="22"/>
  <c r="AL332" i="22"/>
  <c r="R332" i="22"/>
  <c r="O332" i="22" s="1"/>
  <c r="I332" i="22"/>
  <c r="H332" i="22" s="1"/>
  <c r="C332" i="22"/>
  <c r="AO331" i="22"/>
  <c r="AN331" i="22"/>
  <c r="AM331" i="22"/>
  <c r="AL331" i="22"/>
  <c r="AH331" i="22"/>
  <c r="AE331" i="22"/>
  <c r="AB331" i="22"/>
  <c r="Y331" i="22"/>
  <c r="R331" i="22"/>
  <c r="O331" i="22" s="1"/>
  <c r="L331" i="22"/>
  <c r="I331" i="22"/>
  <c r="C331" i="22"/>
  <c r="AR330" i="22"/>
  <c r="AQ330" i="22"/>
  <c r="AJ330" i="22"/>
  <c r="AI330" i="22"/>
  <c r="AG330" i="22"/>
  <c r="AF330" i="22"/>
  <c r="AD330" i="22"/>
  <c r="AC330" i="22"/>
  <c r="AA330" i="22"/>
  <c r="Z330" i="22"/>
  <c r="W330" i="22"/>
  <c r="V330" i="22"/>
  <c r="T330" i="22"/>
  <c r="S330" i="22"/>
  <c r="M330" i="22"/>
  <c r="K330" i="22"/>
  <c r="J330" i="22"/>
  <c r="F330" i="22"/>
  <c r="E330" i="22"/>
  <c r="D330" i="22"/>
  <c r="AO329" i="22"/>
  <c r="AN329" i="22"/>
  <c r="AM329" i="22"/>
  <c r="AL329" i="22"/>
  <c r="AH329" i="22"/>
  <c r="AE329" i="22"/>
  <c r="AB329" i="22"/>
  <c r="Y329" i="22"/>
  <c r="U329" i="22"/>
  <c r="R329" i="22"/>
  <c r="L329" i="22"/>
  <c r="I329" i="22"/>
  <c r="C329" i="22"/>
  <c r="AO328" i="22"/>
  <c r="AN328" i="22"/>
  <c r="AM328" i="22"/>
  <c r="AL328" i="22"/>
  <c r="U328" i="22"/>
  <c r="O328" i="22" s="1"/>
  <c r="L328" i="22"/>
  <c r="I328" i="22"/>
  <c r="AO327" i="22"/>
  <c r="AN327" i="22"/>
  <c r="AM327" i="22"/>
  <c r="AL327" i="22"/>
  <c r="AH327" i="22"/>
  <c r="AE327" i="22"/>
  <c r="U327" i="22"/>
  <c r="R327" i="22"/>
  <c r="L327" i="22"/>
  <c r="I327" i="22"/>
  <c r="C327" i="22"/>
  <c r="AO326" i="22"/>
  <c r="AM326" i="22"/>
  <c r="AL326" i="22"/>
  <c r="AH326" i="22"/>
  <c r="AE326" i="22"/>
  <c r="AB326" i="22"/>
  <c r="Y326" i="22"/>
  <c r="R326" i="22"/>
  <c r="L326" i="22"/>
  <c r="I326" i="22"/>
  <c r="C326" i="22"/>
  <c r="AJ325" i="22"/>
  <c r="AI325" i="22"/>
  <c r="AG325" i="22"/>
  <c r="AF325" i="22"/>
  <c r="AD325" i="22"/>
  <c r="AC325" i="22"/>
  <c r="AA325" i="22"/>
  <c r="Z325" i="22"/>
  <c r="W325" i="22"/>
  <c r="T325" i="22"/>
  <c r="S325" i="22"/>
  <c r="N325" i="22"/>
  <c r="M325" i="22"/>
  <c r="K325" i="22"/>
  <c r="J325" i="22"/>
  <c r="C325" i="22"/>
  <c r="AO324" i="22"/>
  <c r="AN324" i="22"/>
  <c r="AM324" i="22"/>
  <c r="AL324" i="22"/>
  <c r="AH324" i="22"/>
  <c r="AE324" i="22"/>
  <c r="AB324" i="22"/>
  <c r="Y324" i="22"/>
  <c r="O324" i="22"/>
  <c r="L324" i="22"/>
  <c r="I324" i="22"/>
  <c r="C324" i="22"/>
  <c r="AO323" i="22"/>
  <c r="AN323" i="22"/>
  <c r="AM323" i="22"/>
  <c r="AL323" i="22"/>
  <c r="AH323" i="22"/>
  <c r="AE323" i="22"/>
  <c r="AB323" i="22"/>
  <c r="Y323" i="22"/>
  <c r="R323" i="22"/>
  <c r="O323" i="22" s="1"/>
  <c r="L323" i="22"/>
  <c r="I323" i="22"/>
  <c r="C323" i="22"/>
  <c r="AO322" i="22"/>
  <c r="AN322" i="22"/>
  <c r="AM322" i="22"/>
  <c r="AL322" i="22"/>
  <c r="AH322" i="22"/>
  <c r="AE322" i="22"/>
  <c r="AB322" i="22"/>
  <c r="Y322" i="22"/>
  <c r="R322" i="22"/>
  <c r="L322" i="22"/>
  <c r="I322" i="22"/>
  <c r="C322" i="22"/>
  <c r="AO321" i="22"/>
  <c r="AN321" i="22"/>
  <c r="AL321" i="22"/>
  <c r="AH321" i="22"/>
  <c r="AE321" i="22"/>
  <c r="AB321" i="22"/>
  <c r="Y321" i="22"/>
  <c r="R321" i="22"/>
  <c r="O321" i="22" s="1"/>
  <c r="L321" i="22"/>
  <c r="I321" i="22"/>
  <c r="E321" i="22"/>
  <c r="C321" i="22" s="1"/>
  <c r="AO320" i="22"/>
  <c r="AN320" i="22"/>
  <c r="AL320" i="22"/>
  <c r="AH320" i="22"/>
  <c r="AE320" i="22"/>
  <c r="AB320" i="22"/>
  <c r="Y320" i="22"/>
  <c r="R320" i="22"/>
  <c r="O320" i="22" s="1"/>
  <c r="L320" i="22"/>
  <c r="K320" i="22"/>
  <c r="K309" i="22" s="1"/>
  <c r="C320" i="22"/>
  <c r="AO319" i="22"/>
  <c r="AN319" i="22"/>
  <c r="AM319" i="22"/>
  <c r="AL319" i="22"/>
  <c r="AH319" i="22"/>
  <c r="AE319" i="22"/>
  <c r="AB319" i="22"/>
  <c r="Y319" i="22"/>
  <c r="U319" i="22"/>
  <c r="O319" i="22" s="1"/>
  <c r="L319" i="22"/>
  <c r="I319" i="22"/>
  <c r="C319" i="22"/>
  <c r="AO318" i="22"/>
  <c r="AN318" i="22"/>
  <c r="AM318" i="22"/>
  <c r="AL318" i="22"/>
  <c r="AH318" i="22"/>
  <c r="AE318" i="22"/>
  <c r="AB318" i="22"/>
  <c r="Y318" i="22"/>
  <c r="U318" i="22"/>
  <c r="O318" i="22" s="1"/>
  <c r="L318" i="22"/>
  <c r="I318" i="22"/>
  <c r="C318" i="22"/>
  <c r="AO317" i="22"/>
  <c r="AN317" i="22"/>
  <c r="AM317" i="22"/>
  <c r="AL317" i="22"/>
  <c r="AH317" i="22"/>
  <c r="AE317" i="22"/>
  <c r="AB317" i="22"/>
  <c r="Y317" i="22"/>
  <c r="U317" i="22"/>
  <c r="O317" i="22" s="1"/>
  <c r="L317" i="22"/>
  <c r="I317" i="22"/>
  <c r="C317" i="22"/>
  <c r="AN316" i="22"/>
  <c r="AM316" i="22"/>
  <c r="AL316" i="22"/>
  <c r="AH316" i="22"/>
  <c r="AE316" i="22"/>
  <c r="AD316" i="22"/>
  <c r="AB316" i="22" s="1"/>
  <c r="W316" i="22"/>
  <c r="AO316" i="22" s="1"/>
  <c r="L316" i="22"/>
  <c r="H316" i="22" s="1"/>
  <c r="C316" i="22"/>
  <c r="AO315" i="22"/>
  <c r="AN315" i="22"/>
  <c r="AM315" i="22"/>
  <c r="AL315" i="22"/>
  <c r="AH315" i="22"/>
  <c r="AE315" i="22"/>
  <c r="AB315" i="22"/>
  <c r="Y315" i="22"/>
  <c r="U315" i="22"/>
  <c r="O315" i="22" s="1"/>
  <c r="L315" i="22"/>
  <c r="I315" i="22"/>
  <c r="C315" i="22"/>
  <c r="AN314" i="22"/>
  <c r="AM314" i="22"/>
  <c r="AL314" i="22"/>
  <c r="AH314" i="22"/>
  <c r="AE314" i="22"/>
  <c r="AD314" i="22"/>
  <c r="Y314" i="22"/>
  <c r="U314" i="22"/>
  <c r="R314" i="22"/>
  <c r="L314" i="22"/>
  <c r="I314" i="22"/>
  <c r="G314" i="22"/>
  <c r="AO313" i="22"/>
  <c r="AN313" i="22"/>
  <c r="AM313" i="22"/>
  <c r="AL313" i="22"/>
  <c r="AH313" i="22"/>
  <c r="AE313" i="22"/>
  <c r="AB313" i="22"/>
  <c r="Y313" i="22"/>
  <c r="U313" i="22"/>
  <c r="O313" i="22" s="1"/>
  <c r="L313" i="22"/>
  <c r="I313" i="22"/>
  <c r="C313" i="22"/>
  <c r="AN312" i="22"/>
  <c r="AM312" i="22"/>
  <c r="AL312" i="22"/>
  <c r="AH312" i="22"/>
  <c r="AE312" i="22"/>
  <c r="AD312" i="22"/>
  <c r="AB312" i="22" s="1"/>
  <c r="Y312" i="22"/>
  <c r="W312" i="22"/>
  <c r="L312" i="22"/>
  <c r="I312" i="22"/>
  <c r="C312" i="22"/>
  <c r="AO311" i="22"/>
  <c r="AN311" i="22"/>
  <c r="AM311" i="22"/>
  <c r="AL311" i="22"/>
  <c r="AH311" i="22"/>
  <c r="AE311" i="22"/>
  <c r="AB311" i="22"/>
  <c r="Y311" i="22"/>
  <c r="U311" i="22"/>
  <c r="O311" i="22" s="1"/>
  <c r="L311" i="22"/>
  <c r="I311" i="22"/>
  <c r="C311" i="22"/>
  <c r="AO310" i="22"/>
  <c r="AN310" i="22"/>
  <c r="AM310" i="22"/>
  <c r="AL310" i="22"/>
  <c r="AH310" i="22"/>
  <c r="AE310" i="22"/>
  <c r="AB310" i="22"/>
  <c r="Y310" i="22"/>
  <c r="U310" i="22"/>
  <c r="L310" i="22"/>
  <c r="I310" i="22"/>
  <c r="C310" i="22"/>
  <c r="AR309" i="22"/>
  <c r="AQ309" i="22"/>
  <c r="AJ309" i="22"/>
  <c r="AI309" i="22"/>
  <c r="AG309" i="22"/>
  <c r="AF309" i="22"/>
  <c r="AC309" i="22"/>
  <c r="AA309" i="22"/>
  <c r="Z309" i="22"/>
  <c r="V309" i="22"/>
  <c r="T309" i="22"/>
  <c r="S309" i="22"/>
  <c r="N309" i="22"/>
  <c r="M309" i="22"/>
  <c r="J309" i="22"/>
  <c r="F309" i="22"/>
  <c r="D309" i="22"/>
  <c r="AO308" i="22"/>
  <c r="AN308" i="22"/>
  <c r="AM308" i="22"/>
  <c r="AL308" i="22"/>
  <c r="AH308" i="22"/>
  <c r="AE308" i="22"/>
  <c r="AB308" i="22"/>
  <c r="Y308" i="22"/>
  <c r="O308" i="22"/>
  <c r="I308" i="22"/>
  <c r="H308" i="22" s="1"/>
  <c r="C308" i="22"/>
  <c r="AO307" i="22"/>
  <c r="AN307" i="22"/>
  <c r="AM307" i="22"/>
  <c r="AL307" i="22"/>
  <c r="AH307" i="22"/>
  <c r="AE307" i="22"/>
  <c r="AB307" i="22"/>
  <c r="Y307" i="22"/>
  <c r="R307" i="22"/>
  <c r="L307" i="22"/>
  <c r="I307" i="22"/>
  <c r="C307" i="22"/>
  <c r="AO306" i="22"/>
  <c r="AN306" i="22"/>
  <c r="AM306" i="22"/>
  <c r="AL306" i="22"/>
  <c r="AH306" i="22"/>
  <c r="AE306" i="22"/>
  <c r="AB306" i="22"/>
  <c r="Y306" i="22"/>
  <c r="U306" i="22"/>
  <c r="O306" i="22" s="1"/>
  <c r="L306" i="22"/>
  <c r="I306" i="22"/>
  <c r="C306" i="22"/>
  <c r="AO305" i="22"/>
  <c r="AN305" i="22"/>
  <c r="AM305" i="22"/>
  <c r="AL305" i="22"/>
  <c r="AH305" i="22"/>
  <c r="AE305" i="22"/>
  <c r="AB305" i="22"/>
  <c r="Y305" i="22"/>
  <c r="U305" i="22"/>
  <c r="O305" i="22" s="1"/>
  <c r="L305" i="22"/>
  <c r="I305" i="22"/>
  <c r="C305" i="22"/>
  <c r="AO304" i="22"/>
  <c r="AN304" i="22"/>
  <c r="AM304" i="22"/>
  <c r="AL304" i="22"/>
  <c r="AH304" i="22"/>
  <c r="AE304" i="22"/>
  <c r="AB304" i="22"/>
  <c r="Y304" i="22"/>
  <c r="U304" i="22"/>
  <c r="O304" i="22" s="1"/>
  <c r="L304" i="22"/>
  <c r="I304" i="22"/>
  <c r="C304" i="22"/>
  <c r="AO303" i="22"/>
  <c r="AN303" i="22"/>
  <c r="AM303" i="22"/>
  <c r="AL303" i="22"/>
  <c r="AH303" i="22"/>
  <c r="AE303" i="22"/>
  <c r="AB303" i="22"/>
  <c r="Y303" i="22"/>
  <c r="U303" i="22"/>
  <c r="O303" i="22" s="1"/>
  <c r="L303" i="22"/>
  <c r="I303" i="22"/>
  <c r="C303" i="22"/>
  <c r="AO302" i="22"/>
  <c r="AN302" i="22"/>
  <c r="AM302" i="22"/>
  <c r="AL302" i="22"/>
  <c r="AH302" i="22"/>
  <c r="AE302" i="22"/>
  <c r="AB302" i="22"/>
  <c r="Y302" i="22"/>
  <c r="U302" i="22"/>
  <c r="O302" i="22" s="1"/>
  <c r="L302" i="22"/>
  <c r="I302" i="22"/>
  <c r="C302" i="22"/>
  <c r="AO301" i="22"/>
  <c r="AN301" i="22"/>
  <c r="AM301" i="22"/>
  <c r="AL301" i="22"/>
  <c r="AH301" i="22"/>
  <c r="AE301" i="22"/>
  <c r="AB301" i="22"/>
  <c r="Y301" i="22"/>
  <c r="U301" i="22"/>
  <c r="R301" i="22"/>
  <c r="L301" i="22"/>
  <c r="I301" i="22"/>
  <c r="C301" i="22"/>
  <c r="AO300" i="22"/>
  <c r="AN300" i="22"/>
  <c r="AM300" i="22"/>
  <c r="AL300" i="22"/>
  <c r="AH300" i="22"/>
  <c r="AE300" i="22"/>
  <c r="AB300" i="22"/>
  <c r="Y300" i="22"/>
  <c r="U300" i="22"/>
  <c r="O300" i="22" s="1"/>
  <c r="L300" i="22"/>
  <c r="I300" i="22"/>
  <c r="C300" i="22"/>
  <c r="AO299" i="22"/>
  <c r="AN299" i="22"/>
  <c r="AM299" i="22"/>
  <c r="AL299" i="22"/>
  <c r="AH299" i="22"/>
  <c r="AE299" i="22"/>
  <c r="AB299" i="22"/>
  <c r="Y299" i="22"/>
  <c r="U299" i="22"/>
  <c r="O299" i="22" s="1"/>
  <c r="L299" i="22"/>
  <c r="I299" i="22"/>
  <c r="C299" i="22"/>
  <c r="AN298" i="22"/>
  <c r="AM298" i="22"/>
  <c r="AL298" i="22"/>
  <c r="AH298" i="22"/>
  <c r="AE298" i="22"/>
  <c r="AB298" i="22"/>
  <c r="Y298" i="22"/>
  <c r="W298" i="22"/>
  <c r="Q298" i="22" s="1"/>
  <c r="L298" i="22"/>
  <c r="I298" i="22"/>
  <c r="C298" i="22"/>
  <c r="AO297" i="22"/>
  <c r="AN297" i="22"/>
  <c r="AM297" i="22"/>
  <c r="AL297" i="22"/>
  <c r="AH297" i="22"/>
  <c r="AE297" i="22"/>
  <c r="AB297" i="22"/>
  <c r="Y297" i="22"/>
  <c r="U297" i="22"/>
  <c r="O297" i="22" s="1"/>
  <c r="L297" i="22"/>
  <c r="I297" i="22"/>
  <c r="C297" i="22"/>
  <c r="AJ296" i="22"/>
  <c r="AI296" i="22"/>
  <c r="AG296" i="22"/>
  <c r="AF296" i="22"/>
  <c r="AD296" i="22"/>
  <c r="AC296" i="22"/>
  <c r="AA296" i="22"/>
  <c r="Z296" i="22"/>
  <c r="V296" i="22"/>
  <c r="T296" i="22"/>
  <c r="S296" i="22"/>
  <c r="N296" i="22"/>
  <c r="M296" i="22"/>
  <c r="K296" i="22"/>
  <c r="J296" i="22"/>
  <c r="G296" i="22"/>
  <c r="F296" i="22"/>
  <c r="E296" i="22"/>
  <c r="D296" i="22"/>
  <c r="AO295" i="22"/>
  <c r="AN295" i="22"/>
  <c r="AM295" i="22"/>
  <c r="AL295" i="22"/>
  <c r="C295" i="22"/>
  <c r="AO294" i="22"/>
  <c r="AN294" i="22"/>
  <c r="AM294" i="22"/>
  <c r="AL294" i="22"/>
  <c r="R294" i="22"/>
  <c r="I294" i="22"/>
  <c r="I293" i="22" s="1"/>
  <c r="C294" i="22"/>
  <c r="AR293" i="22"/>
  <c r="AQ293" i="22"/>
  <c r="AJ293" i="22"/>
  <c r="AI293" i="22"/>
  <c r="AH293" i="22"/>
  <c r="AG293" i="22"/>
  <c r="AF293" i="22"/>
  <c r="AE293" i="22"/>
  <c r="AD293" i="22"/>
  <c r="AC293" i="22"/>
  <c r="AB293" i="22"/>
  <c r="AA293" i="22"/>
  <c r="Z293" i="22"/>
  <c r="Y293" i="22"/>
  <c r="X293" i="22"/>
  <c r="W293" i="22"/>
  <c r="V293" i="22"/>
  <c r="U293" i="22"/>
  <c r="T293" i="22"/>
  <c r="S293" i="22"/>
  <c r="N293" i="22"/>
  <c r="M293" i="22"/>
  <c r="L293" i="22"/>
  <c r="K293" i="22"/>
  <c r="J293" i="22"/>
  <c r="G293" i="22"/>
  <c r="F293" i="22"/>
  <c r="E293" i="22"/>
  <c r="D293" i="22"/>
  <c r="AO292" i="22"/>
  <c r="AN292" i="22"/>
  <c r="AL292" i="22"/>
  <c r="AH292" i="22"/>
  <c r="AE292" i="22"/>
  <c r="AB292" i="22"/>
  <c r="Y292" i="22"/>
  <c r="O292" i="22"/>
  <c r="L292" i="22"/>
  <c r="I292" i="22"/>
  <c r="E292" i="22"/>
  <c r="AM292" i="22" s="1"/>
  <c r="C292" i="22"/>
  <c r="AO291" i="22"/>
  <c r="AN291" i="22"/>
  <c r="AM291" i="22"/>
  <c r="AL291" i="22"/>
  <c r="AH291" i="22"/>
  <c r="AE291" i="22"/>
  <c r="AB291" i="22"/>
  <c r="Y291" i="22"/>
  <c r="U291" i="22"/>
  <c r="R291" i="22"/>
  <c r="L291" i="22"/>
  <c r="I291" i="22"/>
  <c r="C291" i="22"/>
  <c r="U290" i="22"/>
  <c r="O290" i="22" s="1"/>
  <c r="L290" i="22"/>
  <c r="C290" i="22"/>
  <c r="AN289" i="22"/>
  <c r="AM289" i="22"/>
  <c r="AL289" i="22"/>
  <c r="AH289" i="22"/>
  <c r="AE289" i="22"/>
  <c r="AB289" i="22"/>
  <c r="Y289" i="22"/>
  <c r="W289" i="22"/>
  <c r="U289" i="22" s="1"/>
  <c r="O289" i="22" s="1"/>
  <c r="L289" i="22"/>
  <c r="I289" i="22"/>
  <c r="G289" i="22"/>
  <c r="C289" i="22"/>
  <c r="U288" i="22"/>
  <c r="O288" i="22" s="1"/>
  <c r="C288" i="22"/>
  <c r="AN287" i="22"/>
  <c r="AM287" i="22"/>
  <c r="AL287" i="22"/>
  <c r="AH287" i="22"/>
  <c r="AE287" i="22"/>
  <c r="AB287" i="22"/>
  <c r="Y287" i="22"/>
  <c r="W287" i="22"/>
  <c r="Q287" i="22" s="1"/>
  <c r="L287" i="22"/>
  <c r="I287" i="22"/>
  <c r="C287" i="22"/>
  <c r="AO286" i="22"/>
  <c r="AN286" i="22"/>
  <c r="AM286" i="22"/>
  <c r="AL286" i="22"/>
  <c r="AH286" i="22"/>
  <c r="AE286" i="22"/>
  <c r="AB286" i="22"/>
  <c r="Y286" i="22"/>
  <c r="U286" i="22"/>
  <c r="O286" i="22" s="1"/>
  <c r="L286" i="22"/>
  <c r="I286" i="22"/>
  <c r="C286" i="22"/>
  <c r="AO285" i="22"/>
  <c r="AH285" i="22"/>
  <c r="AE285" i="22"/>
  <c r="AB285" i="22"/>
  <c r="Y285" i="22"/>
  <c r="V285" i="22"/>
  <c r="U285" i="22" s="1"/>
  <c r="T285" i="22"/>
  <c r="Q285" i="22" s="1"/>
  <c r="S285" i="22"/>
  <c r="R285" i="22"/>
  <c r="L285" i="22"/>
  <c r="I285" i="22"/>
  <c r="C285" i="22"/>
  <c r="AN284" i="22"/>
  <c r="AM284" i="22"/>
  <c r="AL284" i="22"/>
  <c r="AH284" i="22"/>
  <c r="AE284" i="22"/>
  <c r="AB284" i="22"/>
  <c r="Y284" i="22"/>
  <c r="W284" i="22"/>
  <c r="Q284" i="22" s="1"/>
  <c r="L284" i="22"/>
  <c r="I284" i="22"/>
  <c r="C284" i="22"/>
  <c r="AO283" i="22"/>
  <c r="AN283" i="22"/>
  <c r="AM283" i="22"/>
  <c r="AL283" i="22"/>
  <c r="AH283" i="22"/>
  <c r="AE283" i="22"/>
  <c r="AB283" i="22"/>
  <c r="Y283" i="22"/>
  <c r="U283" i="22"/>
  <c r="O283" i="22" s="1"/>
  <c r="L283" i="22"/>
  <c r="I283" i="22"/>
  <c r="C283" i="22"/>
  <c r="AO282" i="22"/>
  <c r="AN282" i="22"/>
  <c r="AM282" i="22"/>
  <c r="AL282" i="22"/>
  <c r="AH282" i="22"/>
  <c r="AE282" i="22"/>
  <c r="AB282" i="22"/>
  <c r="Y282" i="22"/>
  <c r="U282" i="22"/>
  <c r="O282" i="22" s="1"/>
  <c r="L282" i="22"/>
  <c r="I282" i="22"/>
  <c r="C282" i="22"/>
  <c r="AN281" i="22"/>
  <c r="AM281" i="22"/>
  <c r="AL281" i="22"/>
  <c r="AH281" i="22"/>
  <c r="AE281" i="22"/>
  <c r="AB281" i="22"/>
  <c r="Y281" i="22"/>
  <c r="L281" i="22"/>
  <c r="I281" i="22"/>
  <c r="G281" i="22"/>
  <c r="AR280" i="22"/>
  <c r="AQ280" i="22"/>
  <c r="AJ280" i="22"/>
  <c r="AI280" i="22"/>
  <c r="AG280" i="22"/>
  <c r="AF280" i="22"/>
  <c r="AD280" i="22"/>
  <c r="AC280" i="22"/>
  <c r="AA280" i="22"/>
  <c r="Z280" i="22"/>
  <c r="N280" i="22"/>
  <c r="M280" i="22"/>
  <c r="K280" i="22"/>
  <c r="J280" i="22"/>
  <c r="F280" i="22"/>
  <c r="D280" i="22"/>
  <c r="AO279" i="22"/>
  <c r="AN279" i="22"/>
  <c r="AM279" i="22"/>
  <c r="AL279" i="22"/>
  <c r="AH279" i="22"/>
  <c r="AE279" i="22"/>
  <c r="AB279" i="22"/>
  <c r="Y279" i="22"/>
  <c r="R279" i="22"/>
  <c r="O279" i="22" s="1"/>
  <c r="I279" i="22"/>
  <c r="H279" i="22" s="1"/>
  <c r="C279" i="22"/>
  <c r="AO278" i="22"/>
  <c r="AN278" i="22"/>
  <c r="AL278" i="22"/>
  <c r="I278" i="22"/>
  <c r="H278" i="22" s="1"/>
  <c r="E278" i="22"/>
  <c r="AM278" i="22" s="1"/>
  <c r="AO277" i="22"/>
  <c r="AN277" i="22"/>
  <c r="AL277" i="22"/>
  <c r="K277" i="22"/>
  <c r="I277" i="22" s="1"/>
  <c r="H277" i="22" s="1"/>
  <c r="C277" i="22"/>
  <c r="AO276" i="22"/>
  <c r="AN276" i="22"/>
  <c r="AM276" i="22"/>
  <c r="AL276" i="22"/>
  <c r="AH276" i="22"/>
  <c r="AE276" i="22"/>
  <c r="AB276" i="22"/>
  <c r="Y276" i="22"/>
  <c r="U276" i="22"/>
  <c r="O276" i="22" s="1"/>
  <c r="L276" i="22"/>
  <c r="I276" i="22"/>
  <c r="C276" i="22"/>
  <c r="AN275" i="22"/>
  <c r="AM275" i="22"/>
  <c r="AL275" i="22"/>
  <c r="AH275" i="22"/>
  <c r="AE275" i="22"/>
  <c r="AB275" i="22"/>
  <c r="Y275" i="22"/>
  <c r="W275" i="22"/>
  <c r="U275" i="22" s="1"/>
  <c r="O275" i="22" s="1"/>
  <c r="L275" i="22"/>
  <c r="I275" i="22"/>
  <c r="G275" i="22"/>
  <c r="C275" i="22" s="1"/>
  <c r="AN274" i="22"/>
  <c r="AM274" i="22"/>
  <c r="AL274" i="22"/>
  <c r="AH274" i="22"/>
  <c r="AE274" i="22"/>
  <c r="AB274" i="22"/>
  <c r="Y274" i="22"/>
  <c r="L274" i="22"/>
  <c r="I274" i="22"/>
  <c r="G274" i="22"/>
  <c r="AO273" i="22"/>
  <c r="AN273" i="22"/>
  <c r="AM273" i="22"/>
  <c r="AL273" i="22"/>
  <c r="AH273" i="22"/>
  <c r="AE273" i="22"/>
  <c r="AB273" i="22"/>
  <c r="Y273" i="22"/>
  <c r="U273" i="22"/>
  <c r="O273" i="22" s="1"/>
  <c r="L273" i="22"/>
  <c r="H273" i="22" s="1"/>
  <c r="C273" i="22"/>
  <c r="AO272" i="22"/>
  <c r="AN272" i="22"/>
  <c r="AM272" i="22"/>
  <c r="AL272" i="22"/>
  <c r="AH272" i="22"/>
  <c r="AE272" i="22"/>
  <c r="AB272" i="22"/>
  <c r="Y272" i="22"/>
  <c r="U272" i="22"/>
  <c r="O272" i="22" s="1"/>
  <c r="L272" i="22"/>
  <c r="I272" i="22"/>
  <c r="C272" i="22"/>
  <c r="AO271" i="22"/>
  <c r="AH271" i="22"/>
  <c r="AE271" i="22"/>
  <c r="AB271" i="22"/>
  <c r="Y271" i="22"/>
  <c r="V271" i="22"/>
  <c r="V266" i="22" s="1"/>
  <c r="V265" i="22" s="1"/>
  <c r="T271" i="22"/>
  <c r="Q271" i="22" s="1"/>
  <c r="S271" i="22"/>
  <c r="S266" i="22" s="1"/>
  <c r="R271" i="22"/>
  <c r="R266" i="22" s="1"/>
  <c r="L271" i="22"/>
  <c r="I271" i="22"/>
  <c r="C271" i="22"/>
  <c r="AO270" i="22"/>
  <c r="AN270" i="22"/>
  <c r="AM270" i="22"/>
  <c r="AL270" i="22"/>
  <c r="AH270" i="22"/>
  <c r="AE270" i="22"/>
  <c r="AB270" i="22"/>
  <c r="Y270" i="22"/>
  <c r="U270" i="22"/>
  <c r="O270" i="22" s="1"/>
  <c r="L270" i="22"/>
  <c r="I270" i="22"/>
  <c r="C270" i="22"/>
  <c r="AN269" i="22"/>
  <c r="AM269" i="22"/>
  <c r="AL269" i="22"/>
  <c r="AH269" i="22"/>
  <c r="AE269" i="22"/>
  <c r="AB269" i="22"/>
  <c r="Y269" i="22"/>
  <c r="W269" i="22"/>
  <c r="AO269" i="22" s="1"/>
  <c r="L269" i="22"/>
  <c r="I269" i="22"/>
  <c r="C269" i="22"/>
  <c r="AN268" i="22"/>
  <c r="AM268" i="22"/>
  <c r="AL268" i="22"/>
  <c r="AH268" i="22"/>
  <c r="AE268" i="22"/>
  <c r="AB268" i="22"/>
  <c r="Y268" i="22"/>
  <c r="W268" i="22"/>
  <c r="L268" i="22"/>
  <c r="I268" i="22"/>
  <c r="C268" i="22"/>
  <c r="AO267" i="22"/>
  <c r="AN267" i="22"/>
  <c r="AM267" i="22"/>
  <c r="AL267" i="22"/>
  <c r="AH267" i="22"/>
  <c r="AE267" i="22"/>
  <c r="AB267" i="22"/>
  <c r="Y267" i="22"/>
  <c r="U267" i="22"/>
  <c r="O267" i="22" s="1"/>
  <c r="L267" i="22"/>
  <c r="I267" i="22"/>
  <c r="C267" i="22"/>
  <c r="AR266" i="22"/>
  <c r="AR265" i="22" s="1"/>
  <c r="AQ266" i="22"/>
  <c r="AQ265" i="22" s="1"/>
  <c r="AJ266" i="22"/>
  <c r="AJ265" i="22" s="1"/>
  <c r="AI266" i="22"/>
  <c r="AI265" i="22" s="1"/>
  <c r="AG266" i="22"/>
  <c r="AG265" i="22" s="1"/>
  <c r="AF266" i="22"/>
  <c r="AF265" i="22" s="1"/>
  <c r="AD266" i="22"/>
  <c r="AD265" i="22" s="1"/>
  <c r="AC266" i="22"/>
  <c r="AC265" i="22" s="1"/>
  <c r="AA266" i="22"/>
  <c r="AA265" i="22" s="1"/>
  <c r="Z266" i="22"/>
  <c r="Z265" i="22" s="1"/>
  <c r="N266" i="22"/>
  <c r="N265" i="22" s="1"/>
  <c r="M266" i="22"/>
  <c r="M265" i="22" s="1"/>
  <c r="J266" i="22"/>
  <c r="J265" i="22" s="1"/>
  <c r="F266" i="22"/>
  <c r="F265" i="22" s="1"/>
  <c r="D266" i="22"/>
  <c r="D265" i="22" s="1"/>
  <c r="AO263" i="22"/>
  <c r="AN263" i="22"/>
  <c r="AM263" i="22"/>
  <c r="AL263" i="22"/>
  <c r="Y263" i="22"/>
  <c r="Y261" i="22" s="1"/>
  <c r="I263" i="22"/>
  <c r="H263" i="22" s="1"/>
  <c r="C263" i="22"/>
  <c r="AO262" i="22"/>
  <c r="AN262" i="22"/>
  <c r="AM262" i="22"/>
  <c r="AL262" i="22"/>
  <c r="R262" i="22"/>
  <c r="O262" i="22" s="1"/>
  <c r="O261" i="22" s="1"/>
  <c r="I262" i="22"/>
  <c r="C262" i="22"/>
  <c r="AR261" i="22"/>
  <c r="AQ261" i="22"/>
  <c r="AJ261" i="22"/>
  <c r="AI261" i="22"/>
  <c r="AH261" i="22"/>
  <c r="AG261" i="22"/>
  <c r="AF261" i="22"/>
  <c r="AE261" i="22"/>
  <c r="AD261" i="22"/>
  <c r="AC261" i="22"/>
  <c r="AB261" i="22"/>
  <c r="AA261" i="22"/>
  <c r="Z261" i="22"/>
  <c r="W261" i="22"/>
  <c r="V261" i="22"/>
  <c r="U261" i="22"/>
  <c r="T261" i="22"/>
  <c r="S261" i="22"/>
  <c r="N261" i="22"/>
  <c r="M261" i="22"/>
  <c r="L261" i="22"/>
  <c r="K261" i="22"/>
  <c r="J261" i="22"/>
  <c r="C261" i="22"/>
  <c r="AO260" i="22"/>
  <c r="AN260" i="22"/>
  <c r="AM260" i="22"/>
  <c r="AL260" i="22"/>
  <c r="R260" i="22"/>
  <c r="O260" i="22" s="1"/>
  <c r="I260" i="22"/>
  <c r="C260" i="22"/>
  <c r="AO259" i="22"/>
  <c r="AN259" i="22"/>
  <c r="AM259" i="22"/>
  <c r="AL259" i="22"/>
  <c r="AH259" i="22"/>
  <c r="AH257" i="22" s="1"/>
  <c r="AE259" i="22"/>
  <c r="AE257" i="22" s="1"/>
  <c r="AB259" i="22"/>
  <c r="AB257" i="22" s="1"/>
  <c r="Y259" i="22"/>
  <c r="Y257" i="22" s="1"/>
  <c r="R259" i="22"/>
  <c r="O259" i="22" s="1"/>
  <c r="I259" i="22"/>
  <c r="H259" i="22" s="1"/>
  <c r="C259" i="22"/>
  <c r="AO258" i="22"/>
  <c r="AN258" i="22"/>
  <c r="AM258" i="22"/>
  <c r="AL258" i="22"/>
  <c r="R258" i="22"/>
  <c r="O258" i="22" s="1"/>
  <c r="I258" i="22"/>
  <c r="H258" i="22" s="1"/>
  <c r="AR257" i="22"/>
  <c r="AQ257" i="22"/>
  <c r="AJ257" i="22"/>
  <c r="AI257" i="22"/>
  <c r="AG257" i="22"/>
  <c r="AF257" i="22"/>
  <c r="AD257" i="22"/>
  <c r="AC257" i="22"/>
  <c r="AA257" i="22"/>
  <c r="Z257" i="22"/>
  <c r="W257" i="22"/>
  <c r="V257" i="22"/>
  <c r="U257" i="22"/>
  <c r="T257" i="22"/>
  <c r="S257" i="22"/>
  <c r="N257" i="22"/>
  <c r="M257" i="22"/>
  <c r="L257" i="22"/>
  <c r="K257" i="22"/>
  <c r="J257" i="22"/>
  <c r="G257" i="22"/>
  <c r="F257" i="22"/>
  <c r="E257" i="22"/>
  <c r="D257" i="22"/>
  <c r="AO255" i="22"/>
  <c r="AO254" i="22" s="1"/>
  <c r="AN255" i="22"/>
  <c r="AN254" i="22" s="1"/>
  <c r="AL255" i="22"/>
  <c r="R255" i="22"/>
  <c r="R254" i="22" s="1"/>
  <c r="I255" i="22"/>
  <c r="AM254" i="22"/>
  <c r="AJ254" i="22"/>
  <c r="AI254" i="22"/>
  <c r="AH254" i="22"/>
  <c r="AG254" i="22"/>
  <c r="AF254" i="22"/>
  <c r="AE254" i="22"/>
  <c r="AD254" i="22"/>
  <c r="AC254" i="22"/>
  <c r="AB254" i="22"/>
  <c r="AA254" i="22"/>
  <c r="Z254" i="22"/>
  <c r="Y254" i="22"/>
  <c r="X254" i="22"/>
  <c r="W254" i="22"/>
  <c r="V254" i="22"/>
  <c r="U254" i="22"/>
  <c r="T254" i="22"/>
  <c r="S254" i="22"/>
  <c r="N254" i="22"/>
  <c r="M254" i="22"/>
  <c r="L254" i="22"/>
  <c r="K254" i="22"/>
  <c r="J254" i="22"/>
  <c r="C254" i="22"/>
  <c r="AO253" i="22"/>
  <c r="AO252" i="22" s="1"/>
  <c r="AN253" i="22"/>
  <c r="AN252" i="22" s="1"/>
  <c r="AM253" i="22"/>
  <c r="AM252" i="22" s="1"/>
  <c r="AL253" i="22"/>
  <c r="R253" i="22"/>
  <c r="R252" i="22" s="1"/>
  <c r="I253" i="22"/>
  <c r="AR252" i="22"/>
  <c r="AQ252" i="22"/>
  <c r="AJ252" i="22"/>
  <c r="AI252" i="22"/>
  <c r="AH252" i="22"/>
  <c r="AG252" i="22"/>
  <c r="AF252" i="22"/>
  <c r="AE252" i="22"/>
  <c r="AD252" i="22"/>
  <c r="AC252" i="22"/>
  <c r="AB252" i="22"/>
  <c r="AA252" i="22"/>
  <c r="Z252" i="22"/>
  <c r="Y252" i="22"/>
  <c r="X252" i="22"/>
  <c r="W252" i="22"/>
  <c r="V252" i="22"/>
  <c r="U252" i="22"/>
  <c r="T252" i="22"/>
  <c r="S252" i="22"/>
  <c r="N252" i="22"/>
  <c r="M252" i="22"/>
  <c r="L252" i="22"/>
  <c r="K252" i="22"/>
  <c r="J252" i="22"/>
  <c r="AO251" i="22"/>
  <c r="AO250" i="22" s="1"/>
  <c r="AN251" i="22"/>
  <c r="AN250" i="22" s="1"/>
  <c r="AL251" i="22"/>
  <c r="R251" i="22"/>
  <c r="O251" i="22" s="1"/>
  <c r="O250" i="22" s="1"/>
  <c r="I251" i="22"/>
  <c r="AM250" i="22"/>
  <c r="AJ250" i="22"/>
  <c r="AI250" i="22"/>
  <c r="AH250" i="22"/>
  <c r="AG250" i="22"/>
  <c r="AF250" i="22"/>
  <c r="AE250" i="22"/>
  <c r="AD250" i="22"/>
  <c r="AC250" i="22"/>
  <c r="AB250" i="22"/>
  <c r="AA250" i="22"/>
  <c r="Z250" i="22"/>
  <c r="Y250" i="22"/>
  <c r="X250" i="22"/>
  <c r="W250" i="22"/>
  <c r="V250" i="22"/>
  <c r="U250" i="22"/>
  <c r="T250" i="22"/>
  <c r="S250" i="22"/>
  <c r="N250" i="22"/>
  <c r="M250" i="22"/>
  <c r="L250" i="22"/>
  <c r="K250" i="22"/>
  <c r="J250" i="22"/>
  <c r="AO249" i="22"/>
  <c r="AN249" i="22"/>
  <c r="AL249" i="22"/>
  <c r="R249" i="22"/>
  <c r="O249" i="22" s="1"/>
  <c r="I249" i="22"/>
  <c r="H249" i="22" s="1"/>
  <c r="AO248" i="22"/>
  <c r="AN248" i="22"/>
  <c r="AM248" i="22"/>
  <c r="AQ248" i="22" s="1"/>
  <c r="AQ246" i="22" s="1"/>
  <c r="AL248" i="22"/>
  <c r="R248" i="22"/>
  <c r="O248" i="22" s="1"/>
  <c r="I248" i="22"/>
  <c r="H248" i="22" s="1"/>
  <c r="AO247" i="22"/>
  <c r="AN247" i="22"/>
  <c r="AL247" i="22"/>
  <c r="R247" i="22"/>
  <c r="I247" i="22"/>
  <c r="H247" i="22" s="1"/>
  <c r="AR246" i="22"/>
  <c r="AJ246" i="22"/>
  <c r="AI246" i="22"/>
  <c r="AH246" i="22"/>
  <c r="AG246" i="22"/>
  <c r="AF246" i="22"/>
  <c r="AE246" i="22"/>
  <c r="AD246" i="22"/>
  <c r="AC246" i="22"/>
  <c r="AB246" i="22"/>
  <c r="AA246" i="22"/>
  <c r="Z246" i="22"/>
  <c r="Y246" i="22"/>
  <c r="X246" i="22"/>
  <c r="W246" i="22"/>
  <c r="V246" i="22"/>
  <c r="U246" i="22"/>
  <c r="T246" i="22"/>
  <c r="S246" i="22"/>
  <c r="N246" i="22"/>
  <c r="M246" i="22"/>
  <c r="L246" i="22"/>
  <c r="K246" i="22"/>
  <c r="J246" i="22"/>
  <c r="I245" i="22"/>
  <c r="H245" i="22" s="1"/>
  <c r="AP245" i="22" s="1"/>
  <c r="AO244" i="22"/>
  <c r="AO243" i="22" s="1"/>
  <c r="AN244" i="22"/>
  <c r="AL244" i="22"/>
  <c r="AL243" i="22" s="1"/>
  <c r="T244" i="22"/>
  <c r="T243" i="22" s="1"/>
  <c r="I244" i="22"/>
  <c r="I243" i="22" s="1"/>
  <c r="AM243" i="22"/>
  <c r="AJ243" i="22"/>
  <c r="AI243" i="22"/>
  <c r="AH243" i="22"/>
  <c r="AG243" i="22"/>
  <c r="AF243" i="22"/>
  <c r="AE243" i="22"/>
  <c r="AD243" i="22"/>
  <c r="AC243" i="22"/>
  <c r="AB243" i="22"/>
  <c r="AA243" i="22"/>
  <c r="Z243" i="22"/>
  <c r="Y243" i="22"/>
  <c r="X243" i="22"/>
  <c r="W243" i="22"/>
  <c r="V243" i="22"/>
  <c r="U243" i="22"/>
  <c r="S243" i="22"/>
  <c r="N243" i="22"/>
  <c r="M243" i="22"/>
  <c r="L243" i="22"/>
  <c r="K243" i="22"/>
  <c r="J243" i="22"/>
  <c r="AO242" i="22"/>
  <c r="AO241" i="22" s="1"/>
  <c r="AN242" i="22"/>
  <c r="AN241" i="22" s="1"/>
  <c r="AL242" i="22"/>
  <c r="R242" i="22"/>
  <c r="O242" i="22" s="1"/>
  <c r="O241" i="22" s="1"/>
  <c r="I242" i="22"/>
  <c r="AM241" i="22"/>
  <c r="AJ241" i="22"/>
  <c r="AI241" i="22"/>
  <c r="AH241" i="22"/>
  <c r="AG241" i="22"/>
  <c r="AF241" i="22"/>
  <c r="AE241" i="22"/>
  <c r="AD241" i="22"/>
  <c r="AC241" i="22"/>
  <c r="AB241" i="22"/>
  <c r="AA241" i="22"/>
  <c r="Z241" i="22"/>
  <c r="Y241" i="22"/>
  <c r="X241" i="22"/>
  <c r="W241" i="22"/>
  <c r="V241" i="22"/>
  <c r="U241" i="22"/>
  <c r="T241" i="22"/>
  <c r="S241" i="22"/>
  <c r="N241" i="22"/>
  <c r="M241" i="22"/>
  <c r="L241" i="22"/>
  <c r="K241" i="22"/>
  <c r="J241" i="22"/>
  <c r="AO240" i="22"/>
  <c r="AN240" i="22"/>
  <c r="AN239" i="22" s="1"/>
  <c r="AL240" i="22"/>
  <c r="AL239" i="22" s="1"/>
  <c r="R240" i="22"/>
  <c r="O240" i="22" s="1"/>
  <c r="O239" i="22" s="1"/>
  <c r="I240" i="22"/>
  <c r="H240" i="22" s="1"/>
  <c r="H239" i="22" s="1"/>
  <c r="AM239" i="22"/>
  <c r="AJ239" i="22"/>
  <c r="AI239" i="22"/>
  <c r="AH239" i="22"/>
  <c r="AG239" i="22"/>
  <c r="AF239" i="22"/>
  <c r="AE239" i="22"/>
  <c r="AD239" i="22"/>
  <c r="AC239" i="22"/>
  <c r="AB239" i="22"/>
  <c r="AA239" i="22"/>
  <c r="Z239" i="22"/>
  <c r="Y239" i="22"/>
  <c r="X239" i="22"/>
  <c r="W239" i="22"/>
  <c r="V239" i="22"/>
  <c r="U239" i="22"/>
  <c r="T239" i="22"/>
  <c r="S239" i="22"/>
  <c r="N239" i="22"/>
  <c r="M239" i="22"/>
  <c r="L239" i="22"/>
  <c r="K239" i="22"/>
  <c r="J239" i="22"/>
  <c r="C239" i="22"/>
  <c r="AO238" i="22"/>
  <c r="AN238" i="22"/>
  <c r="AM238" i="22"/>
  <c r="AL238" i="22"/>
  <c r="AH238" i="22"/>
  <c r="AH237" i="22" s="1"/>
  <c r="AE238" i="22"/>
  <c r="AE237" i="22" s="1"/>
  <c r="AB238" i="22"/>
  <c r="AB237" i="22" s="1"/>
  <c r="Y238" i="22"/>
  <c r="Y237" i="22" s="1"/>
  <c r="U238" i="22"/>
  <c r="U237" i="22" s="1"/>
  <c r="L238" i="22"/>
  <c r="L237" i="22" s="1"/>
  <c r="I238" i="22"/>
  <c r="C238" i="22"/>
  <c r="AJ237" i="22"/>
  <c r="AI237" i="22"/>
  <c r="AG237" i="22"/>
  <c r="AF237" i="22"/>
  <c r="AD237" i="22"/>
  <c r="AC237" i="22"/>
  <c r="AA237" i="22"/>
  <c r="Z237" i="22"/>
  <c r="W237" i="22"/>
  <c r="V237" i="22"/>
  <c r="T237" i="22"/>
  <c r="S237" i="22"/>
  <c r="R237" i="22"/>
  <c r="N237" i="22"/>
  <c r="M237" i="22"/>
  <c r="K237" i="22"/>
  <c r="J237" i="22"/>
  <c r="C237" i="22"/>
  <c r="G236" i="22"/>
  <c r="F236" i="22"/>
  <c r="E236" i="22"/>
  <c r="D236" i="22"/>
  <c r="AO233" i="22"/>
  <c r="AN233" i="22"/>
  <c r="AM233" i="22"/>
  <c r="AL233" i="22"/>
  <c r="Y233" i="22"/>
  <c r="Y225" i="22" s="1"/>
  <c r="R233" i="22"/>
  <c r="O233" i="22" s="1"/>
  <c r="I233" i="22"/>
  <c r="H233" i="22" s="1"/>
  <c r="C233" i="22"/>
  <c r="AL232" i="22"/>
  <c r="AK232" i="22" s="1"/>
  <c r="R232" i="22"/>
  <c r="O232" i="22" s="1"/>
  <c r="I232" i="22"/>
  <c r="H232" i="22" s="1"/>
  <c r="C232" i="22"/>
  <c r="AL231" i="22"/>
  <c r="AK231" i="22" s="1"/>
  <c r="R231" i="22"/>
  <c r="O231" i="22" s="1"/>
  <c r="I231" i="22"/>
  <c r="H231" i="22" s="1"/>
  <c r="C231" i="22"/>
  <c r="AO230" i="22"/>
  <c r="AN230" i="22"/>
  <c r="AM230" i="22"/>
  <c r="AL230" i="22"/>
  <c r="R230" i="22"/>
  <c r="O230" i="22" s="1"/>
  <c r="I230" i="22"/>
  <c r="C230" i="22"/>
  <c r="AO229" i="22"/>
  <c r="AN229" i="22"/>
  <c r="AM229" i="22"/>
  <c r="AL229" i="22"/>
  <c r="R229" i="22"/>
  <c r="O229" i="22" s="1"/>
  <c r="I229" i="22"/>
  <c r="H229" i="22" s="1"/>
  <c r="C229" i="22"/>
  <c r="AO228" i="22"/>
  <c r="AN228" i="22"/>
  <c r="AM228" i="22"/>
  <c r="AL228" i="22"/>
  <c r="R228" i="22"/>
  <c r="O228" i="22" s="1"/>
  <c r="I228" i="22"/>
  <c r="H228" i="22" s="1"/>
  <c r="C228" i="22"/>
  <c r="AO227" i="22"/>
  <c r="AN227" i="22"/>
  <c r="AM227" i="22"/>
  <c r="AL227" i="22"/>
  <c r="R227" i="22"/>
  <c r="O227" i="22" s="1"/>
  <c r="I227" i="22"/>
  <c r="H227" i="22" s="1"/>
  <c r="C227" i="22"/>
  <c r="AO226" i="22"/>
  <c r="AN226" i="22"/>
  <c r="AM226" i="22"/>
  <c r="AL226" i="22"/>
  <c r="R226" i="22"/>
  <c r="I226" i="22"/>
  <c r="H226" i="22" s="1"/>
  <c r="C226" i="22"/>
  <c r="AJ225" i="22"/>
  <c r="AI225" i="22"/>
  <c r="AH225" i="22"/>
  <c r="AG225" i="22"/>
  <c r="AF225" i="22"/>
  <c r="AE225" i="22"/>
  <c r="AD225" i="22"/>
  <c r="AC225" i="22"/>
  <c r="AB225" i="22"/>
  <c r="AA225" i="22"/>
  <c r="Z225" i="22"/>
  <c r="W225" i="22"/>
  <c r="V225" i="22"/>
  <c r="U225" i="22"/>
  <c r="T225" i="22"/>
  <c r="S225" i="22"/>
  <c r="N225" i="22"/>
  <c r="M225" i="22"/>
  <c r="L225" i="22"/>
  <c r="K225" i="22"/>
  <c r="J225" i="22"/>
  <c r="G225" i="22"/>
  <c r="F225" i="22"/>
  <c r="E225" i="22"/>
  <c r="D225" i="22"/>
  <c r="AO224" i="22"/>
  <c r="AN224" i="22"/>
  <c r="AM224" i="22"/>
  <c r="AH224" i="22"/>
  <c r="AE224" i="22"/>
  <c r="AB224" i="22"/>
  <c r="Y224" i="22"/>
  <c r="R224" i="22"/>
  <c r="O224" i="22" s="1"/>
  <c r="I224" i="22"/>
  <c r="H224" i="22" s="1"/>
  <c r="C224" i="22"/>
  <c r="AO223" i="22"/>
  <c r="AN223" i="22"/>
  <c r="AM223" i="22"/>
  <c r="AH223" i="22"/>
  <c r="AE223" i="22"/>
  <c r="AB223" i="22"/>
  <c r="Y223" i="22"/>
  <c r="S223" i="22"/>
  <c r="P223" i="22" s="1"/>
  <c r="I223" i="22"/>
  <c r="H223" i="22" s="1"/>
  <c r="C223" i="22"/>
  <c r="R222" i="22"/>
  <c r="O222" i="22" s="1"/>
  <c r="I222" i="22"/>
  <c r="H222" i="22" s="1"/>
  <c r="AO221" i="22"/>
  <c r="AN221" i="22"/>
  <c r="AM221" i="22"/>
  <c r="AL221" i="22"/>
  <c r="AL220" i="22" s="1"/>
  <c r="AH221" i="22"/>
  <c r="AE221" i="22"/>
  <c r="AB221" i="22"/>
  <c r="Y221" i="22"/>
  <c r="R221" i="22"/>
  <c r="O221" i="22" s="1"/>
  <c r="I221" i="22"/>
  <c r="C221" i="22"/>
  <c r="AJ220" i="22"/>
  <c r="AI220" i="22"/>
  <c r="AG220" i="22"/>
  <c r="AF220" i="22"/>
  <c r="AD220" i="22"/>
  <c r="AC220" i="22"/>
  <c r="AA220" i="22"/>
  <c r="Z220" i="22"/>
  <c r="W220" i="22"/>
  <c r="V220" i="22"/>
  <c r="U220" i="22"/>
  <c r="T220" i="22"/>
  <c r="N220" i="22"/>
  <c r="M220" i="22"/>
  <c r="L220" i="22"/>
  <c r="K220" i="22"/>
  <c r="J220" i="22"/>
  <c r="G220" i="22"/>
  <c r="F220" i="22"/>
  <c r="E220" i="22"/>
  <c r="D220" i="22"/>
  <c r="AO219" i="22"/>
  <c r="AN219" i="22"/>
  <c r="AM219" i="22"/>
  <c r="AL219" i="22"/>
  <c r="U219" i="22"/>
  <c r="R219" i="22"/>
  <c r="L219" i="22"/>
  <c r="I219" i="22"/>
  <c r="AO218" i="22"/>
  <c r="AM218" i="22"/>
  <c r="AL218" i="22"/>
  <c r="V218" i="22"/>
  <c r="P218" i="22" s="1"/>
  <c r="R218" i="22"/>
  <c r="L218" i="22"/>
  <c r="I218" i="22"/>
  <c r="AO217" i="22"/>
  <c r="AN217" i="22"/>
  <c r="AM217" i="22"/>
  <c r="AL217" i="22"/>
  <c r="U217" i="22"/>
  <c r="R217" i="22"/>
  <c r="L217" i="22"/>
  <c r="I217" i="22"/>
  <c r="AO216" i="22"/>
  <c r="AN216" i="22"/>
  <c r="AM216" i="22"/>
  <c r="AL216" i="22"/>
  <c r="U216" i="22"/>
  <c r="R216" i="22"/>
  <c r="L216" i="22"/>
  <c r="I216" i="22"/>
  <c r="AO215" i="22"/>
  <c r="AN215" i="22"/>
  <c r="AM215" i="22"/>
  <c r="AL215" i="22"/>
  <c r="U215" i="22"/>
  <c r="R215" i="22"/>
  <c r="L215" i="22"/>
  <c r="I215" i="22"/>
  <c r="AO214" i="22"/>
  <c r="AM214" i="22"/>
  <c r="AL214" i="22"/>
  <c r="V214" i="22"/>
  <c r="U214" i="22" s="1"/>
  <c r="R214" i="22"/>
  <c r="L214" i="22"/>
  <c r="I214" i="22"/>
  <c r="AO213" i="22"/>
  <c r="AN213" i="22"/>
  <c r="AM213" i="22"/>
  <c r="AL213" i="22"/>
  <c r="U213" i="22"/>
  <c r="R213" i="22"/>
  <c r="L213" i="22"/>
  <c r="I213" i="22"/>
  <c r="AO212" i="22"/>
  <c r="AN212" i="22"/>
  <c r="AM212" i="22"/>
  <c r="AL212" i="22"/>
  <c r="U212" i="22"/>
  <c r="R212" i="22"/>
  <c r="L212" i="22"/>
  <c r="I212" i="22"/>
  <c r="AO211" i="22"/>
  <c r="AM211" i="22"/>
  <c r="AL211" i="22"/>
  <c r="V211" i="22"/>
  <c r="AN211" i="22" s="1"/>
  <c r="R211" i="22"/>
  <c r="L211" i="22"/>
  <c r="I211" i="22"/>
  <c r="AO210" i="22"/>
  <c r="AN210" i="22"/>
  <c r="AM210" i="22"/>
  <c r="AL210" i="22"/>
  <c r="U210" i="22"/>
  <c r="R210" i="22"/>
  <c r="L210" i="22"/>
  <c r="I210" i="22"/>
  <c r="AJ209" i="22"/>
  <c r="AJ185" i="22" s="1"/>
  <c r="AI209" i="22"/>
  <c r="AH209" i="22"/>
  <c r="AG209" i="22"/>
  <c r="AG185" i="22" s="1"/>
  <c r="AF209" i="22"/>
  <c r="AF185" i="22" s="1"/>
  <c r="AE209" i="22"/>
  <c r="AD209" i="22"/>
  <c r="AD185" i="22" s="1"/>
  <c r="AC209" i="22"/>
  <c r="AC185" i="22" s="1"/>
  <c r="AB209" i="22"/>
  <c r="AA209" i="22"/>
  <c r="AA185" i="22" s="1"/>
  <c r="Z209" i="22"/>
  <c r="Z185" i="22" s="1"/>
  <c r="Y209" i="22"/>
  <c r="X209" i="22"/>
  <c r="W209" i="22"/>
  <c r="W185" i="22" s="1"/>
  <c r="T209" i="22"/>
  <c r="S209" i="22"/>
  <c r="N209" i="22"/>
  <c r="N185" i="22" s="1"/>
  <c r="M209" i="22"/>
  <c r="M185" i="22" s="1"/>
  <c r="K209" i="22"/>
  <c r="K185" i="22" s="1"/>
  <c r="J209" i="22"/>
  <c r="J185" i="22" s="1"/>
  <c r="G209" i="22"/>
  <c r="F209" i="22"/>
  <c r="E209" i="22"/>
  <c r="D209" i="22"/>
  <c r="C209" i="22"/>
  <c r="AO208" i="22"/>
  <c r="AN208" i="22"/>
  <c r="AM208" i="22"/>
  <c r="AL208" i="22"/>
  <c r="R208" i="22"/>
  <c r="O208" i="22" s="1"/>
  <c r="I208" i="22"/>
  <c r="H208" i="22" s="1"/>
  <c r="AO207" i="22"/>
  <c r="AN207" i="22"/>
  <c r="AM207" i="22"/>
  <c r="AL207" i="22"/>
  <c r="AH207" i="22"/>
  <c r="AE207" i="22"/>
  <c r="AB207" i="22"/>
  <c r="Y207" i="22"/>
  <c r="R207" i="22"/>
  <c r="O207" i="22" s="1"/>
  <c r="I207" i="22"/>
  <c r="H207" i="22" s="1"/>
  <c r="C207" i="22"/>
  <c r="AO206" i="22"/>
  <c r="AN206" i="22"/>
  <c r="AM206" i="22"/>
  <c r="AL206" i="22"/>
  <c r="AH206" i="22"/>
  <c r="AE206" i="22"/>
  <c r="AB206" i="22"/>
  <c r="Y206" i="22"/>
  <c r="R206" i="22"/>
  <c r="O206" i="22" s="1"/>
  <c r="I206" i="22"/>
  <c r="H206" i="22" s="1"/>
  <c r="C206" i="22"/>
  <c r="AO205" i="22"/>
  <c r="AN205" i="22"/>
  <c r="AM205" i="22"/>
  <c r="AL205" i="22"/>
  <c r="AH205" i="22"/>
  <c r="AE205" i="22"/>
  <c r="AB205" i="22"/>
  <c r="Y205" i="22"/>
  <c r="R205" i="22"/>
  <c r="O205" i="22" s="1"/>
  <c r="I205" i="22"/>
  <c r="H205" i="22" s="1"/>
  <c r="C205" i="22"/>
  <c r="AO204" i="22"/>
  <c r="AN204" i="22"/>
  <c r="AM204" i="22"/>
  <c r="AL204" i="22"/>
  <c r="AH204" i="22"/>
  <c r="AE204" i="22"/>
  <c r="AB204" i="22"/>
  <c r="Y204" i="22"/>
  <c r="R204" i="22"/>
  <c r="O204" i="22" s="1"/>
  <c r="I204" i="22"/>
  <c r="H204" i="22" s="1"/>
  <c r="C204" i="22"/>
  <c r="AO203" i="22"/>
  <c r="AN203" i="22"/>
  <c r="AM203" i="22"/>
  <c r="AL203" i="22"/>
  <c r="AH203" i="22"/>
  <c r="AE203" i="22"/>
  <c r="AB203" i="22"/>
  <c r="Y203" i="22"/>
  <c r="R203" i="22"/>
  <c r="O203" i="22" s="1"/>
  <c r="I203" i="22"/>
  <c r="H203" i="22" s="1"/>
  <c r="C203" i="22"/>
  <c r="AO202" i="22"/>
  <c r="AN202" i="22"/>
  <c r="AM202" i="22"/>
  <c r="AL202" i="22"/>
  <c r="AH202" i="22"/>
  <c r="AE202" i="22"/>
  <c r="AB202" i="22"/>
  <c r="Y202" i="22"/>
  <c r="R202" i="22"/>
  <c r="O202" i="22" s="1"/>
  <c r="I202" i="22"/>
  <c r="H202" i="22" s="1"/>
  <c r="C202" i="22"/>
  <c r="AO201" i="22"/>
  <c r="AN201" i="22"/>
  <c r="AM201" i="22"/>
  <c r="AL201" i="22"/>
  <c r="AH201" i="22"/>
  <c r="AE201" i="22"/>
  <c r="AB201" i="22"/>
  <c r="Y201" i="22"/>
  <c r="R201" i="22"/>
  <c r="O201" i="22" s="1"/>
  <c r="I201" i="22"/>
  <c r="H201" i="22" s="1"/>
  <c r="C201" i="22"/>
  <c r="AO200" i="22"/>
  <c r="AN200" i="22"/>
  <c r="AM200" i="22"/>
  <c r="AL200" i="22"/>
  <c r="AH200" i="22"/>
  <c r="AE200" i="22"/>
  <c r="AB200" i="22"/>
  <c r="Y200" i="22"/>
  <c r="R200" i="22"/>
  <c r="O200" i="22" s="1"/>
  <c r="I200" i="22"/>
  <c r="H200" i="22" s="1"/>
  <c r="C200" i="22"/>
  <c r="AO199" i="22"/>
  <c r="AN199" i="22"/>
  <c r="AM199" i="22"/>
  <c r="AL199" i="22"/>
  <c r="AH199" i="22"/>
  <c r="AE199" i="22"/>
  <c r="AB199" i="22"/>
  <c r="Y199" i="22"/>
  <c r="R199" i="22"/>
  <c r="O199" i="22" s="1"/>
  <c r="I199" i="22"/>
  <c r="H199" i="22" s="1"/>
  <c r="C199" i="22"/>
  <c r="AO198" i="22"/>
  <c r="AN198" i="22"/>
  <c r="AM198" i="22"/>
  <c r="AL198" i="22"/>
  <c r="AH198" i="22"/>
  <c r="AE198" i="22"/>
  <c r="AB198" i="22"/>
  <c r="Y198" i="22"/>
  <c r="R198" i="22"/>
  <c r="O198" i="22" s="1"/>
  <c r="I198" i="22"/>
  <c r="H198" i="22" s="1"/>
  <c r="C198" i="22"/>
  <c r="AO197" i="22"/>
  <c r="AN197" i="22"/>
  <c r="AM197" i="22"/>
  <c r="AL197" i="22"/>
  <c r="AH197" i="22"/>
  <c r="AE197" i="22"/>
  <c r="AB197" i="22"/>
  <c r="Y197" i="22"/>
  <c r="R197" i="22"/>
  <c r="O197" i="22" s="1"/>
  <c r="I197" i="22"/>
  <c r="H197" i="22" s="1"/>
  <c r="C197" i="22"/>
  <c r="AO196" i="22"/>
  <c r="AN196" i="22"/>
  <c r="AM196" i="22"/>
  <c r="AL196" i="22"/>
  <c r="AH196" i="22"/>
  <c r="AE196" i="22"/>
  <c r="AB196" i="22"/>
  <c r="Y196" i="22"/>
  <c r="R196" i="22"/>
  <c r="O196" i="22" s="1"/>
  <c r="I196" i="22"/>
  <c r="H196" i="22" s="1"/>
  <c r="C196" i="22"/>
  <c r="AO195" i="22"/>
  <c r="AN195" i="22"/>
  <c r="AM195" i="22"/>
  <c r="AL195" i="22"/>
  <c r="AH195" i="22"/>
  <c r="AE195" i="22"/>
  <c r="AB195" i="22"/>
  <c r="Y195" i="22"/>
  <c r="R195" i="22"/>
  <c r="O195" i="22" s="1"/>
  <c r="I195" i="22"/>
  <c r="H195" i="22" s="1"/>
  <c r="C195" i="22"/>
  <c r="AO194" i="22"/>
  <c r="AN194" i="22"/>
  <c r="AM194" i="22"/>
  <c r="AL194" i="22"/>
  <c r="AH194" i="22"/>
  <c r="AE194" i="22"/>
  <c r="AB194" i="22"/>
  <c r="Y194" i="22"/>
  <c r="R194" i="22"/>
  <c r="O194" i="22" s="1"/>
  <c r="I194" i="22"/>
  <c r="H194" i="22" s="1"/>
  <c r="C194" i="22"/>
  <c r="AO193" i="22"/>
  <c r="AN193" i="22"/>
  <c r="AM193" i="22"/>
  <c r="AL193" i="22"/>
  <c r="AH193" i="22"/>
  <c r="AE193" i="22"/>
  <c r="AB193" i="22"/>
  <c r="Y193" i="22"/>
  <c r="R193" i="22"/>
  <c r="O193" i="22" s="1"/>
  <c r="I193" i="22"/>
  <c r="H193" i="22" s="1"/>
  <c r="C193" i="22"/>
  <c r="AO192" i="22"/>
  <c r="AN192" i="22"/>
  <c r="AM192" i="22"/>
  <c r="AL192" i="22"/>
  <c r="AH192" i="22"/>
  <c r="AE192" i="22"/>
  <c r="AB192" i="22"/>
  <c r="Y192" i="22"/>
  <c r="R192" i="22"/>
  <c r="O192" i="22" s="1"/>
  <c r="I192" i="22"/>
  <c r="H192" i="22" s="1"/>
  <c r="C192" i="22"/>
  <c r="AO191" i="22"/>
  <c r="AN191" i="22"/>
  <c r="AM191" i="22"/>
  <c r="AL191" i="22"/>
  <c r="AH191" i="22"/>
  <c r="AE191" i="22"/>
  <c r="AB191" i="22"/>
  <c r="Y191" i="22"/>
  <c r="R191" i="22"/>
  <c r="O191" i="22" s="1"/>
  <c r="I191" i="22"/>
  <c r="H191" i="22" s="1"/>
  <c r="C191" i="22"/>
  <c r="AO190" i="22"/>
  <c r="AN190" i="22"/>
  <c r="AM190" i="22"/>
  <c r="AL190" i="22"/>
  <c r="AH190" i="22"/>
  <c r="AE190" i="22"/>
  <c r="AB190" i="22"/>
  <c r="Y190" i="22"/>
  <c r="R190" i="22"/>
  <c r="O190" i="22" s="1"/>
  <c r="I190" i="22"/>
  <c r="H190" i="22" s="1"/>
  <c r="C190" i="22"/>
  <c r="AO189" i="22"/>
  <c r="AN189" i="22"/>
  <c r="AM189" i="22"/>
  <c r="AL189" i="22"/>
  <c r="AH189" i="22"/>
  <c r="AE189" i="22"/>
  <c r="AB189" i="22"/>
  <c r="Y189" i="22"/>
  <c r="R189" i="22"/>
  <c r="O189" i="22" s="1"/>
  <c r="I189" i="22"/>
  <c r="H189" i="22" s="1"/>
  <c r="C189" i="22"/>
  <c r="AO188" i="22"/>
  <c r="AN188" i="22"/>
  <c r="AM188" i="22"/>
  <c r="AL188" i="22"/>
  <c r="AH188" i="22"/>
  <c r="AE188" i="22"/>
  <c r="AB188" i="22"/>
  <c r="Y188" i="22"/>
  <c r="R188" i="22"/>
  <c r="O188" i="22" s="1"/>
  <c r="I188" i="22"/>
  <c r="H188" i="22" s="1"/>
  <c r="C188" i="22"/>
  <c r="AO187" i="22"/>
  <c r="AN187" i="22"/>
  <c r="AM187" i="22"/>
  <c r="AL187" i="22"/>
  <c r="AH187" i="22"/>
  <c r="AE187" i="22"/>
  <c r="AB187" i="22"/>
  <c r="Y187" i="22"/>
  <c r="R187" i="22"/>
  <c r="O187" i="22" s="1"/>
  <c r="I187" i="22"/>
  <c r="H187" i="22" s="1"/>
  <c r="C187" i="22"/>
  <c r="AO186" i="22"/>
  <c r="AN186" i="22"/>
  <c r="AM186" i="22"/>
  <c r="AL186" i="22"/>
  <c r="AH186" i="22"/>
  <c r="AE186" i="22"/>
  <c r="AB186" i="22"/>
  <c r="Y186" i="22"/>
  <c r="R186" i="22"/>
  <c r="O186" i="22" s="1"/>
  <c r="I186" i="22"/>
  <c r="H186" i="22" s="1"/>
  <c r="C186" i="22"/>
  <c r="AI185" i="22"/>
  <c r="G185" i="22"/>
  <c r="F185" i="22"/>
  <c r="E185" i="22"/>
  <c r="D185" i="22"/>
  <c r="AO182" i="22"/>
  <c r="AN182" i="22"/>
  <c r="AM182" i="22"/>
  <c r="AL182" i="22"/>
  <c r="AB182" i="22"/>
  <c r="AB178" i="22" s="1"/>
  <c r="Y182" i="22"/>
  <c r="U182" i="22"/>
  <c r="R182" i="22"/>
  <c r="L182" i="22"/>
  <c r="I182" i="22"/>
  <c r="C182" i="22"/>
  <c r="AO181" i="22"/>
  <c r="AN181" i="22"/>
  <c r="AM181" i="22"/>
  <c r="AL181" i="22"/>
  <c r="U181" i="22"/>
  <c r="R181" i="22"/>
  <c r="L181" i="22"/>
  <c r="I181" i="22"/>
  <c r="C181" i="22"/>
  <c r="AO180" i="22"/>
  <c r="AN180" i="22"/>
  <c r="AM180" i="22"/>
  <c r="AL180" i="22"/>
  <c r="U180" i="22"/>
  <c r="R180" i="22"/>
  <c r="L180" i="22"/>
  <c r="I180" i="22"/>
  <c r="C180" i="22"/>
  <c r="AO179" i="22"/>
  <c r="AN179" i="22"/>
  <c r="AM179" i="22"/>
  <c r="AL179" i="22"/>
  <c r="Y179" i="22"/>
  <c r="X179" i="22" s="1"/>
  <c r="U179" i="22"/>
  <c r="R179" i="22"/>
  <c r="I179" i="22"/>
  <c r="H179" i="22" s="1"/>
  <c r="C179" i="22"/>
  <c r="AJ178" i="22"/>
  <c r="AI178" i="22"/>
  <c r="AH178" i="22"/>
  <c r="AG178" i="22"/>
  <c r="AF178" i="22"/>
  <c r="AE178" i="22"/>
  <c r="AD178" i="22"/>
  <c r="AC178" i="22"/>
  <c r="AA178" i="22"/>
  <c r="Z178" i="22"/>
  <c r="W178" i="22"/>
  <c r="V178" i="22"/>
  <c r="T178" i="22"/>
  <c r="S178" i="22"/>
  <c r="N178" i="22"/>
  <c r="M178" i="22"/>
  <c r="K178" i="22"/>
  <c r="J178" i="22"/>
  <c r="C178" i="22"/>
  <c r="AO177" i="22"/>
  <c r="AO176" i="22" s="1"/>
  <c r="AN177" i="22"/>
  <c r="AN176" i="22" s="1"/>
  <c r="AM177" i="22"/>
  <c r="AM176" i="22" s="1"/>
  <c r="AL177" i="22"/>
  <c r="AL176" i="22" s="1"/>
  <c r="Y177" i="22"/>
  <c r="X177" i="22" s="1"/>
  <c r="X176" i="22" s="1"/>
  <c r="C177" i="22"/>
  <c r="AJ176" i="22"/>
  <c r="AI176" i="22"/>
  <c r="AH176" i="22"/>
  <c r="AG176" i="22"/>
  <c r="AF176" i="22"/>
  <c r="AE176" i="22"/>
  <c r="AD176" i="22"/>
  <c r="AC176" i="22"/>
  <c r="AB176" i="22"/>
  <c r="AA176" i="22"/>
  <c r="Z176" i="22"/>
  <c r="W176" i="22"/>
  <c r="V176" i="22"/>
  <c r="U176" i="22"/>
  <c r="T176" i="22"/>
  <c r="S176" i="22"/>
  <c r="R176" i="22"/>
  <c r="O176" i="22"/>
  <c r="N176" i="22"/>
  <c r="M176" i="22"/>
  <c r="L176" i="22"/>
  <c r="K176" i="22"/>
  <c r="J176" i="22"/>
  <c r="I176" i="22"/>
  <c r="H176" i="22"/>
  <c r="C176" i="22"/>
  <c r="AO175" i="22"/>
  <c r="AN175" i="22"/>
  <c r="AM175" i="22"/>
  <c r="AL175" i="22"/>
  <c r="Y175" i="22"/>
  <c r="X175" i="22" s="1"/>
  <c r="X174" i="22" s="1"/>
  <c r="C175" i="22"/>
  <c r="AJ174" i="22"/>
  <c r="AI174" i="22"/>
  <c r="AH174" i="22"/>
  <c r="AG174" i="22"/>
  <c r="AF174" i="22"/>
  <c r="AE174" i="22"/>
  <c r="AD174" i="22"/>
  <c r="AC174" i="22"/>
  <c r="AB174" i="22"/>
  <c r="AA174" i="22"/>
  <c r="Z174" i="22"/>
  <c r="W174" i="22"/>
  <c r="V174" i="22"/>
  <c r="U174" i="22"/>
  <c r="T174" i="22"/>
  <c r="S174" i="22"/>
  <c r="R174" i="22"/>
  <c r="O174" i="22"/>
  <c r="N174" i="22"/>
  <c r="M174" i="22"/>
  <c r="L174" i="22"/>
  <c r="K174" i="22"/>
  <c r="J174" i="22"/>
  <c r="I174" i="22"/>
  <c r="H174" i="22"/>
  <c r="C174" i="22"/>
  <c r="AO173" i="22"/>
  <c r="AN173" i="22"/>
  <c r="AM173" i="22"/>
  <c r="AL173" i="22"/>
  <c r="AH173" i="22"/>
  <c r="AH172" i="22" s="1"/>
  <c r="AB173" i="22"/>
  <c r="H173" i="22"/>
  <c r="H172" i="22" s="1"/>
  <c r="C173" i="22"/>
  <c r="AJ172" i="22"/>
  <c r="AI172" i="22"/>
  <c r="AG172" i="22"/>
  <c r="AF172" i="22"/>
  <c r="AE172" i="22"/>
  <c r="AD172" i="22"/>
  <c r="AC172" i="22"/>
  <c r="AA172" i="22"/>
  <c r="Z172" i="22"/>
  <c r="Y172" i="22"/>
  <c r="W172" i="22"/>
  <c r="V172" i="22"/>
  <c r="U172" i="22"/>
  <c r="T172" i="22"/>
  <c r="S172" i="22"/>
  <c r="R172" i="22"/>
  <c r="O172" i="22"/>
  <c r="N172" i="22"/>
  <c r="M172" i="22"/>
  <c r="L172" i="22"/>
  <c r="K172" i="22"/>
  <c r="J172" i="22"/>
  <c r="I172" i="22"/>
  <c r="C172" i="22"/>
  <c r="AO171" i="22"/>
  <c r="AN171" i="22"/>
  <c r="AM171" i="22"/>
  <c r="AM170" i="22" s="1"/>
  <c r="AL171" i="22"/>
  <c r="AL170" i="22" s="1"/>
  <c r="AH171" i="22"/>
  <c r="AH170" i="22" s="1"/>
  <c r="AE171" i="22"/>
  <c r="AE170" i="22" s="1"/>
  <c r="AB171" i="22"/>
  <c r="AB170" i="22" s="1"/>
  <c r="Y171" i="22"/>
  <c r="Y170" i="22" s="1"/>
  <c r="U171" i="22"/>
  <c r="O171" i="22" s="1"/>
  <c r="O170" i="22" s="1"/>
  <c r="L171" i="22"/>
  <c r="L170" i="22" s="1"/>
  <c r="I171" i="22"/>
  <c r="C171" i="22"/>
  <c r="AO170" i="22"/>
  <c r="AJ170" i="22"/>
  <c r="AI170" i="22"/>
  <c r="AG170" i="22"/>
  <c r="AF170" i="22"/>
  <c r="AD170" i="22"/>
  <c r="AC170" i="22"/>
  <c r="AA170" i="22"/>
  <c r="Z170" i="22"/>
  <c r="W170" i="22"/>
  <c r="V170" i="22"/>
  <c r="T170" i="22"/>
  <c r="S170" i="22"/>
  <c r="R170" i="22"/>
  <c r="N170" i="22"/>
  <c r="M170" i="22"/>
  <c r="K170" i="22"/>
  <c r="J170" i="22"/>
  <c r="G170" i="22"/>
  <c r="C170" i="22" s="1"/>
  <c r="AO169" i="22"/>
  <c r="AN169" i="22"/>
  <c r="AM169" i="22"/>
  <c r="AL169" i="22"/>
  <c r="AH169" i="22"/>
  <c r="AH168" i="22" s="1"/>
  <c r="AE169" i="22"/>
  <c r="AE168" i="22" s="1"/>
  <c r="AB169" i="22"/>
  <c r="Y169" i="22"/>
  <c r="Y168" i="22" s="1"/>
  <c r="U169" i="22"/>
  <c r="O169" i="22" s="1"/>
  <c r="O168" i="22" s="1"/>
  <c r="L169" i="22"/>
  <c r="L168" i="22" s="1"/>
  <c r="I169" i="22"/>
  <c r="I168" i="22" s="1"/>
  <c r="C169" i="22"/>
  <c r="AJ168" i="22"/>
  <c r="AI168" i="22"/>
  <c r="AG168" i="22"/>
  <c r="AF168" i="22"/>
  <c r="AD168" i="22"/>
  <c r="AC168" i="22"/>
  <c r="AA168" i="22"/>
  <c r="Z168" i="22"/>
  <c r="W168" i="22"/>
  <c r="V168" i="22"/>
  <c r="T168" i="22"/>
  <c r="S168" i="22"/>
  <c r="R168" i="22"/>
  <c r="N168" i="22"/>
  <c r="M168" i="22"/>
  <c r="K168" i="22"/>
  <c r="J168" i="22"/>
  <c r="G168" i="22"/>
  <c r="C168" i="22" s="1"/>
  <c r="AO167" i="22"/>
  <c r="AN167" i="22"/>
  <c r="AM167" i="22"/>
  <c r="AL167" i="22"/>
  <c r="AH167" i="22"/>
  <c r="AE167" i="22"/>
  <c r="AB167" i="22"/>
  <c r="Y167" i="22"/>
  <c r="U167" i="22"/>
  <c r="O167" i="22" s="1"/>
  <c r="L167" i="22"/>
  <c r="I167" i="22"/>
  <c r="C167" i="22"/>
  <c r="AO166" i="22"/>
  <c r="AN166" i="22"/>
  <c r="AM166" i="22"/>
  <c r="AL166" i="22"/>
  <c r="AH166" i="22"/>
  <c r="AE166" i="22"/>
  <c r="AB166" i="22"/>
  <c r="Y166" i="22"/>
  <c r="U166" i="22"/>
  <c r="O166" i="22" s="1"/>
  <c r="L166" i="22"/>
  <c r="I166" i="22"/>
  <c r="C166" i="22"/>
  <c r="AO165" i="22"/>
  <c r="AN165" i="22"/>
  <c r="AM165" i="22"/>
  <c r="AL165" i="22"/>
  <c r="AH165" i="22"/>
  <c r="AE165" i="22"/>
  <c r="AB165" i="22"/>
  <c r="Y165" i="22"/>
  <c r="U165" i="22"/>
  <c r="L165" i="22"/>
  <c r="I165" i="22"/>
  <c r="C165" i="22"/>
  <c r="AO164" i="22"/>
  <c r="AN164" i="22"/>
  <c r="AM164" i="22"/>
  <c r="AL164" i="22"/>
  <c r="AH164" i="22"/>
  <c r="AH163" i="22" s="1"/>
  <c r="AE164" i="22"/>
  <c r="AB164" i="22"/>
  <c r="Y164" i="22"/>
  <c r="U164" i="22"/>
  <c r="O164" i="22" s="1"/>
  <c r="L164" i="22"/>
  <c r="I164" i="22"/>
  <c r="C164" i="22"/>
  <c r="AJ163" i="22"/>
  <c r="AI163" i="22"/>
  <c r="AG163" i="22"/>
  <c r="AF163" i="22"/>
  <c r="AD163" i="22"/>
  <c r="AC163" i="22"/>
  <c r="AA163" i="22"/>
  <c r="Z163" i="22"/>
  <c r="W163" i="22"/>
  <c r="V163" i="22"/>
  <c r="T163" i="22"/>
  <c r="S163" i="22"/>
  <c r="R163" i="22"/>
  <c r="N163" i="22"/>
  <c r="M163" i="22"/>
  <c r="K163" i="22"/>
  <c r="J163" i="22"/>
  <c r="G163" i="22"/>
  <c r="F163" i="22"/>
  <c r="E163" i="22"/>
  <c r="D163" i="22"/>
  <c r="C162" i="22"/>
  <c r="AO161" i="22"/>
  <c r="AN161" i="22"/>
  <c r="AM161" i="22"/>
  <c r="AL161" i="22"/>
  <c r="AB161" i="22"/>
  <c r="AB160" i="22" s="1"/>
  <c r="Y161" i="22"/>
  <c r="U161" i="22"/>
  <c r="U160" i="22" s="1"/>
  <c r="R161" i="22"/>
  <c r="L161" i="22"/>
  <c r="L160" i="22" s="1"/>
  <c r="C161" i="22"/>
  <c r="AJ160" i="22"/>
  <c r="AI160" i="22"/>
  <c r="AH160" i="22"/>
  <c r="AG160" i="22"/>
  <c r="AF160" i="22"/>
  <c r="AE160" i="22"/>
  <c r="AD160" i="22"/>
  <c r="AC160" i="22"/>
  <c r="AA160" i="22"/>
  <c r="Z160" i="22"/>
  <c r="W160" i="22"/>
  <c r="V160" i="22"/>
  <c r="T160" i="22"/>
  <c r="S160" i="22"/>
  <c r="N160" i="22"/>
  <c r="M160" i="22"/>
  <c r="K160" i="22"/>
  <c r="J160" i="22"/>
  <c r="I160" i="22"/>
  <c r="C160" i="22"/>
  <c r="AO159" i="22"/>
  <c r="AN159" i="22"/>
  <c r="AM159" i="22"/>
  <c r="AL159" i="22"/>
  <c r="AB159" i="22"/>
  <c r="AB158" i="22" s="1"/>
  <c r="Y159" i="22"/>
  <c r="U159" i="22"/>
  <c r="R159" i="22"/>
  <c r="R158" i="22" s="1"/>
  <c r="L159" i="22"/>
  <c r="H159" i="22" s="1"/>
  <c r="H158" i="22" s="1"/>
  <c r="C159" i="22"/>
  <c r="AJ158" i="22"/>
  <c r="AI158" i="22"/>
  <c r="AH158" i="22"/>
  <c r="AG158" i="22"/>
  <c r="AF158" i="22"/>
  <c r="AE158" i="22"/>
  <c r="AD158" i="22"/>
  <c r="AC158" i="22"/>
  <c r="AA158" i="22"/>
  <c r="Z158" i="22"/>
  <c r="W158" i="22"/>
  <c r="V158" i="22"/>
  <c r="T158" i="22"/>
  <c r="S158" i="22"/>
  <c r="N158" i="22"/>
  <c r="M158" i="22"/>
  <c r="K158" i="22"/>
  <c r="J158" i="22"/>
  <c r="I158" i="22"/>
  <c r="G158" i="22"/>
  <c r="C158" i="22" s="1"/>
  <c r="AO157" i="22"/>
  <c r="AN157" i="22"/>
  <c r="AM157" i="22"/>
  <c r="AL157" i="22"/>
  <c r="Y157" i="22"/>
  <c r="X157" i="22" s="1"/>
  <c r="R157" i="22"/>
  <c r="O157" i="22" s="1"/>
  <c r="I157" i="22"/>
  <c r="H157" i="22" s="1"/>
  <c r="C157" i="22"/>
  <c r="AO156" i="22"/>
  <c r="AN156" i="22"/>
  <c r="AM156" i="22"/>
  <c r="AL156" i="22"/>
  <c r="X156" i="22"/>
  <c r="R156" i="22"/>
  <c r="O156" i="22" s="1"/>
  <c r="I156" i="22"/>
  <c r="C156" i="22"/>
  <c r="AJ155" i="22"/>
  <c r="AI155" i="22"/>
  <c r="AH155" i="22"/>
  <c r="AG155" i="22"/>
  <c r="AF155" i="22"/>
  <c r="AE155" i="22"/>
  <c r="AD155" i="22"/>
  <c r="AC155" i="22"/>
  <c r="AB155" i="22"/>
  <c r="AA155" i="22"/>
  <c r="Z155" i="22"/>
  <c r="W155" i="22"/>
  <c r="V155" i="22"/>
  <c r="U155" i="22"/>
  <c r="T155" i="22"/>
  <c r="S155" i="22"/>
  <c r="N155" i="22"/>
  <c r="M155" i="22"/>
  <c r="L155" i="22"/>
  <c r="K155" i="22"/>
  <c r="J155" i="22"/>
  <c r="C155" i="22"/>
  <c r="C154" i="22"/>
  <c r="AO153" i="22"/>
  <c r="AN153" i="22"/>
  <c r="AM153" i="22"/>
  <c r="AL153" i="22"/>
  <c r="Y153" i="22"/>
  <c r="C153" i="22"/>
  <c r="AJ152" i="22"/>
  <c r="AI152" i="22"/>
  <c r="AH152" i="22"/>
  <c r="AG152" i="22"/>
  <c r="AF152" i="22"/>
  <c r="AE152" i="22"/>
  <c r="AD152" i="22"/>
  <c r="AC152" i="22"/>
  <c r="AB152" i="22"/>
  <c r="AA152" i="22"/>
  <c r="Z152" i="22"/>
  <c r="W152" i="22"/>
  <c r="V152" i="22"/>
  <c r="U152" i="22"/>
  <c r="T152" i="22"/>
  <c r="S152" i="22"/>
  <c r="R152" i="22"/>
  <c r="O152" i="22"/>
  <c r="N152" i="22"/>
  <c r="M152" i="22"/>
  <c r="L152" i="22"/>
  <c r="K152" i="22"/>
  <c r="J152" i="22"/>
  <c r="I152" i="22"/>
  <c r="H152" i="22"/>
  <c r="C152" i="22"/>
  <c r="AO151" i="22"/>
  <c r="AN151" i="22"/>
  <c r="AM151" i="22"/>
  <c r="AL151" i="22"/>
  <c r="Y151" i="22"/>
  <c r="Y150" i="22" s="1"/>
  <c r="I151" i="22"/>
  <c r="H151" i="22" s="1"/>
  <c r="H150" i="22" s="1"/>
  <c r="C151" i="22"/>
  <c r="AJ150" i="22"/>
  <c r="AI150" i="22"/>
  <c r="AH150" i="22"/>
  <c r="AG150" i="22"/>
  <c r="AF150" i="22"/>
  <c r="AE150" i="22"/>
  <c r="AD150" i="22"/>
  <c r="AC150" i="22"/>
  <c r="AB150" i="22"/>
  <c r="AA150" i="22"/>
  <c r="Z150" i="22"/>
  <c r="W150" i="22"/>
  <c r="V150" i="22"/>
  <c r="U150" i="22"/>
  <c r="T150" i="22"/>
  <c r="S150" i="22"/>
  <c r="R150" i="22"/>
  <c r="O150" i="22"/>
  <c r="N150" i="22"/>
  <c r="M150" i="22"/>
  <c r="L150" i="22"/>
  <c r="K150" i="22"/>
  <c r="J150" i="22"/>
  <c r="C150" i="22"/>
  <c r="AO149" i="22"/>
  <c r="AN149" i="22"/>
  <c r="AM149" i="22"/>
  <c r="AL149" i="22"/>
  <c r="Y149" i="22"/>
  <c r="X149" i="22" s="1"/>
  <c r="X148" i="22" s="1"/>
  <c r="U149" i="22"/>
  <c r="U148" i="22" s="1"/>
  <c r="R149" i="22"/>
  <c r="L149" i="22"/>
  <c r="I149" i="22"/>
  <c r="I148" i="22" s="1"/>
  <c r="C149" i="22"/>
  <c r="AJ148" i="22"/>
  <c r="AI148" i="22"/>
  <c r="AH148" i="22"/>
  <c r="AG148" i="22"/>
  <c r="AF148" i="22"/>
  <c r="AE148" i="22"/>
  <c r="AD148" i="22"/>
  <c r="AC148" i="22"/>
  <c r="AB148" i="22"/>
  <c r="AA148" i="22"/>
  <c r="Z148" i="22"/>
  <c r="W148" i="22"/>
  <c r="V148" i="22"/>
  <c r="T148" i="22"/>
  <c r="S148" i="22"/>
  <c r="N148" i="22"/>
  <c r="M148" i="22"/>
  <c r="L148" i="22"/>
  <c r="K148" i="22"/>
  <c r="J148" i="22"/>
  <c r="C148" i="22"/>
  <c r="AO147" i="22"/>
  <c r="AN147" i="22"/>
  <c r="AM147" i="22"/>
  <c r="AL147" i="22"/>
  <c r="U147" i="22"/>
  <c r="R147" i="22"/>
  <c r="L147" i="22"/>
  <c r="I147" i="22"/>
  <c r="AO146" i="22"/>
  <c r="AN146" i="22"/>
  <c r="AM146" i="22"/>
  <c r="AL146" i="22"/>
  <c r="AH146" i="22"/>
  <c r="AE146" i="22"/>
  <c r="AE145" i="22" s="1"/>
  <c r="AB146" i="22"/>
  <c r="AB145" i="22" s="1"/>
  <c r="Y146" i="22"/>
  <c r="U146" i="22"/>
  <c r="R146" i="22"/>
  <c r="R145" i="22" s="1"/>
  <c r="L146" i="22"/>
  <c r="I146" i="22"/>
  <c r="C146" i="22"/>
  <c r="C145" i="22" s="1"/>
  <c r="AN145" i="22"/>
  <c r="AJ145" i="22"/>
  <c r="AI145" i="22"/>
  <c r="AH145" i="22"/>
  <c r="AG145" i="22"/>
  <c r="AF145" i="22"/>
  <c r="AD145" i="22"/>
  <c r="AC145" i="22"/>
  <c r="AA145" i="22"/>
  <c r="Z145" i="22"/>
  <c r="W145" i="22"/>
  <c r="V145" i="22"/>
  <c r="T145" i="22"/>
  <c r="S145" i="22"/>
  <c r="N145" i="22"/>
  <c r="M145" i="22"/>
  <c r="K145" i="22"/>
  <c r="J145" i="22"/>
  <c r="G145" i="22"/>
  <c r="G140" i="22" s="1"/>
  <c r="G139" i="22" s="1"/>
  <c r="F145" i="22"/>
  <c r="F140" i="22" s="1"/>
  <c r="F139" i="22" s="1"/>
  <c r="E145" i="22"/>
  <c r="E140" i="22" s="1"/>
  <c r="E139" i="22" s="1"/>
  <c r="D145" i="22"/>
  <c r="D140" i="22" s="1"/>
  <c r="D139" i="22" s="1"/>
  <c r="D138" i="22" s="1"/>
  <c r="AO144" i="22"/>
  <c r="AN144" i="22"/>
  <c r="AM144" i="22"/>
  <c r="AL144" i="22"/>
  <c r="AH144" i="22"/>
  <c r="AE144" i="22"/>
  <c r="AB144" i="22"/>
  <c r="Y144" i="22"/>
  <c r="U144" i="22"/>
  <c r="R144" i="22"/>
  <c r="L144" i="22"/>
  <c r="I144" i="22"/>
  <c r="C144" i="22"/>
  <c r="AO143" i="22"/>
  <c r="AN143" i="22"/>
  <c r="AM143" i="22"/>
  <c r="AL143" i="22"/>
  <c r="AH143" i="22"/>
  <c r="AE143" i="22"/>
  <c r="AB143" i="22"/>
  <c r="Y143" i="22"/>
  <c r="U143" i="22"/>
  <c r="R143" i="22"/>
  <c r="L143" i="22"/>
  <c r="I143" i="22"/>
  <c r="C143" i="22"/>
  <c r="AO142" i="22"/>
  <c r="AN142" i="22"/>
  <c r="AM142" i="22"/>
  <c r="AL142" i="22"/>
  <c r="AH142" i="22"/>
  <c r="AE142" i="22"/>
  <c r="AB142" i="22"/>
  <c r="Y142" i="22"/>
  <c r="U142" i="22"/>
  <c r="R142" i="22"/>
  <c r="L142" i="22"/>
  <c r="I142" i="22"/>
  <c r="C142" i="22"/>
  <c r="AJ141" i="22"/>
  <c r="AI141" i="22"/>
  <c r="AG141" i="22"/>
  <c r="AF141" i="22"/>
  <c r="AD141" i="22"/>
  <c r="AC141" i="22"/>
  <c r="AA141" i="22"/>
  <c r="Z141" i="22"/>
  <c r="W141" i="22"/>
  <c r="V141" i="22"/>
  <c r="T141" i="22"/>
  <c r="S141" i="22"/>
  <c r="N141" i="22"/>
  <c r="M141" i="22"/>
  <c r="K141" i="22"/>
  <c r="J141" i="22"/>
  <c r="C141" i="22"/>
  <c r="AO137" i="22"/>
  <c r="AN137" i="22"/>
  <c r="AM137" i="22"/>
  <c r="AL137" i="22"/>
  <c r="AH137" i="22"/>
  <c r="AH135" i="22" s="1"/>
  <c r="AE137" i="22"/>
  <c r="AB137" i="22"/>
  <c r="Y137" i="22"/>
  <c r="U137" i="22"/>
  <c r="R137" i="22"/>
  <c r="L137" i="22"/>
  <c r="I137" i="22"/>
  <c r="C137" i="22"/>
  <c r="AO136" i="22"/>
  <c r="AN136" i="22"/>
  <c r="AM136" i="22"/>
  <c r="AL136" i="22"/>
  <c r="AE136" i="22"/>
  <c r="AB136" i="22"/>
  <c r="AB135" i="22" s="1"/>
  <c r="Y136" i="22"/>
  <c r="U136" i="22"/>
  <c r="R136" i="22"/>
  <c r="L136" i="22"/>
  <c r="L135" i="22" s="1"/>
  <c r="I136" i="22"/>
  <c r="C136" i="22"/>
  <c r="AJ135" i="22"/>
  <c r="AI135" i="22"/>
  <c r="AG135" i="22"/>
  <c r="AF135" i="22"/>
  <c r="AE135" i="22"/>
  <c r="AD135" i="22"/>
  <c r="AC135" i="22"/>
  <c r="AA135" i="22"/>
  <c r="Z135" i="22"/>
  <c r="W135" i="22"/>
  <c r="V135" i="22"/>
  <c r="T135" i="22"/>
  <c r="S135" i="22"/>
  <c r="N135" i="22"/>
  <c r="M135" i="22"/>
  <c r="K135" i="22"/>
  <c r="J135" i="22"/>
  <c r="C135" i="22"/>
  <c r="AO134" i="22"/>
  <c r="AN134" i="22"/>
  <c r="AM134" i="22"/>
  <c r="AL134" i="22"/>
  <c r="AH134" i="22"/>
  <c r="AH133" i="22" s="1"/>
  <c r="AE134" i="22"/>
  <c r="AE133" i="22" s="1"/>
  <c r="AB134" i="22"/>
  <c r="AB133" i="22" s="1"/>
  <c r="Y134" i="22"/>
  <c r="Y133" i="22" s="1"/>
  <c r="U134" i="22"/>
  <c r="U133" i="22" s="1"/>
  <c r="R134" i="22"/>
  <c r="R133" i="22" s="1"/>
  <c r="L134" i="22"/>
  <c r="I134" i="22"/>
  <c r="I133" i="22" s="1"/>
  <c r="C134" i="22"/>
  <c r="AJ133" i="22"/>
  <c r="AI133" i="22"/>
  <c r="AG133" i="22"/>
  <c r="AF133" i="22"/>
  <c r="AD133" i="22"/>
  <c r="AC133" i="22"/>
  <c r="AA133" i="22"/>
  <c r="Z133" i="22"/>
  <c r="W133" i="22"/>
  <c r="V133" i="22"/>
  <c r="T133" i="22"/>
  <c r="S133" i="22"/>
  <c r="N133" i="22"/>
  <c r="M133" i="22"/>
  <c r="K133" i="22"/>
  <c r="J133" i="22"/>
  <c r="C133" i="22"/>
  <c r="C132" i="22"/>
  <c r="C131" i="22"/>
  <c r="AO130" i="22"/>
  <c r="AN130" i="22"/>
  <c r="AM130" i="22"/>
  <c r="AL130" i="22"/>
  <c r="Y130" i="22"/>
  <c r="X130" i="22" s="1"/>
  <c r="I130" i="22"/>
  <c r="H130" i="22" s="1"/>
  <c r="C130" i="22"/>
  <c r="AO129" i="22"/>
  <c r="AN129" i="22"/>
  <c r="AM129" i="22"/>
  <c r="AL129" i="22"/>
  <c r="AB129" i="22"/>
  <c r="Y129" i="22"/>
  <c r="U129" i="22"/>
  <c r="R129" i="22"/>
  <c r="L129" i="22"/>
  <c r="I129" i="22"/>
  <c r="C129" i="22"/>
  <c r="AO128" i="22"/>
  <c r="AN128" i="22"/>
  <c r="AM128" i="22"/>
  <c r="AL128" i="22"/>
  <c r="AB128" i="22"/>
  <c r="Y128" i="22"/>
  <c r="U128" i="22"/>
  <c r="R128" i="22"/>
  <c r="L128" i="22"/>
  <c r="I128" i="22"/>
  <c r="C128" i="22"/>
  <c r="AO127" i="22"/>
  <c r="AN127" i="22"/>
  <c r="AM127" i="22"/>
  <c r="AL127" i="22"/>
  <c r="AB127" i="22"/>
  <c r="Y127" i="22"/>
  <c r="U127" i="22"/>
  <c r="R127" i="22"/>
  <c r="L127" i="22"/>
  <c r="I127" i="22"/>
  <c r="C127" i="22"/>
  <c r="AO126" i="22"/>
  <c r="AN126" i="22"/>
  <c r="AM126" i="22"/>
  <c r="AL126" i="22"/>
  <c r="AB126" i="22"/>
  <c r="Y126" i="22"/>
  <c r="U126" i="22"/>
  <c r="R126" i="22"/>
  <c r="L126" i="22"/>
  <c r="I126" i="22"/>
  <c r="C126" i="22"/>
  <c r="AN125" i="22"/>
  <c r="AM125" i="22"/>
  <c r="AL125" i="22"/>
  <c r="AB125" i="22"/>
  <c r="Y125" i="22"/>
  <c r="W125" i="22"/>
  <c r="AO125" i="22" s="1"/>
  <c r="R125" i="22"/>
  <c r="L125" i="22"/>
  <c r="I125" i="22"/>
  <c r="C125" i="22"/>
  <c r="AO124" i="22"/>
  <c r="AN124" i="22"/>
  <c r="AM124" i="22"/>
  <c r="AL124" i="22"/>
  <c r="AB124" i="22"/>
  <c r="Y124" i="22"/>
  <c r="U124" i="22"/>
  <c r="R124" i="22"/>
  <c r="L124" i="22"/>
  <c r="I124" i="22"/>
  <c r="C124" i="22"/>
  <c r="AO123" i="22"/>
  <c r="AN123" i="22"/>
  <c r="AM123" i="22"/>
  <c r="AL123" i="22"/>
  <c r="AB123" i="22"/>
  <c r="Y123" i="22"/>
  <c r="U123" i="22"/>
  <c r="R123" i="22"/>
  <c r="L123" i="22"/>
  <c r="I123" i="22"/>
  <c r="C123" i="22"/>
  <c r="AO122" i="22"/>
  <c r="AN122" i="22"/>
  <c r="AM122" i="22"/>
  <c r="AL122" i="22"/>
  <c r="AB122" i="22"/>
  <c r="Y122" i="22"/>
  <c r="U122" i="22"/>
  <c r="R122" i="22"/>
  <c r="L122" i="22"/>
  <c r="I122" i="22"/>
  <c r="C122" i="22"/>
  <c r="AO121" i="22"/>
  <c r="AN121" i="22"/>
  <c r="AM121" i="22"/>
  <c r="AL121" i="22"/>
  <c r="AB121" i="22"/>
  <c r="Y121" i="22"/>
  <c r="U121" i="22"/>
  <c r="R121" i="22"/>
  <c r="L121" i="22"/>
  <c r="I121" i="22"/>
  <c r="C121" i="22"/>
  <c r="AO120" i="22"/>
  <c r="AN120" i="22"/>
  <c r="AM120" i="22"/>
  <c r="AL120" i="22"/>
  <c r="AB120" i="22"/>
  <c r="Y120" i="22"/>
  <c r="U120" i="22"/>
  <c r="R120" i="22"/>
  <c r="L120" i="22"/>
  <c r="I120" i="22"/>
  <c r="C120" i="22"/>
  <c r="AO119" i="22"/>
  <c r="AN119" i="22"/>
  <c r="AM119" i="22"/>
  <c r="AL119" i="22"/>
  <c r="AB119" i="22"/>
  <c r="Y119" i="22"/>
  <c r="U119" i="22"/>
  <c r="R119" i="22"/>
  <c r="I119" i="22"/>
  <c r="H119" i="22" s="1"/>
  <c r="C119" i="22"/>
  <c r="AJ118" i="22"/>
  <c r="AI118" i="22"/>
  <c r="AH118" i="22"/>
  <c r="AG118" i="22"/>
  <c r="AF118" i="22"/>
  <c r="AE118" i="22"/>
  <c r="AD118" i="22"/>
  <c r="AC118" i="22"/>
  <c r="AA118" i="22"/>
  <c r="Z118" i="22"/>
  <c r="V118" i="22"/>
  <c r="T118" i="22"/>
  <c r="S118" i="22"/>
  <c r="N118" i="22"/>
  <c r="M118" i="22"/>
  <c r="K118" i="22"/>
  <c r="J118" i="22"/>
  <c r="C118" i="22"/>
  <c r="AO117" i="22"/>
  <c r="AN117" i="22"/>
  <c r="AM117" i="22"/>
  <c r="AL117" i="22"/>
  <c r="Y117" i="22"/>
  <c r="X117" i="22" s="1"/>
  <c r="I117" i="22"/>
  <c r="H117" i="22" s="1"/>
  <c r="C117" i="22"/>
  <c r="AO116" i="22"/>
  <c r="AN116" i="22"/>
  <c r="AM116" i="22"/>
  <c r="AL116" i="22"/>
  <c r="AB116" i="22"/>
  <c r="Y116" i="22"/>
  <c r="U116" i="22"/>
  <c r="R116" i="22"/>
  <c r="L116" i="22"/>
  <c r="I116" i="22"/>
  <c r="C116" i="22"/>
  <c r="AO115" i="22"/>
  <c r="AN115" i="22"/>
  <c r="AM115" i="22"/>
  <c r="AL115" i="22"/>
  <c r="AB115" i="22"/>
  <c r="Y115" i="22"/>
  <c r="U115" i="22"/>
  <c r="R115" i="22"/>
  <c r="L115" i="22"/>
  <c r="I115" i="22"/>
  <c r="C115" i="22"/>
  <c r="AO114" i="22"/>
  <c r="AN114" i="22"/>
  <c r="AM114" i="22"/>
  <c r="AL114" i="22"/>
  <c r="AB114" i="22"/>
  <c r="Y114" i="22"/>
  <c r="U114" i="22"/>
  <c r="R114" i="22"/>
  <c r="L114" i="22"/>
  <c r="I114" i="22"/>
  <c r="C114" i="22"/>
  <c r="AO113" i="22"/>
  <c r="AN113" i="22"/>
  <c r="AM113" i="22"/>
  <c r="AL113" i="22"/>
  <c r="AB113" i="22"/>
  <c r="Y113" i="22"/>
  <c r="U113" i="22"/>
  <c r="R113" i="22"/>
  <c r="L113" i="22"/>
  <c r="I113" i="22"/>
  <c r="C113" i="22"/>
  <c r="AO112" i="22"/>
  <c r="AN112" i="22"/>
  <c r="AM112" i="22"/>
  <c r="AL112" i="22"/>
  <c r="AB112" i="22"/>
  <c r="Y112" i="22"/>
  <c r="U112" i="22"/>
  <c r="R112" i="22"/>
  <c r="L112" i="22"/>
  <c r="I112" i="22"/>
  <c r="C112" i="22"/>
  <c r="AO111" i="22"/>
  <c r="AN111" i="22"/>
  <c r="AM111" i="22"/>
  <c r="AL111" i="22"/>
  <c r="AB111" i="22"/>
  <c r="Y111" i="22"/>
  <c r="U111" i="22"/>
  <c r="R111" i="22"/>
  <c r="L111" i="22"/>
  <c r="I111" i="22"/>
  <c r="C111" i="22"/>
  <c r="AO110" i="22"/>
  <c r="AN110" i="22"/>
  <c r="AM110" i="22"/>
  <c r="AL110" i="22"/>
  <c r="AB110" i="22"/>
  <c r="Y110" i="22"/>
  <c r="U110" i="22"/>
  <c r="R110" i="22"/>
  <c r="L110" i="22"/>
  <c r="I110" i="22"/>
  <c r="C110" i="22"/>
  <c r="AO109" i="22"/>
  <c r="AN109" i="22"/>
  <c r="AM109" i="22"/>
  <c r="AL109" i="22"/>
  <c r="AB109" i="22"/>
  <c r="Y109" i="22"/>
  <c r="U109" i="22"/>
  <c r="R109" i="22"/>
  <c r="L109" i="22"/>
  <c r="I109" i="22"/>
  <c r="C109" i="22"/>
  <c r="AO108" i="22"/>
  <c r="AN108" i="22"/>
  <c r="AM108" i="22"/>
  <c r="AL108" i="22"/>
  <c r="AB108" i="22"/>
  <c r="Y108" i="22"/>
  <c r="U108" i="22"/>
  <c r="R108" i="22"/>
  <c r="L108" i="22"/>
  <c r="I108" i="22"/>
  <c r="C108" i="22"/>
  <c r="AO107" i="22"/>
  <c r="AN107" i="22"/>
  <c r="AM107" i="22"/>
  <c r="AL107" i="22"/>
  <c r="AB107" i="22"/>
  <c r="Y107" i="22"/>
  <c r="U107" i="22"/>
  <c r="R107" i="22"/>
  <c r="L107" i="22"/>
  <c r="I107" i="22"/>
  <c r="C107" i="22"/>
  <c r="AO106" i="22"/>
  <c r="AN106" i="22"/>
  <c r="AL106" i="22"/>
  <c r="AB106" i="22"/>
  <c r="Y106" i="22"/>
  <c r="U106" i="22"/>
  <c r="R106" i="22"/>
  <c r="I106" i="22"/>
  <c r="H106" i="22" s="1"/>
  <c r="C106" i="22"/>
  <c r="AO105" i="22"/>
  <c r="AN105" i="22"/>
  <c r="AM105" i="22"/>
  <c r="AL105" i="22"/>
  <c r="AB105" i="22"/>
  <c r="Y105" i="22"/>
  <c r="U105" i="22"/>
  <c r="R105" i="22"/>
  <c r="I105" i="22"/>
  <c r="C105" i="22"/>
  <c r="AJ104" i="22"/>
  <c r="AI104" i="22"/>
  <c r="AH104" i="22"/>
  <c r="AG104" i="22"/>
  <c r="AF104" i="22"/>
  <c r="AE104" i="22"/>
  <c r="AD104" i="22"/>
  <c r="AC104" i="22"/>
  <c r="AA104" i="22"/>
  <c r="Z104" i="22"/>
  <c r="W104" i="22"/>
  <c r="V104" i="22"/>
  <c r="T104" i="22"/>
  <c r="S104" i="22"/>
  <c r="N104" i="22"/>
  <c r="M104" i="22"/>
  <c r="K104" i="22"/>
  <c r="J104" i="22"/>
  <c r="C104" i="22"/>
  <c r="AN103" i="22"/>
  <c r="AM103" i="22"/>
  <c r="AL103" i="22"/>
  <c r="AB103" i="22"/>
  <c r="Y103" i="22"/>
  <c r="U103" i="22"/>
  <c r="R103" i="22"/>
  <c r="N103" i="22"/>
  <c r="AO103" i="22" s="1"/>
  <c r="I103" i="22"/>
  <c r="C103" i="22"/>
  <c r="AO102" i="22"/>
  <c r="AN102" i="22"/>
  <c r="AM102" i="22"/>
  <c r="AL102" i="22"/>
  <c r="AB102" i="22"/>
  <c r="Y102" i="22"/>
  <c r="U102" i="22"/>
  <c r="R102" i="22"/>
  <c r="L102" i="22"/>
  <c r="I102" i="22"/>
  <c r="C102" i="22"/>
  <c r="AO101" i="22"/>
  <c r="AN101" i="22"/>
  <c r="AM101" i="22"/>
  <c r="AL101" i="22"/>
  <c r="AB101" i="22"/>
  <c r="Y101" i="22"/>
  <c r="U101" i="22"/>
  <c r="R101" i="22"/>
  <c r="L101" i="22"/>
  <c r="I101" i="22"/>
  <c r="C101" i="22"/>
  <c r="AN100" i="22"/>
  <c r="AM100" i="22"/>
  <c r="AL100" i="22"/>
  <c r="AB100" i="22"/>
  <c r="Y100" i="22"/>
  <c r="W100" i="22"/>
  <c r="W95" i="22" s="1"/>
  <c r="U100" i="22"/>
  <c r="R100" i="22"/>
  <c r="L100" i="22"/>
  <c r="I100" i="22"/>
  <c r="C100" i="22"/>
  <c r="AO99" i="22"/>
  <c r="AN99" i="22"/>
  <c r="AM99" i="22"/>
  <c r="AL99" i="22"/>
  <c r="AB99" i="22"/>
  <c r="Y99" i="22"/>
  <c r="U99" i="22"/>
  <c r="R99" i="22"/>
  <c r="L99" i="22"/>
  <c r="I99" i="22"/>
  <c r="C99" i="22"/>
  <c r="AO98" i="22"/>
  <c r="AN98" i="22"/>
  <c r="AM98" i="22"/>
  <c r="AL98" i="22"/>
  <c r="AB98" i="22"/>
  <c r="Y98" i="22"/>
  <c r="U98" i="22"/>
  <c r="R98" i="22"/>
  <c r="L98" i="22"/>
  <c r="I98" i="22"/>
  <c r="C98" i="22"/>
  <c r="AO97" i="22"/>
  <c r="AN97" i="22"/>
  <c r="AM97" i="22"/>
  <c r="AL97" i="22"/>
  <c r="AB97" i="22"/>
  <c r="Y97" i="22"/>
  <c r="U97" i="22"/>
  <c r="R97" i="22"/>
  <c r="L97" i="22"/>
  <c r="I97" i="22"/>
  <c r="C97" i="22"/>
  <c r="AO96" i="22"/>
  <c r="AN96" i="22"/>
  <c r="AL96" i="22"/>
  <c r="AB96" i="22"/>
  <c r="Y96" i="22"/>
  <c r="U96" i="22"/>
  <c r="R96" i="22"/>
  <c r="L96" i="22"/>
  <c r="K96" i="22"/>
  <c r="C96" i="22"/>
  <c r="AJ95" i="22"/>
  <c r="AI95" i="22"/>
  <c r="AH95" i="22"/>
  <c r="AG95" i="22"/>
  <c r="AF95" i="22"/>
  <c r="AE95" i="22"/>
  <c r="AD95" i="22"/>
  <c r="AC95" i="22"/>
  <c r="AA95" i="22"/>
  <c r="Z95" i="22"/>
  <c r="V95" i="22"/>
  <c r="T95" i="22"/>
  <c r="S95" i="22"/>
  <c r="M95" i="22"/>
  <c r="J95" i="22"/>
  <c r="C95" i="22"/>
  <c r="AO94" i="22"/>
  <c r="AN94" i="22"/>
  <c r="AM94" i="22"/>
  <c r="AL94" i="22"/>
  <c r="Y94" i="22"/>
  <c r="X94" i="22" s="1"/>
  <c r="X93" i="22" s="1"/>
  <c r="R94" i="22"/>
  <c r="O94" i="22" s="1"/>
  <c r="O93" i="22" s="1"/>
  <c r="I94" i="22"/>
  <c r="C94" i="22"/>
  <c r="AJ93" i="22"/>
  <c r="AI93" i="22"/>
  <c r="AH93" i="22"/>
  <c r="AG93" i="22"/>
  <c r="AF93" i="22"/>
  <c r="AE93" i="22"/>
  <c r="AD93" i="22"/>
  <c r="AC93" i="22"/>
  <c r="AB93" i="22"/>
  <c r="AA93" i="22"/>
  <c r="Z93" i="22"/>
  <c r="W93" i="22"/>
  <c r="V93" i="22"/>
  <c r="U93" i="22"/>
  <c r="T93" i="22"/>
  <c r="S93" i="22"/>
  <c r="N93" i="22"/>
  <c r="M93" i="22"/>
  <c r="L93" i="22"/>
  <c r="K93" i="22"/>
  <c r="J93" i="22"/>
  <c r="C93" i="22"/>
  <c r="AO92" i="22"/>
  <c r="AN92" i="22"/>
  <c r="AM92" i="22"/>
  <c r="AL92" i="22"/>
  <c r="AB92" i="22"/>
  <c r="Y92" i="22"/>
  <c r="U92" i="22"/>
  <c r="R92" i="22"/>
  <c r="L92" i="22"/>
  <c r="I92" i="22"/>
  <c r="C92" i="22"/>
  <c r="AN91" i="22"/>
  <c r="AM91" i="22"/>
  <c r="AL91" i="22"/>
  <c r="AB91" i="22"/>
  <c r="Y91" i="22"/>
  <c r="U91" i="22"/>
  <c r="R91" i="22"/>
  <c r="N91" i="22"/>
  <c r="L91" i="22" s="1"/>
  <c r="I91" i="22"/>
  <c r="C91" i="22"/>
  <c r="AN90" i="22"/>
  <c r="AM90" i="22"/>
  <c r="AL90" i="22"/>
  <c r="AB90" i="22"/>
  <c r="Y90" i="22"/>
  <c r="W90" i="22"/>
  <c r="Q90" i="22" s="1"/>
  <c r="R90" i="22"/>
  <c r="N90" i="22"/>
  <c r="L90" i="22" s="1"/>
  <c r="I90" i="22"/>
  <c r="C90" i="22"/>
  <c r="AN89" i="22"/>
  <c r="AM89" i="22"/>
  <c r="AL89" i="22"/>
  <c r="AB89" i="22"/>
  <c r="Y89" i="22"/>
  <c r="U89" i="22"/>
  <c r="R89" i="22"/>
  <c r="N89" i="22"/>
  <c r="I89" i="22"/>
  <c r="C89" i="22"/>
  <c r="AN88" i="22"/>
  <c r="AM88" i="22"/>
  <c r="AL88" i="22"/>
  <c r="AB88" i="22"/>
  <c r="Y88" i="22"/>
  <c r="U88" i="22"/>
  <c r="R88" i="22"/>
  <c r="N88" i="22"/>
  <c r="AO88" i="22" s="1"/>
  <c r="L88" i="22"/>
  <c r="I88" i="22"/>
  <c r="C88" i="22"/>
  <c r="AN87" i="22"/>
  <c r="AM87" i="22"/>
  <c r="AL87" i="22"/>
  <c r="AB87" i="22"/>
  <c r="Y87" i="22"/>
  <c r="U87" i="22"/>
  <c r="R87" i="22"/>
  <c r="N87" i="22"/>
  <c r="AO87" i="22" s="1"/>
  <c r="I87" i="22"/>
  <c r="C87" i="22"/>
  <c r="AN86" i="22"/>
  <c r="AM86" i="22"/>
  <c r="AL86" i="22"/>
  <c r="AB86" i="22"/>
  <c r="Y86" i="22"/>
  <c r="U86" i="22"/>
  <c r="R86" i="22"/>
  <c r="N86" i="22"/>
  <c r="AO86" i="22" s="1"/>
  <c r="I86" i="22"/>
  <c r="C86" i="22"/>
  <c r="AN85" i="22"/>
  <c r="AM85" i="22"/>
  <c r="AL85" i="22"/>
  <c r="AB85" i="22"/>
  <c r="Y85" i="22"/>
  <c r="U85" i="22"/>
  <c r="R85" i="22"/>
  <c r="N85" i="22"/>
  <c r="I85" i="22"/>
  <c r="C85" i="22"/>
  <c r="AN84" i="22"/>
  <c r="AM84" i="22"/>
  <c r="AL84" i="22"/>
  <c r="AB84" i="22"/>
  <c r="Y84" i="22"/>
  <c r="U84" i="22"/>
  <c r="R84" i="22"/>
  <c r="N84" i="22"/>
  <c r="AO84" i="22" s="1"/>
  <c r="I84" i="22"/>
  <c r="C84" i="22"/>
  <c r="AN83" i="22"/>
  <c r="AM83" i="22"/>
  <c r="AL83" i="22"/>
  <c r="AB83" i="22"/>
  <c r="Y83" i="22"/>
  <c r="U83" i="22"/>
  <c r="R83" i="22"/>
  <c r="N83" i="22"/>
  <c r="AO83" i="22" s="1"/>
  <c r="I83" i="22"/>
  <c r="C83" i="22"/>
  <c r="AO82" i="22"/>
  <c r="AN82" i="22"/>
  <c r="AM82" i="22"/>
  <c r="AL82" i="22"/>
  <c r="AB82" i="22"/>
  <c r="Y82" i="22"/>
  <c r="R82" i="22"/>
  <c r="I82" i="22"/>
  <c r="H82" i="22" s="1"/>
  <c r="C82" i="22"/>
  <c r="AQ81" i="22"/>
  <c r="AQ58" i="22" s="1"/>
  <c r="AJ81" i="22"/>
  <c r="AI81" i="22"/>
  <c r="AH81" i="22"/>
  <c r="AG81" i="22"/>
  <c r="AF81" i="22"/>
  <c r="AE81" i="22"/>
  <c r="AD81" i="22"/>
  <c r="AC81" i="22"/>
  <c r="AA81" i="22"/>
  <c r="Z81" i="22"/>
  <c r="V81" i="22"/>
  <c r="T81" i="22"/>
  <c r="S81" i="22"/>
  <c r="M81" i="22"/>
  <c r="K81" i="22"/>
  <c r="J81" i="22"/>
  <c r="G81" i="22"/>
  <c r="F81" i="22"/>
  <c r="E81" i="22"/>
  <c r="D81" i="22"/>
  <c r="AO80" i="22"/>
  <c r="AN80" i="22"/>
  <c r="AM80" i="22"/>
  <c r="AL80" i="22"/>
  <c r="AB80" i="22"/>
  <c r="X80" i="22" s="1"/>
  <c r="U80" i="22"/>
  <c r="R80" i="22"/>
  <c r="L80" i="22"/>
  <c r="I80" i="22"/>
  <c r="C80" i="22"/>
  <c r="AN79" i="22"/>
  <c r="AM79" i="22"/>
  <c r="AL79" i="22"/>
  <c r="AB79" i="22"/>
  <c r="X79" i="22" s="1"/>
  <c r="U79" i="22"/>
  <c r="R79" i="22"/>
  <c r="N79" i="22"/>
  <c r="I79" i="22"/>
  <c r="C79" i="22"/>
  <c r="AN78" i="22"/>
  <c r="AM78" i="22"/>
  <c r="AL78" i="22"/>
  <c r="AB78" i="22"/>
  <c r="X78" i="22" s="1"/>
  <c r="W78" i="22"/>
  <c r="R78" i="22"/>
  <c r="N78" i="22"/>
  <c r="I78" i="22"/>
  <c r="C78" i="22"/>
  <c r="AO77" i="22"/>
  <c r="AN77" i="22"/>
  <c r="AM77" i="22"/>
  <c r="AL77" i="22"/>
  <c r="AB77" i="22"/>
  <c r="X77" i="22" s="1"/>
  <c r="U77" i="22"/>
  <c r="R77" i="22"/>
  <c r="N77" i="22"/>
  <c r="L77" i="22"/>
  <c r="I77" i="22"/>
  <c r="C77" i="22"/>
  <c r="AN76" i="22"/>
  <c r="AM76" i="22"/>
  <c r="AL76" i="22"/>
  <c r="AB76" i="22"/>
  <c r="X76" i="22" s="1"/>
  <c r="U76" i="22"/>
  <c r="R76" i="22"/>
  <c r="N76" i="22"/>
  <c r="AO76" i="22" s="1"/>
  <c r="I76" i="22"/>
  <c r="C76" i="22"/>
  <c r="AN75" i="22"/>
  <c r="AM75" i="22"/>
  <c r="AL75" i="22"/>
  <c r="AB75" i="22"/>
  <c r="X75" i="22" s="1"/>
  <c r="U75" i="22"/>
  <c r="R75" i="22"/>
  <c r="N75" i="22"/>
  <c r="AO75" i="22" s="1"/>
  <c r="I75" i="22"/>
  <c r="C75" i="22"/>
  <c r="AN74" i="22"/>
  <c r="AM74" i="22"/>
  <c r="AL74" i="22"/>
  <c r="AB74" i="22"/>
  <c r="X74" i="22" s="1"/>
  <c r="U74" i="22"/>
  <c r="R74" i="22"/>
  <c r="N74" i="22"/>
  <c r="AO74" i="22" s="1"/>
  <c r="I74" i="22"/>
  <c r="C74" i="22"/>
  <c r="AN73" i="22"/>
  <c r="AM73" i="22"/>
  <c r="AL73" i="22"/>
  <c r="AB73" i="22"/>
  <c r="X73" i="22" s="1"/>
  <c r="U73" i="22"/>
  <c r="R73" i="22"/>
  <c r="N73" i="22"/>
  <c r="AO73" i="22" s="1"/>
  <c r="I73" i="22"/>
  <c r="C73" i="22"/>
  <c r="AN72" i="22"/>
  <c r="AM72" i="22"/>
  <c r="AL72" i="22"/>
  <c r="AB72" i="22"/>
  <c r="W72" i="22"/>
  <c r="R72" i="22"/>
  <c r="N72" i="22"/>
  <c r="I72" i="22"/>
  <c r="C72" i="22"/>
  <c r="AN71" i="22"/>
  <c r="AM71" i="22"/>
  <c r="AL71" i="22"/>
  <c r="AB71" i="22"/>
  <c r="X71" i="22" s="1"/>
  <c r="U71" i="22"/>
  <c r="R71" i="22"/>
  <c r="N71" i="22"/>
  <c r="AO71" i="22" s="1"/>
  <c r="I71" i="22"/>
  <c r="C71" i="22"/>
  <c r="AJ70" i="22"/>
  <c r="AI70" i="22"/>
  <c r="AH70" i="22"/>
  <c r="AG70" i="22"/>
  <c r="AF70" i="22"/>
  <c r="AE70" i="22"/>
  <c r="AD70" i="22"/>
  <c r="AC70" i="22"/>
  <c r="AA70" i="22"/>
  <c r="Z70" i="22"/>
  <c r="Y70" i="22"/>
  <c r="V70" i="22"/>
  <c r="T70" i="22"/>
  <c r="S70" i="22"/>
  <c r="M70" i="22"/>
  <c r="K70" i="22"/>
  <c r="J70" i="22"/>
  <c r="C70" i="22"/>
  <c r="AO69" i="22"/>
  <c r="AM69" i="22"/>
  <c r="AL69" i="22"/>
  <c r="AB69" i="22"/>
  <c r="Y69" i="22"/>
  <c r="U69" i="22"/>
  <c r="R69" i="22"/>
  <c r="M69" i="22"/>
  <c r="AN69" i="22" s="1"/>
  <c r="I69" i="22"/>
  <c r="C69" i="22"/>
  <c r="AO68" i="22"/>
  <c r="AM68" i="22"/>
  <c r="AL68" i="22"/>
  <c r="AB68" i="22"/>
  <c r="Y68" i="22"/>
  <c r="V68" i="22"/>
  <c r="R32" i="7" s="1"/>
  <c r="R68" i="22"/>
  <c r="M68" i="22"/>
  <c r="L68" i="22" s="1"/>
  <c r="I68" i="22"/>
  <c r="C68" i="22"/>
  <c r="AO67" i="22"/>
  <c r="AM67" i="22"/>
  <c r="AL67" i="22"/>
  <c r="AB67" i="22"/>
  <c r="Y67" i="22"/>
  <c r="V67" i="22"/>
  <c r="R67" i="22"/>
  <c r="M67" i="22"/>
  <c r="L67" i="22" s="1"/>
  <c r="I67" i="22"/>
  <c r="C67" i="22"/>
  <c r="AO66" i="22"/>
  <c r="AM66" i="22"/>
  <c r="AL66" i="22"/>
  <c r="AB66" i="22"/>
  <c r="Y66" i="22"/>
  <c r="U66" i="22"/>
  <c r="R66" i="22"/>
  <c r="M66" i="22"/>
  <c r="AN66" i="22" s="1"/>
  <c r="I66" i="22"/>
  <c r="C66" i="22"/>
  <c r="AO65" i="22"/>
  <c r="AM65" i="22"/>
  <c r="AL65" i="22"/>
  <c r="AB65" i="22"/>
  <c r="Y65" i="22"/>
  <c r="U65" i="22"/>
  <c r="R65" i="22"/>
  <c r="M65" i="22"/>
  <c r="AN65" i="22" s="1"/>
  <c r="I65" i="22"/>
  <c r="C65" i="22"/>
  <c r="AO64" i="22"/>
  <c r="AM64" i="22"/>
  <c r="AL64" i="22"/>
  <c r="AC64" i="22"/>
  <c r="AB64" i="22" s="1"/>
  <c r="Y64" i="22"/>
  <c r="V64" i="22"/>
  <c r="P64" i="22" s="1"/>
  <c r="R64" i="22"/>
  <c r="M64" i="22"/>
  <c r="L64" i="22" s="1"/>
  <c r="I64" i="22"/>
  <c r="C64" i="22"/>
  <c r="AO63" i="22"/>
  <c r="AM63" i="22"/>
  <c r="AL63" i="22"/>
  <c r="AB63" i="22"/>
  <c r="Y63" i="22"/>
  <c r="U63" i="22"/>
  <c r="R63" i="22"/>
  <c r="M63" i="22"/>
  <c r="AN63" i="22" s="1"/>
  <c r="I63" i="22"/>
  <c r="C63" i="22"/>
  <c r="AO62" i="22"/>
  <c r="AM62" i="22"/>
  <c r="AL62" i="22"/>
  <c r="AB62" i="22"/>
  <c r="Y62" i="22"/>
  <c r="U62" i="22"/>
  <c r="R62" i="22"/>
  <c r="M62" i="22"/>
  <c r="I62" i="22"/>
  <c r="C62" i="22"/>
  <c r="AO61" i="22"/>
  <c r="AM61" i="22"/>
  <c r="AL61" i="22"/>
  <c r="AC61" i="22"/>
  <c r="AB61" i="22" s="1"/>
  <c r="Y61" i="22"/>
  <c r="V61" i="22"/>
  <c r="R61" i="22"/>
  <c r="M61" i="22"/>
  <c r="I61" i="22"/>
  <c r="C61" i="22"/>
  <c r="AO60" i="22"/>
  <c r="AM60" i="22"/>
  <c r="AL60" i="22"/>
  <c r="U60" i="22"/>
  <c r="R60" i="22"/>
  <c r="M60" i="22"/>
  <c r="AN60" i="22" s="1"/>
  <c r="I60" i="22"/>
  <c r="C60" i="22"/>
  <c r="AJ59" i="22"/>
  <c r="AI59" i="22"/>
  <c r="AH59" i="22"/>
  <c r="AG59" i="22"/>
  <c r="AF59" i="22"/>
  <c r="AE59" i="22"/>
  <c r="AD59" i="22"/>
  <c r="AA59" i="22"/>
  <c r="Z59" i="22"/>
  <c r="W59" i="22"/>
  <c r="T59" i="22"/>
  <c r="S59" i="22"/>
  <c r="N59" i="22"/>
  <c r="K59" i="22"/>
  <c r="J59" i="22"/>
  <c r="G59" i="22"/>
  <c r="F59" i="22"/>
  <c r="E59" i="22"/>
  <c r="D59" i="22"/>
  <c r="AO57" i="22"/>
  <c r="AN57" i="22"/>
  <c r="AM57" i="22"/>
  <c r="AL57" i="22"/>
  <c r="Y57" i="22"/>
  <c r="X57" i="22" s="1"/>
  <c r="I57" i="22"/>
  <c r="H57" i="22" s="1"/>
  <c r="C57" i="22"/>
  <c r="AO56" i="22"/>
  <c r="AN56" i="22"/>
  <c r="AM56" i="22"/>
  <c r="AL56" i="22"/>
  <c r="Y56" i="22"/>
  <c r="X56" i="22" s="1"/>
  <c r="R56" i="22"/>
  <c r="O56" i="22" s="1"/>
  <c r="O55" i="22" s="1"/>
  <c r="L56" i="22"/>
  <c r="L55" i="22" s="1"/>
  <c r="I56" i="22"/>
  <c r="C56" i="22"/>
  <c r="AJ55" i="22"/>
  <c r="AI55" i="22"/>
  <c r="AH55" i="22"/>
  <c r="AG55" i="22"/>
  <c r="AF55" i="22"/>
  <c r="AE55" i="22"/>
  <c r="AD55" i="22"/>
  <c r="AC55" i="22"/>
  <c r="AB55" i="22"/>
  <c r="AA55" i="22"/>
  <c r="Z55" i="22"/>
  <c r="W55" i="22"/>
  <c r="V55" i="22"/>
  <c r="U55" i="22"/>
  <c r="T55" i="22"/>
  <c r="S55" i="22"/>
  <c r="R55" i="22"/>
  <c r="N55" i="22"/>
  <c r="M55" i="22"/>
  <c r="K55" i="22"/>
  <c r="J55" i="22"/>
  <c r="C55" i="22"/>
  <c r="AN54" i="22"/>
  <c r="AM54" i="22"/>
  <c r="AL54" i="22"/>
  <c r="AB54" i="22"/>
  <c r="Y54" i="22"/>
  <c r="U54" i="22"/>
  <c r="R54" i="22"/>
  <c r="N54" i="22"/>
  <c r="AO54" i="22" s="1"/>
  <c r="I54" i="22"/>
  <c r="C54" i="22"/>
  <c r="AN53" i="22"/>
  <c r="AM53" i="22"/>
  <c r="AL53" i="22"/>
  <c r="AB53" i="22"/>
  <c r="Y53" i="22"/>
  <c r="W53" i="22"/>
  <c r="R53" i="22"/>
  <c r="N53" i="22"/>
  <c r="L53" i="22" s="1"/>
  <c r="I53" i="22"/>
  <c r="C53" i="22"/>
  <c r="AN52" i="22"/>
  <c r="AM52" i="22"/>
  <c r="AL52" i="22"/>
  <c r="AB52" i="22"/>
  <c r="Y52" i="22"/>
  <c r="W52" i="22"/>
  <c r="R52" i="22"/>
  <c r="N52" i="22"/>
  <c r="I52" i="22"/>
  <c r="C52" i="22"/>
  <c r="AN51" i="22"/>
  <c r="AM51" i="22"/>
  <c r="AL51" i="22"/>
  <c r="AB51" i="22"/>
  <c r="Y51" i="22"/>
  <c r="W51" i="22"/>
  <c r="R51" i="22"/>
  <c r="N51" i="22"/>
  <c r="L51" i="22" s="1"/>
  <c r="I51" i="22"/>
  <c r="C51" i="22"/>
  <c r="AN50" i="22"/>
  <c r="AM50" i="22"/>
  <c r="AL50" i="22"/>
  <c r="AB50" i="22"/>
  <c r="Y50" i="22"/>
  <c r="W50" i="22"/>
  <c r="R50" i="22"/>
  <c r="N50" i="22"/>
  <c r="I50" i="22"/>
  <c r="C50" i="22"/>
  <c r="AO49" i="22"/>
  <c r="AN49" i="22"/>
  <c r="AL49" i="22"/>
  <c r="Y49" i="22"/>
  <c r="X49" i="22" s="1"/>
  <c r="R49" i="22"/>
  <c r="O49" i="22" s="1"/>
  <c r="L49" i="22"/>
  <c r="K49" i="22"/>
  <c r="AM49" i="22" s="1"/>
  <c r="C49" i="22"/>
  <c r="AQ48" i="22"/>
  <c r="AQ35" i="22" s="1"/>
  <c r="AJ48" i="22"/>
  <c r="AI48" i="22"/>
  <c r="AH48" i="22"/>
  <c r="AG48" i="22"/>
  <c r="AF48" i="22"/>
  <c r="AE48" i="22"/>
  <c r="AD48" i="22"/>
  <c r="AC48" i="22"/>
  <c r="AA48" i="22"/>
  <c r="Z48" i="22"/>
  <c r="V48" i="22"/>
  <c r="T48" i="22"/>
  <c r="S48" i="22"/>
  <c r="M48" i="22"/>
  <c r="J48" i="22"/>
  <c r="C48" i="22"/>
  <c r="AO47" i="22"/>
  <c r="AN47" i="22"/>
  <c r="AM47" i="22"/>
  <c r="AL47" i="22"/>
  <c r="AB47" i="22"/>
  <c r="Y47" i="22"/>
  <c r="U47" i="22"/>
  <c r="R47" i="22"/>
  <c r="L47" i="22"/>
  <c r="I47" i="22"/>
  <c r="C47" i="22"/>
  <c r="AO46" i="22"/>
  <c r="AN46" i="22"/>
  <c r="AM46" i="22"/>
  <c r="AL46" i="22"/>
  <c r="AB46" i="22"/>
  <c r="Y46" i="22"/>
  <c r="U46" i="22"/>
  <c r="R46" i="22"/>
  <c r="L46" i="22"/>
  <c r="I46" i="22"/>
  <c r="C46" i="22"/>
  <c r="AO45" i="22"/>
  <c r="AN45" i="22"/>
  <c r="AM45" i="22"/>
  <c r="AL45" i="22"/>
  <c r="AB45" i="22"/>
  <c r="Y45" i="22"/>
  <c r="U45" i="22"/>
  <c r="R45" i="22"/>
  <c r="L45" i="22"/>
  <c r="I45" i="22"/>
  <c r="C45" i="22"/>
  <c r="AO44" i="22"/>
  <c r="AN44" i="22"/>
  <c r="AM44" i="22"/>
  <c r="AL44" i="22"/>
  <c r="AB44" i="22"/>
  <c r="Y44" i="22"/>
  <c r="U44" i="22"/>
  <c r="R44" i="22"/>
  <c r="L44" i="22"/>
  <c r="I44" i="22"/>
  <c r="C44" i="22"/>
  <c r="AO43" i="22"/>
  <c r="AN43" i="22"/>
  <c r="AM43" i="22"/>
  <c r="AL43" i="22"/>
  <c r="AB43" i="22"/>
  <c r="Y43" i="22"/>
  <c r="U43" i="22"/>
  <c r="R43" i="22"/>
  <c r="L43" i="22"/>
  <c r="I43" i="22"/>
  <c r="C43" i="22"/>
  <c r="AJ42" i="22"/>
  <c r="AI42" i="22"/>
  <c r="AH42" i="22"/>
  <c r="AG42" i="22"/>
  <c r="AF42" i="22"/>
  <c r="AE42" i="22"/>
  <c r="AD42" i="22"/>
  <c r="AC42" i="22"/>
  <c r="AA42" i="22"/>
  <c r="Z42" i="22"/>
  <c r="W42" i="22"/>
  <c r="V42" i="22"/>
  <c r="T42" i="22"/>
  <c r="S42" i="22"/>
  <c r="N42" i="22"/>
  <c r="M42" i="22"/>
  <c r="K42" i="22"/>
  <c r="J42" i="22"/>
  <c r="C42" i="22"/>
  <c r="AO41" i="22"/>
  <c r="AN41" i="22"/>
  <c r="AM41" i="22"/>
  <c r="AL41" i="22"/>
  <c r="AB41" i="22"/>
  <c r="X41" i="22" s="1"/>
  <c r="U41" i="22"/>
  <c r="R41" i="22"/>
  <c r="L41" i="22"/>
  <c r="I41" i="22"/>
  <c r="C41" i="22"/>
  <c r="AO40" i="22"/>
  <c r="AM40" i="22"/>
  <c r="AL40" i="22"/>
  <c r="AB40" i="22"/>
  <c r="X40" i="22" s="1"/>
  <c r="V40" i="22"/>
  <c r="R40" i="22"/>
  <c r="L40" i="22"/>
  <c r="I40" i="22"/>
  <c r="C40" i="22"/>
  <c r="AO39" i="22"/>
  <c r="AM39" i="22"/>
  <c r="AB39" i="22"/>
  <c r="Y39" i="22"/>
  <c r="Y36" i="22" s="1"/>
  <c r="V39" i="22"/>
  <c r="S39" i="22"/>
  <c r="R39" i="22" s="1"/>
  <c r="M39" i="22"/>
  <c r="M36" i="22" s="1"/>
  <c r="J39" i="22"/>
  <c r="I39" i="22" s="1"/>
  <c r="C39" i="22"/>
  <c r="AO38" i="22"/>
  <c r="AN38" i="22"/>
  <c r="AM38" i="22"/>
  <c r="AL38" i="22"/>
  <c r="AB38" i="22"/>
  <c r="X38" i="22" s="1"/>
  <c r="U38" i="22"/>
  <c r="R38" i="22"/>
  <c r="L38" i="22"/>
  <c r="I38" i="22"/>
  <c r="C38" i="22"/>
  <c r="AO37" i="22"/>
  <c r="AN37" i="22"/>
  <c r="AM37" i="22"/>
  <c r="AL37" i="22"/>
  <c r="AB37" i="22"/>
  <c r="X37" i="22" s="1"/>
  <c r="U37" i="22"/>
  <c r="R37" i="22"/>
  <c r="L37" i="22"/>
  <c r="I37" i="22"/>
  <c r="C37" i="22"/>
  <c r="AJ36" i="22"/>
  <c r="AI36" i="22"/>
  <c r="AH36" i="22"/>
  <c r="AG36" i="22"/>
  <c r="AF36" i="22"/>
  <c r="AE36" i="22"/>
  <c r="AD36" i="22"/>
  <c r="AC36" i="22"/>
  <c r="AA36" i="22"/>
  <c r="Z36" i="22"/>
  <c r="W36" i="22"/>
  <c r="T36" i="22"/>
  <c r="N36" i="22"/>
  <c r="K36" i="22"/>
  <c r="C36" i="22"/>
  <c r="C35" i="22"/>
  <c r="AO33" i="22"/>
  <c r="AN33" i="22"/>
  <c r="AM33" i="22"/>
  <c r="AL33" i="22"/>
  <c r="AH33" i="22"/>
  <c r="AE33" i="22"/>
  <c r="AB33" i="22"/>
  <c r="Y33" i="22"/>
  <c r="R33" i="22"/>
  <c r="O33" i="22" s="1"/>
  <c r="I33" i="22"/>
  <c r="H33" i="22" s="1"/>
  <c r="C33" i="22"/>
  <c r="AO32" i="22"/>
  <c r="AN32" i="22"/>
  <c r="AM32" i="22"/>
  <c r="AL32" i="22"/>
  <c r="Y32" i="22"/>
  <c r="X32" i="22" s="1"/>
  <c r="R32" i="22"/>
  <c r="O32" i="22" s="1"/>
  <c r="I32" i="22"/>
  <c r="H32" i="22" s="1"/>
  <c r="AO31" i="22"/>
  <c r="AN31" i="22"/>
  <c r="AL31" i="22"/>
  <c r="Y31" i="22"/>
  <c r="X31" i="22" s="1"/>
  <c r="R31" i="22"/>
  <c r="O31" i="22" s="1"/>
  <c r="I31" i="22"/>
  <c r="H31" i="22" s="1"/>
  <c r="AO30" i="22"/>
  <c r="AN30" i="22"/>
  <c r="AM30" i="22"/>
  <c r="AL30" i="22"/>
  <c r="Y30" i="22"/>
  <c r="X30" i="22" s="1"/>
  <c r="R30" i="22"/>
  <c r="O30" i="22" s="1"/>
  <c r="I30" i="22"/>
  <c r="H30" i="22" s="1"/>
  <c r="AO29" i="22"/>
  <c r="AN29" i="22"/>
  <c r="AL29" i="22"/>
  <c r="Y29" i="22"/>
  <c r="X29" i="22" s="1"/>
  <c r="R29" i="22"/>
  <c r="O29" i="22" s="1"/>
  <c r="I29" i="22"/>
  <c r="H29" i="22" s="1"/>
  <c r="AN28" i="22"/>
  <c r="AM28" i="22"/>
  <c r="AR28" i="22" s="1"/>
  <c r="AL28" i="22"/>
  <c r="Y28" i="22"/>
  <c r="X28" i="22" s="1"/>
  <c r="R28" i="22"/>
  <c r="O28" i="22" s="1"/>
  <c r="I28" i="22"/>
  <c r="H28" i="22" s="1"/>
  <c r="AN27" i="22"/>
  <c r="AL27" i="22"/>
  <c r="Y27" i="22"/>
  <c r="X27" i="22" s="1"/>
  <c r="R27" i="22"/>
  <c r="O27" i="22" s="1"/>
  <c r="I27" i="22"/>
  <c r="H27" i="22" s="1"/>
  <c r="AN26" i="22"/>
  <c r="AM26" i="22"/>
  <c r="AL26" i="22"/>
  <c r="Y26" i="22"/>
  <c r="X26" i="22" s="1"/>
  <c r="R26" i="22"/>
  <c r="O26" i="22" s="1"/>
  <c r="I26" i="22"/>
  <c r="H26" i="22" s="1"/>
  <c r="AO25" i="22"/>
  <c r="AN25" i="22"/>
  <c r="AM25" i="22"/>
  <c r="AL25" i="22"/>
  <c r="Y25" i="22"/>
  <c r="X25" i="22" s="1"/>
  <c r="R25" i="22"/>
  <c r="O25" i="22" s="1"/>
  <c r="I25" i="22"/>
  <c r="H25" i="22" s="1"/>
  <c r="C25" i="22"/>
  <c r="AO24" i="22"/>
  <c r="AN24" i="22"/>
  <c r="AM24" i="22"/>
  <c r="AR24" i="22" s="1"/>
  <c r="AL24" i="22"/>
  <c r="AE24" i="22"/>
  <c r="AB24" i="22"/>
  <c r="Y24" i="22"/>
  <c r="R24" i="22"/>
  <c r="O24" i="22" s="1"/>
  <c r="I24" i="22"/>
  <c r="H24" i="22" s="1"/>
  <c r="C24" i="22"/>
  <c r="AO23" i="22"/>
  <c r="AN23" i="22"/>
  <c r="AM23" i="22"/>
  <c r="AL23" i="22"/>
  <c r="AE23" i="22"/>
  <c r="AB23" i="22"/>
  <c r="Y23" i="22"/>
  <c r="U23" i="22"/>
  <c r="O23" i="22" s="1"/>
  <c r="L23" i="22"/>
  <c r="I23" i="22"/>
  <c r="C23" i="22"/>
  <c r="AO22" i="22"/>
  <c r="AN22" i="22"/>
  <c r="AM22" i="22"/>
  <c r="AL22" i="22"/>
  <c r="AE22" i="22"/>
  <c r="AB22" i="22"/>
  <c r="Y22" i="22"/>
  <c r="U22" i="22"/>
  <c r="O22" i="22" s="1"/>
  <c r="L22" i="22"/>
  <c r="I22" i="22"/>
  <c r="C22" i="22"/>
  <c r="AO21" i="22"/>
  <c r="AN21" i="22"/>
  <c r="AM21" i="22"/>
  <c r="AL21" i="22"/>
  <c r="AE21" i="22"/>
  <c r="AB21" i="22"/>
  <c r="Y21" i="22"/>
  <c r="U21" i="22"/>
  <c r="O21" i="22" s="1"/>
  <c r="L21" i="22"/>
  <c r="I21" i="22"/>
  <c r="C21" i="22"/>
  <c r="AN20" i="22"/>
  <c r="AM20" i="22"/>
  <c r="AL20" i="22"/>
  <c r="AH20" i="22"/>
  <c r="AE20" i="22"/>
  <c r="AB20" i="22"/>
  <c r="Y20" i="22"/>
  <c r="W20" i="22"/>
  <c r="N20" i="22"/>
  <c r="L20" i="22" s="1"/>
  <c r="H20" i="22" s="1"/>
  <c r="C20" i="22"/>
  <c r="AN19" i="22"/>
  <c r="AM19" i="22"/>
  <c r="AL19" i="22"/>
  <c r="AH19" i="22"/>
  <c r="AE19" i="22"/>
  <c r="AB19" i="22"/>
  <c r="Y19" i="22"/>
  <c r="W19" i="22"/>
  <c r="N19" i="22"/>
  <c r="I19" i="22"/>
  <c r="C19" i="22"/>
  <c r="AO18" i="22"/>
  <c r="AN18" i="22"/>
  <c r="AM18" i="22"/>
  <c r="AL18" i="22"/>
  <c r="AH18" i="22"/>
  <c r="AE18" i="22"/>
  <c r="AB18" i="22"/>
  <c r="Y18" i="22"/>
  <c r="U18" i="22"/>
  <c r="R18" i="22"/>
  <c r="L18" i="22"/>
  <c r="I18" i="22"/>
  <c r="C18" i="22"/>
  <c r="AO17" i="22"/>
  <c r="AN17" i="22"/>
  <c r="AM17" i="22"/>
  <c r="AL17" i="22"/>
  <c r="AH17" i="22"/>
  <c r="AE17" i="22"/>
  <c r="AB17" i="22"/>
  <c r="Y17" i="22"/>
  <c r="U17" i="22"/>
  <c r="O17" i="22" s="1"/>
  <c r="L17" i="22"/>
  <c r="I17" i="22"/>
  <c r="C17" i="22"/>
  <c r="AM16" i="22"/>
  <c r="AL16" i="22"/>
  <c r="AH16" i="22"/>
  <c r="AE16" i="22"/>
  <c r="AD16" i="22"/>
  <c r="AB16" i="22" s="1"/>
  <c r="Y16" i="22"/>
  <c r="W16" i="22"/>
  <c r="V16" i="22"/>
  <c r="L16" i="22"/>
  <c r="I16" i="22"/>
  <c r="C16" i="22"/>
  <c r="AO15" i="22"/>
  <c r="AM15" i="22"/>
  <c r="AL15" i="22"/>
  <c r="AH15" i="22"/>
  <c r="AE15" i="22"/>
  <c r="AB15" i="22"/>
  <c r="Y15" i="22"/>
  <c r="V15" i="22"/>
  <c r="L15" i="22"/>
  <c r="I15" i="22"/>
  <c r="C15" i="22"/>
  <c r="AN14" i="22"/>
  <c r="AM14" i="22"/>
  <c r="AL14" i="22"/>
  <c r="AH14" i="22"/>
  <c r="AE14" i="22"/>
  <c r="AD14" i="22"/>
  <c r="AB14" i="22" s="1"/>
  <c r="Y14" i="22"/>
  <c r="W14" i="22"/>
  <c r="N31" i="7" s="1"/>
  <c r="L14" i="22"/>
  <c r="I14" i="22"/>
  <c r="C14" i="22"/>
  <c r="AQ13" i="22"/>
  <c r="AJ13" i="22"/>
  <c r="AI13" i="22"/>
  <c r="AG13" i="22"/>
  <c r="AF13" i="22"/>
  <c r="AC13" i="22"/>
  <c r="AA13" i="22"/>
  <c r="Z13" i="22"/>
  <c r="T13" i="22"/>
  <c r="S13" i="22"/>
  <c r="M13" i="22"/>
  <c r="K13" i="22"/>
  <c r="J13" i="22"/>
  <c r="G13" i="22"/>
  <c r="F13" i="22"/>
  <c r="E13" i="22"/>
  <c r="D13" i="22"/>
  <c r="Q16" i="22" l="1"/>
  <c r="N33" i="7"/>
  <c r="U50" i="22"/>
  <c r="U40" i="7"/>
  <c r="Q72" i="22"/>
  <c r="U33" i="7"/>
  <c r="U78" i="22"/>
  <c r="U37" i="7"/>
  <c r="U39" i="22"/>
  <c r="R35" i="7"/>
  <c r="P15" i="22"/>
  <c r="K32" i="7"/>
  <c r="P61" i="22"/>
  <c r="R33" i="7"/>
  <c r="U20" i="22"/>
  <c r="O20" i="22" s="1"/>
  <c r="N37" i="7"/>
  <c r="U52" i="22"/>
  <c r="U35" i="7"/>
  <c r="AN16" i="22"/>
  <c r="K33" i="7"/>
  <c r="U19" i="22"/>
  <c r="O19" i="22" s="1"/>
  <c r="N36" i="7"/>
  <c r="U40" i="22"/>
  <c r="R36" i="7"/>
  <c r="W48" i="22"/>
  <c r="U39" i="7"/>
  <c r="Q53" i="22"/>
  <c r="U36" i="7"/>
  <c r="L84" i="22"/>
  <c r="U90" i="22"/>
  <c r="P67" i="22"/>
  <c r="R37" i="7"/>
  <c r="AO72" i="22"/>
  <c r="S36" i="22"/>
  <c r="S35" i="22" s="1"/>
  <c r="L66" i="22"/>
  <c r="H66" i="22" s="1"/>
  <c r="AO314" i="22"/>
  <c r="AK314" i="22" s="1"/>
  <c r="J36" i="22"/>
  <c r="J35" i="22" s="1"/>
  <c r="P39" i="22"/>
  <c r="L71" i="22"/>
  <c r="H71" i="22" s="1"/>
  <c r="U72" i="22"/>
  <c r="U70" i="22" s="1"/>
  <c r="L73" i="22"/>
  <c r="C278" i="22"/>
  <c r="C349" i="22"/>
  <c r="I534" i="22"/>
  <c r="H534" i="22" s="1"/>
  <c r="E280" i="22"/>
  <c r="G358" i="22"/>
  <c r="AO358" i="22" s="1"/>
  <c r="E266" i="22"/>
  <c r="E265" i="22" s="1"/>
  <c r="AO14" i="22"/>
  <c r="AK14" i="22" s="1"/>
  <c r="AO78" i="22"/>
  <c r="W81" i="22"/>
  <c r="Q81" i="22" s="1"/>
  <c r="AO312" i="22"/>
  <c r="AK312" i="22" s="1"/>
  <c r="AN566" i="22"/>
  <c r="E184" i="22"/>
  <c r="AN339" i="22"/>
  <c r="F583" i="22"/>
  <c r="AO566" i="22"/>
  <c r="V13" i="22"/>
  <c r="P13" i="22" s="1"/>
  <c r="K339" i="22"/>
  <c r="U16" i="22"/>
  <c r="O16" i="22" s="1"/>
  <c r="L60" i="22"/>
  <c r="H60" i="22" s="1"/>
  <c r="L74" i="22"/>
  <c r="H74" i="22" s="1"/>
  <c r="L76" i="22"/>
  <c r="H76" i="22" s="1"/>
  <c r="AO90" i="22"/>
  <c r="AK90" i="22" s="1"/>
  <c r="C314" i="22"/>
  <c r="C309" i="22" s="1"/>
  <c r="I533" i="22"/>
  <c r="H533" i="22" s="1"/>
  <c r="M583" i="22"/>
  <c r="L87" i="22"/>
  <c r="H87" i="22" s="1"/>
  <c r="L103" i="22"/>
  <c r="L95" i="22" s="1"/>
  <c r="U211" i="22"/>
  <c r="O211" i="22" s="1"/>
  <c r="K266" i="22"/>
  <c r="K265" i="22" s="1"/>
  <c r="K264" i="22" s="1"/>
  <c r="U312" i="22"/>
  <c r="O312" i="22" s="1"/>
  <c r="K406" i="22"/>
  <c r="E600" i="22"/>
  <c r="E583" i="22" s="1"/>
  <c r="C601" i="22"/>
  <c r="C600" i="22" s="1"/>
  <c r="G9" i="12"/>
  <c r="G8" i="12" s="1"/>
  <c r="U15" i="22"/>
  <c r="O15" i="22" s="1"/>
  <c r="AN15" i="22"/>
  <c r="AK15" i="22" s="1"/>
  <c r="K48" i="22"/>
  <c r="K35" i="22" s="1"/>
  <c r="U64" i="22"/>
  <c r="O64" i="22" s="1"/>
  <c r="W70" i="22"/>
  <c r="Q70" i="22" s="1"/>
  <c r="L72" i="22"/>
  <c r="L78" i="22"/>
  <c r="H78" i="22" s="1"/>
  <c r="L83" i="22"/>
  <c r="H83" i="22" s="1"/>
  <c r="L86" i="22"/>
  <c r="H86" i="22" s="1"/>
  <c r="N95" i="22"/>
  <c r="AO100" i="22"/>
  <c r="AO95" i="22" s="1"/>
  <c r="AD309" i="22"/>
  <c r="AD264" i="22" s="1"/>
  <c r="AD256" i="22" s="1"/>
  <c r="U316" i="22"/>
  <c r="O316" i="22" s="1"/>
  <c r="C362" i="22"/>
  <c r="C350" i="22"/>
  <c r="C359" i="22"/>
  <c r="I535" i="22"/>
  <c r="H535" i="22" s="1"/>
  <c r="AM416" i="22"/>
  <c r="AK416" i="22" s="1"/>
  <c r="AO50" i="22"/>
  <c r="AK50" i="22" s="1"/>
  <c r="AO51" i="22"/>
  <c r="AK51" i="22" s="1"/>
  <c r="AO52" i="22"/>
  <c r="AK52" i="22" s="1"/>
  <c r="K184" i="22"/>
  <c r="Z184" i="22"/>
  <c r="Z183" i="22" s="1"/>
  <c r="G309" i="22"/>
  <c r="W309" i="22"/>
  <c r="Q309" i="22" s="1"/>
  <c r="E381" i="22"/>
  <c r="K467" i="22"/>
  <c r="AM468" i="22"/>
  <c r="AK468" i="22" s="1"/>
  <c r="AO91" i="22"/>
  <c r="AK91" i="22" s="1"/>
  <c r="U218" i="22"/>
  <c r="O218" i="22" s="1"/>
  <c r="AN218" i="22"/>
  <c r="AK218" i="22" s="1"/>
  <c r="U269" i="22"/>
  <c r="O269" i="22" s="1"/>
  <c r="AB314" i="22"/>
  <c r="X314" i="22" s="1"/>
  <c r="I340" i="22"/>
  <c r="H340" i="22" s="1"/>
  <c r="I341" i="22"/>
  <c r="H341" i="22" s="1"/>
  <c r="E342" i="22"/>
  <c r="C353" i="22"/>
  <c r="C382" i="22"/>
  <c r="C387" i="22"/>
  <c r="C389" i="22"/>
  <c r="C393" i="22"/>
  <c r="I440" i="22"/>
  <c r="H440" i="22" s="1"/>
  <c r="AM556" i="22"/>
  <c r="AK556" i="22" s="1"/>
  <c r="Q389" i="22"/>
  <c r="Q289" i="22"/>
  <c r="Q244" i="22"/>
  <c r="Q125" i="22"/>
  <c r="Q78" i="22"/>
  <c r="Q51" i="22"/>
  <c r="Q20" i="22"/>
  <c r="W13" i="22"/>
  <c r="Q13" i="22" s="1"/>
  <c r="G381" i="22"/>
  <c r="Q316" i="22"/>
  <c r="Q312" i="22"/>
  <c r="P211" i="22"/>
  <c r="P16" i="22"/>
  <c r="AO19" i="22"/>
  <c r="AK19" i="22" s="1"/>
  <c r="I49" i="22"/>
  <c r="I48" i="22" s="1"/>
  <c r="AO53" i="22"/>
  <c r="AK53" i="22" s="1"/>
  <c r="L65" i="22"/>
  <c r="H65" i="22" s="1"/>
  <c r="AM277" i="22"/>
  <c r="AO359" i="22"/>
  <c r="AK359" i="22" s="1"/>
  <c r="D583" i="22"/>
  <c r="Q14" i="22"/>
  <c r="Q275" i="22"/>
  <c r="Q100" i="22"/>
  <c r="Q52" i="22"/>
  <c r="Q50" i="22"/>
  <c r="Q19" i="22"/>
  <c r="L63" i="22"/>
  <c r="H63" i="22" s="1"/>
  <c r="L69" i="22"/>
  <c r="H69" i="22" s="1"/>
  <c r="N70" i="22"/>
  <c r="L75" i="22"/>
  <c r="H75" i="22" s="1"/>
  <c r="W118" i="22"/>
  <c r="Q118" i="22" s="1"/>
  <c r="U125" i="22"/>
  <c r="U118" i="22" s="1"/>
  <c r="R244" i="22"/>
  <c r="O244" i="22" s="1"/>
  <c r="O243" i="22" s="1"/>
  <c r="L412" i="22"/>
  <c r="H412" i="22" s="1"/>
  <c r="C556" i="22"/>
  <c r="Q269" i="22"/>
  <c r="P214" i="22"/>
  <c r="P40" i="22"/>
  <c r="H361" i="22"/>
  <c r="H375" i="22"/>
  <c r="X502" i="22"/>
  <c r="O392" i="22"/>
  <c r="AB330" i="22"/>
  <c r="H367" i="22"/>
  <c r="O388" i="22"/>
  <c r="H398" i="22"/>
  <c r="X421" i="22"/>
  <c r="H428" i="22"/>
  <c r="Q624" i="22"/>
  <c r="I581" i="22"/>
  <c r="AR583" i="22"/>
  <c r="H591" i="22"/>
  <c r="H595" i="22"/>
  <c r="I377" i="22"/>
  <c r="K132" i="22"/>
  <c r="K131" i="22" s="1"/>
  <c r="T132" i="22"/>
  <c r="T131" i="22" s="1"/>
  <c r="AD184" i="22"/>
  <c r="AD183" i="22" s="1"/>
  <c r="AL261" i="22"/>
  <c r="E309" i="22"/>
  <c r="AH330" i="22"/>
  <c r="H625" i="22"/>
  <c r="H624" i="22" s="1"/>
  <c r="AK639" i="22"/>
  <c r="E183" i="22"/>
  <c r="AI184" i="22"/>
  <c r="AI183" i="22" s="1"/>
  <c r="M184" i="22"/>
  <c r="W184" i="22"/>
  <c r="W183" i="22" s="1"/>
  <c r="O212" i="22"/>
  <c r="O213" i="22"/>
  <c r="O219" i="22"/>
  <c r="H17" i="22"/>
  <c r="H21" i="22"/>
  <c r="H37" i="22"/>
  <c r="O85" i="22"/>
  <c r="P170" i="22"/>
  <c r="U385" i="22"/>
  <c r="O385" i="22" s="1"/>
  <c r="AO385" i="22"/>
  <c r="AK385" i="22" s="1"/>
  <c r="O387" i="22"/>
  <c r="AO518" i="22"/>
  <c r="O541" i="22"/>
  <c r="L602" i="22"/>
  <c r="H616" i="22"/>
  <c r="P618" i="22"/>
  <c r="O561" i="22"/>
  <c r="F58" i="22"/>
  <c r="F34" i="22" s="1"/>
  <c r="F12" i="22" s="1"/>
  <c r="X65" i="22"/>
  <c r="X82" i="22"/>
  <c r="O87" i="22"/>
  <c r="O88" i="22"/>
  <c r="H90" i="22"/>
  <c r="O91" i="22"/>
  <c r="H92" i="22"/>
  <c r="X92" i="22"/>
  <c r="X97" i="22"/>
  <c r="O100" i="22"/>
  <c r="H302" i="22"/>
  <c r="H305" i="22"/>
  <c r="H306" i="22"/>
  <c r="H310" i="22"/>
  <c r="AB325" i="22"/>
  <c r="AK470" i="22"/>
  <c r="O474" i="22"/>
  <c r="H492" i="22"/>
  <c r="AM492" i="22"/>
  <c r="H552" i="22"/>
  <c r="AM220" i="22"/>
  <c r="H313" i="22"/>
  <c r="P500" i="22"/>
  <c r="C293" i="22"/>
  <c r="AK374" i="22"/>
  <c r="H16" i="22"/>
  <c r="H23" i="22"/>
  <c r="O47" i="22"/>
  <c r="H122" i="22"/>
  <c r="AF184" i="22"/>
  <c r="AF183" i="22" s="1"/>
  <c r="C236" i="22"/>
  <c r="H287" i="22"/>
  <c r="AO293" i="22"/>
  <c r="AN296" i="22"/>
  <c r="O301" i="22"/>
  <c r="X340" i="22"/>
  <c r="P342" i="22"/>
  <c r="O360" i="22"/>
  <c r="H362" i="22"/>
  <c r="O370" i="22"/>
  <c r="H385" i="22"/>
  <c r="O399" i="22"/>
  <c r="O403" i="22"/>
  <c r="H427" i="22"/>
  <c r="H434" i="22"/>
  <c r="AK434" i="22"/>
  <c r="Q437" i="22"/>
  <c r="AL437" i="22"/>
  <c r="P444" i="22"/>
  <c r="H450" i="22"/>
  <c r="AK455" i="22"/>
  <c r="H468" i="22"/>
  <c r="H482" i="22"/>
  <c r="O499" i="22"/>
  <c r="O502" i="22"/>
  <c r="O538" i="22"/>
  <c r="AH614" i="22"/>
  <c r="AH583" i="22" s="1"/>
  <c r="U618" i="22"/>
  <c r="O621" i="22"/>
  <c r="O620" i="22" s="1"/>
  <c r="P624" i="22"/>
  <c r="P638" i="22"/>
  <c r="Z35" i="22"/>
  <c r="O40" i="22"/>
  <c r="AQ34" i="22"/>
  <c r="AQ12" i="22" s="1"/>
  <c r="AQ11" i="22" s="1"/>
  <c r="D58" i="22"/>
  <c r="D34" i="22" s="1"/>
  <c r="D12" i="22" s="1"/>
  <c r="D11" i="22" s="1"/>
  <c r="X86" i="22"/>
  <c r="X99" i="22"/>
  <c r="H211" i="22"/>
  <c r="AQ236" i="22"/>
  <c r="H312" i="22"/>
  <c r="AM325" i="22"/>
  <c r="O512" i="22"/>
  <c r="H555" i="22"/>
  <c r="H596" i="22"/>
  <c r="X631" i="22"/>
  <c r="X630" i="22" s="1"/>
  <c r="R250" i="22"/>
  <c r="O253" i="22"/>
  <c r="O252" i="22" s="1"/>
  <c r="H289" i="22"/>
  <c r="W296" i="22"/>
  <c r="AO296" i="22" s="1"/>
  <c r="U298" i="22"/>
  <c r="O298" i="22" s="1"/>
  <c r="AM622" i="22"/>
  <c r="H307" i="22"/>
  <c r="H318" i="22"/>
  <c r="I417" i="22"/>
  <c r="AK469" i="22"/>
  <c r="H549" i="22"/>
  <c r="H569" i="22"/>
  <c r="H571" i="22"/>
  <c r="AN589" i="22"/>
  <c r="P600" i="22"/>
  <c r="P632" i="22"/>
  <c r="Y95" i="22"/>
  <c r="AK45" i="22"/>
  <c r="AD35" i="22"/>
  <c r="Q55" i="22"/>
  <c r="AK28" i="22"/>
  <c r="AP28" i="22" s="1"/>
  <c r="AK18" i="22"/>
  <c r="O18" i="22"/>
  <c r="X39" i="22"/>
  <c r="X36" i="22" s="1"/>
  <c r="E58" i="22"/>
  <c r="E34" i="22" s="1"/>
  <c r="E12" i="22" s="1"/>
  <c r="X67" i="22"/>
  <c r="O75" i="22"/>
  <c r="O105" i="22"/>
  <c r="H109" i="22"/>
  <c r="O111" i="22"/>
  <c r="H114" i="22"/>
  <c r="X114" i="22"/>
  <c r="H125" i="22"/>
  <c r="J132" i="22"/>
  <c r="J131" i="22" s="1"/>
  <c r="AF132" i="22"/>
  <c r="AF131" i="22" s="1"/>
  <c r="V132" i="22"/>
  <c r="V131" i="22" s="1"/>
  <c r="AG132" i="22"/>
  <c r="AG131" i="22" s="1"/>
  <c r="AC140" i="22"/>
  <c r="Y141" i="22"/>
  <c r="AO145" i="22"/>
  <c r="M154" i="22"/>
  <c r="W154" i="22"/>
  <c r="H164" i="22"/>
  <c r="P178" i="22"/>
  <c r="AN178" i="22"/>
  <c r="AG184" i="22"/>
  <c r="AG183" i="22" s="1"/>
  <c r="H210" i="22"/>
  <c r="C220" i="22"/>
  <c r="R257" i="22"/>
  <c r="AI264" i="22"/>
  <c r="AI256" i="22" s="1"/>
  <c r="H269" i="22"/>
  <c r="P266" i="22"/>
  <c r="H276" i="22"/>
  <c r="AK297" i="22"/>
  <c r="H324" i="22"/>
  <c r="I330" i="22"/>
  <c r="X334" i="22"/>
  <c r="AL358" i="22"/>
  <c r="P358" i="22"/>
  <c r="X408" i="22"/>
  <c r="H410" i="22"/>
  <c r="H415" i="22"/>
  <c r="H419" i="22"/>
  <c r="X419" i="22"/>
  <c r="O429" i="22"/>
  <c r="H459" i="22"/>
  <c r="H478" i="22"/>
  <c r="AO492" i="22"/>
  <c r="Q544" i="22"/>
  <c r="O575" i="22"/>
  <c r="O576" i="22"/>
  <c r="AK585" i="22"/>
  <c r="N583" i="22"/>
  <c r="P598" i="22"/>
  <c r="R602" i="22"/>
  <c r="R608" i="22"/>
  <c r="O631" i="22"/>
  <c r="O630" i="22" s="1"/>
  <c r="AK636" i="22"/>
  <c r="G58" i="22"/>
  <c r="G34" i="22" s="1"/>
  <c r="G12" i="22" s="1"/>
  <c r="O73" i="22"/>
  <c r="O77" i="22"/>
  <c r="O106" i="22"/>
  <c r="H107" i="22"/>
  <c r="AK110" i="22"/>
  <c r="H115" i="22"/>
  <c r="H123" i="22"/>
  <c r="AK123" i="22"/>
  <c r="X124" i="22"/>
  <c r="H127" i="22"/>
  <c r="AK147" i="22"/>
  <c r="R155" i="22"/>
  <c r="AL163" i="22"/>
  <c r="J162" i="22"/>
  <c r="R162" i="22"/>
  <c r="AL168" i="22"/>
  <c r="F184" i="22"/>
  <c r="F183" i="22" s="1"/>
  <c r="Z264" i="22"/>
  <c r="Z256" i="22" s="1"/>
  <c r="AF264" i="22"/>
  <c r="AF256" i="22" s="1"/>
  <c r="AQ264" i="22"/>
  <c r="AQ256" i="22" s="1"/>
  <c r="U271" i="22"/>
  <c r="O271" i="22" s="1"/>
  <c r="H272" i="22"/>
  <c r="V280" i="22"/>
  <c r="H281" i="22"/>
  <c r="X285" i="22"/>
  <c r="AN285" i="22"/>
  <c r="AN280" i="22" s="1"/>
  <c r="H328" i="22"/>
  <c r="U330" i="22"/>
  <c r="X333" i="22"/>
  <c r="Y342" i="22"/>
  <c r="O365" i="22"/>
  <c r="AK409" i="22"/>
  <c r="H413" i="22"/>
  <c r="W413" i="22" s="1"/>
  <c r="Q413" i="22" s="1"/>
  <c r="O415" i="22"/>
  <c r="O418" i="22"/>
  <c r="AH417" i="22"/>
  <c r="H421" i="22"/>
  <c r="X422" i="22"/>
  <c r="O424" i="22"/>
  <c r="O425" i="22"/>
  <c r="O446" i="22"/>
  <c r="O458" i="22"/>
  <c r="X484" i="22"/>
  <c r="O485" i="22"/>
  <c r="H487" i="22"/>
  <c r="O489" i="22"/>
  <c r="O490" i="22"/>
  <c r="AN518" i="22"/>
  <c r="O521" i="22"/>
  <c r="O531" i="22"/>
  <c r="O530" i="22" s="1"/>
  <c r="AM537" i="22"/>
  <c r="O554" i="22"/>
  <c r="I579" i="22"/>
  <c r="X623" i="22"/>
  <c r="X622" i="22" s="1"/>
  <c r="AM624" i="22"/>
  <c r="AL630" i="22"/>
  <c r="P630" i="22"/>
  <c r="AO630" i="22"/>
  <c r="AK633" i="22"/>
  <c r="P118" i="22"/>
  <c r="Q170" i="22"/>
  <c r="X324" i="22"/>
  <c r="P480" i="22"/>
  <c r="Q492" i="22"/>
  <c r="Q524" i="22"/>
  <c r="AK569" i="22"/>
  <c r="AK571" i="22"/>
  <c r="Z583" i="22"/>
  <c r="AD583" i="22"/>
  <c r="X18" i="22"/>
  <c r="R42" i="22"/>
  <c r="AE13" i="22"/>
  <c r="Y42" i="22"/>
  <c r="AJ58" i="22"/>
  <c r="L104" i="22"/>
  <c r="Q36" i="22"/>
  <c r="AF35" i="22"/>
  <c r="AJ35" i="22"/>
  <c r="H38" i="22"/>
  <c r="X55" i="22"/>
  <c r="AO55" i="22"/>
  <c r="AL55" i="22"/>
  <c r="O65" i="22"/>
  <c r="H67" i="22"/>
  <c r="O71" i="22"/>
  <c r="H91" i="22"/>
  <c r="H101" i="22"/>
  <c r="H108" i="22"/>
  <c r="O110" i="22"/>
  <c r="H113" i="22"/>
  <c r="O127" i="22"/>
  <c r="H128" i="22"/>
  <c r="X128" i="22"/>
  <c r="AK130" i="22"/>
  <c r="AP130" i="22" s="1"/>
  <c r="W132" i="22"/>
  <c r="W131" i="22" s="1"/>
  <c r="AD132" i="22"/>
  <c r="AD131" i="22" s="1"/>
  <c r="AJ132" i="22"/>
  <c r="AJ131" i="22" s="1"/>
  <c r="K140" i="22"/>
  <c r="Q141" i="22"/>
  <c r="AA140" i="22"/>
  <c r="Q145" i="22"/>
  <c r="Z154" i="22"/>
  <c r="Q160" i="22"/>
  <c r="Q174" i="22"/>
  <c r="Q176" i="22"/>
  <c r="Y176" i="22"/>
  <c r="AJ184" i="22"/>
  <c r="AJ183" i="22" s="1"/>
  <c r="N184" i="22"/>
  <c r="H214" i="22"/>
  <c r="AM225" i="22"/>
  <c r="AR236" i="22"/>
  <c r="X270" i="22"/>
  <c r="H271" i="22"/>
  <c r="X271" i="22"/>
  <c r="H274" i="22"/>
  <c r="X297" i="22"/>
  <c r="AK299" i="22"/>
  <c r="H301" i="22"/>
  <c r="AK308" i="22"/>
  <c r="P309" i="22"/>
  <c r="O310" i="22"/>
  <c r="H314" i="22"/>
  <c r="AL325" i="22"/>
  <c r="H333" i="22"/>
  <c r="C335" i="22"/>
  <c r="Q339" i="22"/>
  <c r="AE339" i="22"/>
  <c r="O343" i="22"/>
  <c r="O342" i="22" s="1"/>
  <c r="O363" i="22"/>
  <c r="AK364" i="22"/>
  <c r="O375" i="22"/>
  <c r="Q377" i="22"/>
  <c r="AK392" i="22"/>
  <c r="H395" i="22"/>
  <c r="H400" i="22"/>
  <c r="AK400" i="22"/>
  <c r="H404" i="22"/>
  <c r="O409" i="22"/>
  <c r="O410" i="22"/>
  <c r="H418" i="22"/>
  <c r="AK428" i="22"/>
  <c r="AH35" i="22"/>
  <c r="AK44" i="22"/>
  <c r="AK57" i="22"/>
  <c r="AP57" i="22" s="1"/>
  <c r="X61" i="22"/>
  <c r="X63" i="22"/>
  <c r="AN64" i="22"/>
  <c r="AK64" i="22" s="1"/>
  <c r="J58" i="22"/>
  <c r="AO104" i="22"/>
  <c r="H110" i="22"/>
  <c r="O128" i="22"/>
  <c r="AA154" i="22"/>
  <c r="AE154" i="22"/>
  <c r="AI154" i="22"/>
  <c r="AO160" i="22"/>
  <c r="X161" i="22"/>
  <c r="X160" i="22" s="1"/>
  <c r="H181" i="22"/>
  <c r="AM209" i="22"/>
  <c r="AM185" i="22" s="1"/>
  <c r="Q209" i="22"/>
  <c r="AH220" i="22"/>
  <c r="AO220" i="22"/>
  <c r="AO237" i="22"/>
  <c r="AG236" i="22"/>
  <c r="AL257" i="22"/>
  <c r="X259" i="22"/>
  <c r="X257" i="22" s="1"/>
  <c r="M264" i="22"/>
  <c r="M256" i="22" s="1"/>
  <c r="AA264" i="22"/>
  <c r="AA256" i="22" s="1"/>
  <c r="AR264" i="22"/>
  <c r="AR256" i="22" s="1"/>
  <c r="X276" i="22"/>
  <c r="H291" i="22"/>
  <c r="H321" i="22"/>
  <c r="AM321" i="22"/>
  <c r="AK321" i="22" s="1"/>
  <c r="H323" i="22"/>
  <c r="AK323" i="22"/>
  <c r="O327" i="22"/>
  <c r="R330" i="22"/>
  <c r="AM339" i="22"/>
  <c r="H363" i="22"/>
  <c r="AO366" i="22"/>
  <c r="H371" i="22"/>
  <c r="AK372" i="22"/>
  <c r="H374" i="22"/>
  <c r="L394" i="22"/>
  <c r="O400" i="22"/>
  <c r="O404" i="22"/>
  <c r="X405" i="22"/>
  <c r="I406" i="22"/>
  <c r="AK407" i="22"/>
  <c r="AH406" i="22"/>
  <c r="O411" i="22"/>
  <c r="Y417" i="22"/>
  <c r="Q104" i="22"/>
  <c r="AC132" i="22"/>
  <c r="AC131" i="22" s="1"/>
  <c r="P135" i="22"/>
  <c r="U141" i="22"/>
  <c r="X143" i="22"/>
  <c r="P145" i="22"/>
  <c r="AA184" i="22"/>
  <c r="AA183" i="22" s="1"/>
  <c r="AH185" i="22"/>
  <c r="AK216" i="22"/>
  <c r="J184" i="22"/>
  <c r="AK230" i="22"/>
  <c r="AC236" i="22"/>
  <c r="AK238" i="22"/>
  <c r="R239" i="22"/>
  <c r="F264" i="22"/>
  <c r="F256" i="22" s="1"/>
  <c r="F235" i="22" s="1"/>
  <c r="F234" i="22" s="1"/>
  <c r="AK282" i="22"/>
  <c r="X320" i="22"/>
  <c r="AK331" i="22"/>
  <c r="AK347" i="22"/>
  <c r="X384" i="22"/>
  <c r="X386" i="22"/>
  <c r="AK389" i="22"/>
  <c r="X402" i="22"/>
  <c r="X403" i="22"/>
  <c r="O422" i="22"/>
  <c r="H424" i="22"/>
  <c r="AK426" i="22"/>
  <c r="X428" i="22"/>
  <c r="P430" i="22"/>
  <c r="X432" i="22"/>
  <c r="O434" i="22"/>
  <c r="X435" i="22"/>
  <c r="O448" i="22"/>
  <c r="O452" i="22"/>
  <c r="O464" i="22"/>
  <c r="H469" i="22"/>
  <c r="H473" i="22"/>
  <c r="H477" i="22"/>
  <c r="O481" i="22"/>
  <c r="H483" i="22"/>
  <c r="X483" i="22"/>
  <c r="H485" i="22"/>
  <c r="O487" i="22"/>
  <c r="H489" i="22"/>
  <c r="AK490" i="22"/>
  <c r="AK491" i="22"/>
  <c r="I495" i="22"/>
  <c r="X496" i="22"/>
  <c r="X495" i="22" s="1"/>
  <c r="O506" i="22"/>
  <c r="X507" i="22"/>
  <c r="AK510" i="22"/>
  <c r="AK511" i="22"/>
  <c r="O515" i="22"/>
  <c r="O516" i="22"/>
  <c r="O519" i="22"/>
  <c r="O525" i="22"/>
  <c r="O524" i="22" s="1"/>
  <c r="Q530" i="22"/>
  <c r="P532" i="22"/>
  <c r="U532" i="22"/>
  <c r="AO532" i="22"/>
  <c r="O535" i="22"/>
  <c r="H538" i="22"/>
  <c r="I540" i="22"/>
  <c r="I542" i="22"/>
  <c r="O552" i="22"/>
  <c r="AN557" i="22"/>
  <c r="I564" i="22"/>
  <c r="O567" i="22"/>
  <c r="O570" i="22"/>
  <c r="O572" i="22"/>
  <c r="U581" i="22"/>
  <c r="O581" i="22" s="1"/>
  <c r="AO584" i="22"/>
  <c r="Y586" i="22"/>
  <c r="W583" i="22"/>
  <c r="I589" i="22"/>
  <c r="O589" i="22"/>
  <c r="H594" i="22"/>
  <c r="AK595" i="22"/>
  <c r="X596" i="22"/>
  <c r="H603" i="22"/>
  <c r="AK603" i="22"/>
  <c r="O604" i="22"/>
  <c r="H607" i="22"/>
  <c r="AK607" i="22"/>
  <c r="H611" i="22"/>
  <c r="H610" i="22" s="1"/>
  <c r="X611" i="22"/>
  <c r="X610" i="22" s="1"/>
  <c r="AK613" i="22"/>
  <c r="X617" i="22"/>
  <c r="Q626" i="22"/>
  <c r="R632" i="22"/>
  <c r="X633" i="22"/>
  <c r="X632" i="22" s="1"/>
  <c r="P634" i="22"/>
  <c r="H635" i="22"/>
  <c r="H634" i="22" s="1"/>
  <c r="O431" i="22"/>
  <c r="H445" i="22"/>
  <c r="H449" i="22"/>
  <c r="AK458" i="22"/>
  <c r="H474" i="22"/>
  <c r="X474" i="22"/>
  <c r="O476" i="22"/>
  <c r="AK499" i="22"/>
  <c r="AK501" i="22"/>
  <c r="L546" i="22"/>
  <c r="AM546" i="22"/>
  <c r="H576" i="22"/>
  <c r="AK576" i="22"/>
  <c r="V583" i="22"/>
  <c r="U586" i="22"/>
  <c r="H601" i="22"/>
  <c r="H600" i="22" s="1"/>
  <c r="AK609" i="22"/>
  <c r="AK617" i="22"/>
  <c r="AO586" i="22"/>
  <c r="H615" i="22"/>
  <c r="X615" i="22"/>
  <c r="O617" i="22"/>
  <c r="O436" i="22"/>
  <c r="Q442" i="22"/>
  <c r="H465" i="22"/>
  <c r="P467" i="22"/>
  <c r="Q495" i="22"/>
  <c r="O511" i="22"/>
  <c r="Z523" i="22"/>
  <c r="P542" i="22"/>
  <c r="AK553" i="22"/>
  <c r="AM608" i="22"/>
  <c r="Q610" i="22"/>
  <c r="AK29" i="22"/>
  <c r="AP29" i="22" s="1"/>
  <c r="AO36" i="22"/>
  <c r="O39" i="22"/>
  <c r="L42" i="22"/>
  <c r="AB42" i="22"/>
  <c r="AK43" i="22"/>
  <c r="P48" i="22"/>
  <c r="AK71" i="22"/>
  <c r="AK76" i="22"/>
  <c r="AK80" i="22"/>
  <c r="AB132" i="22"/>
  <c r="AB131" i="22" s="1"/>
  <c r="AO16" i="22"/>
  <c r="AK16" i="22" s="1"/>
  <c r="X20" i="22"/>
  <c r="X24" i="22"/>
  <c r="AK31" i="22"/>
  <c r="AP31" i="22" s="1"/>
  <c r="O41" i="22"/>
  <c r="AG58" i="22"/>
  <c r="R93" i="22"/>
  <c r="H14" i="22"/>
  <c r="AM13" i="22"/>
  <c r="H22" i="22"/>
  <c r="AK26" i="22"/>
  <c r="AP26" i="22" s="1"/>
  <c r="X33" i="22"/>
  <c r="O37" i="22"/>
  <c r="O38" i="22"/>
  <c r="H40" i="22"/>
  <c r="AM42" i="22"/>
  <c r="Y55" i="22"/>
  <c r="O82" i="22"/>
  <c r="R81" i="22"/>
  <c r="AL174" i="22"/>
  <c r="I239" i="22"/>
  <c r="AF236" i="22"/>
  <c r="AJ236" i="22"/>
  <c r="P243" i="22"/>
  <c r="W35" i="22"/>
  <c r="H47" i="22"/>
  <c r="X47" i="22"/>
  <c r="O54" i="22"/>
  <c r="AF58" i="22"/>
  <c r="O62" i="22"/>
  <c r="O63" i="22"/>
  <c r="O76" i="22"/>
  <c r="H77" i="22"/>
  <c r="H80" i="22"/>
  <c r="I81" i="22"/>
  <c r="H84" i="22"/>
  <c r="AK84" i="22"/>
  <c r="X85" i="22"/>
  <c r="X87" i="22"/>
  <c r="O89" i="22"/>
  <c r="O90" i="22"/>
  <c r="X91" i="22"/>
  <c r="P93" i="22"/>
  <c r="X98" i="22"/>
  <c r="O103" i="22"/>
  <c r="R104" i="22"/>
  <c r="X110" i="22"/>
  <c r="X111" i="22"/>
  <c r="AK113" i="22"/>
  <c r="O114" i="22"/>
  <c r="H116" i="22"/>
  <c r="AK116" i="22"/>
  <c r="H121" i="22"/>
  <c r="H126" i="22"/>
  <c r="X134" i="22"/>
  <c r="X133" i="22" s="1"/>
  <c r="AH132" i="22"/>
  <c r="AH131" i="22" s="1"/>
  <c r="O137" i="22"/>
  <c r="AN141" i="22"/>
  <c r="O144" i="22"/>
  <c r="AM145" i="22"/>
  <c r="AK149" i="22"/>
  <c r="AL158" i="22"/>
  <c r="AM163" i="22"/>
  <c r="X164" i="22"/>
  <c r="C163" i="22"/>
  <c r="X165" i="22"/>
  <c r="AK167" i="22"/>
  <c r="W162" i="22"/>
  <c r="AN172" i="22"/>
  <c r="P172" i="22"/>
  <c r="AK173" i="22"/>
  <c r="AA162" i="22"/>
  <c r="AK175" i="22"/>
  <c r="AP175" i="22" s="1"/>
  <c r="AK180" i="22"/>
  <c r="D184" i="22"/>
  <c r="D183" i="22" s="1"/>
  <c r="Y185" i="22"/>
  <c r="AK188" i="22"/>
  <c r="AK192" i="22"/>
  <c r="AK200" i="22"/>
  <c r="AK210" i="22"/>
  <c r="O215" i="22"/>
  <c r="O216" i="22"/>
  <c r="Q220" i="22"/>
  <c r="R241" i="22"/>
  <c r="P95" i="22"/>
  <c r="AK97" i="22"/>
  <c r="AK99" i="22"/>
  <c r="AK109" i="22"/>
  <c r="AM118" i="22"/>
  <c r="AK120" i="22"/>
  <c r="U135" i="22"/>
  <c r="U132" i="22" s="1"/>
  <c r="U131" i="22" s="1"/>
  <c r="X155" i="22"/>
  <c r="AM160" i="22"/>
  <c r="Y160" i="22"/>
  <c r="AB163" i="22"/>
  <c r="Q178" i="22"/>
  <c r="L178" i="22"/>
  <c r="O214" i="22"/>
  <c r="O217" i="22"/>
  <c r="AK227" i="22"/>
  <c r="AP227" i="22" s="1"/>
  <c r="I225" i="22"/>
  <c r="AP232" i="22"/>
  <c r="P237" i="22"/>
  <c r="U236" i="22"/>
  <c r="P246" i="22"/>
  <c r="O285" i="22"/>
  <c r="AN42" i="22"/>
  <c r="X68" i="22"/>
  <c r="O69" i="22"/>
  <c r="P70" i="22"/>
  <c r="H73" i="22"/>
  <c r="O80" i="22"/>
  <c r="O86" i="22"/>
  <c r="H88" i="22"/>
  <c r="AK88" i="22"/>
  <c r="X89" i="22"/>
  <c r="AO93" i="22"/>
  <c r="H100" i="22"/>
  <c r="H102" i="22"/>
  <c r="AK102" i="22"/>
  <c r="H112" i="22"/>
  <c r="AK117" i="22"/>
  <c r="AP117" i="22" s="1"/>
  <c r="L118" i="22"/>
  <c r="AK121" i="22"/>
  <c r="O126" i="22"/>
  <c r="H129" i="22"/>
  <c r="X129" i="22"/>
  <c r="N132" i="22"/>
  <c r="N131" i="22" s="1"/>
  <c r="H136" i="22"/>
  <c r="H137" i="22"/>
  <c r="AK137" i="22"/>
  <c r="AE141" i="22"/>
  <c r="AE140" i="22" s="1"/>
  <c r="L141" i="22"/>
  <c r="H144" i="22"/>
  <c r="O147" i="22"/>
  <c r="X151" i="22"/>
  <c r="X150" i="22" s="1"/>
  <c r="P152" i="22"/>
  <c r="AM152" i="22"/>
  <c r="T154" i="22"/>
  <c r="Q155" i="22"/>
  <c r="AD154" i="22"/>
  <c r="AH154" i="22"/>
  <c r="AK156" i="22"/>
  <c r="AK159" i="22"/>
  <c r="H161" i="22"/>
  <c r="H160" i="22" s="1"/>
  <c r="N162" i="22"/>
  <c r="U168" i="22"/>
  <c r="AF162" i="22"/>
  <c r="X173" i="22"/>
  <c r="X172" i="22" s="1"/>
  <c r="P176" i="22"/>
  <c r="H182" i="22"/>
  <c r="AK196" i="22"/>
  <c r="AK204" i="22"/>
  <c r="AK212" i="22"/>
  <c r="H217" i="22"/>
  <c r="AB220" i="22"/>
  <c r="AK224" i="22"/>
  <c r="P225" i="22"/>
  <c r="AN237" i="22"/>
  <c r="AL246" i="22"/>
  <c r="AK253" i="22"/>
  <c r="AK252" i="22" s="1"/>
  <c r="P254" i="22"/>
  <c r="R261" i="22"/>
  <c r="I261" i="22"/>
  <c r="D264" i="22"/>
  <c r="D256" i="22" s="1"/>
  <c r="D235" i="22" s="1"/>
  <c r="D234" i="22" s="1"/>
  <c r="AJ264" i="22"/>
  <c r="AJ256" i="22" s="1"/>
  <c r="H275" i="22"/>
  <c r="X281" i="22"/>
  <c r="X284" i="22"/>
  <c r="R280" i="22"/>
  <c r="H292" i="22"/>
  <c r="H294" i="22"/>
  <c r="H293" i="22" s="1"/>
  <c r="AL296" i="22"/>
  <c r="H303" i="22"/>
  <c r="X303" i="22"/>
  <c r="X304" i="22"/>
  <c r="X313" i="22"/>
  <c r="O314" i="22"/>
  <c r="X316" i="22"/>
  <c r="AK316" i="22"/>
  <c r="R342" i="22"/>
  <c r="AK349" i="22"/>
  <c r="O357" i="22"/>
  <c r="O356" i="22" s="1"/>
  <c r="AK365" i="22"/>
  <c r="P366" i="22"/>
  <c r="O367" i="22"/>
  <c r="AK369" i="22"/>
  <c r="P377" i="22"/>
  <c r="H389" i="22"/>
  <c r="H390" i="22"/>
  <c r="O401" i="22"/>
  <c r="AK401" i="22"/>
  <c r="H411" i="22"/>
  <c r="AE417" i="22"/>
  <c r="AK420" i="22"/>
  <c r="O421" i="22"/>
  <c r="AK421" i="22"/>
  <c r="H423" i="22"/>
  <c r="X425" i="22"/>
  <c r="H433" i="22"/>
  <c r="O435" i="22"/>
  <c r="P442" i="22"/>
  <c r="Y442" i="22"/>
  <c r="U444" i="22"/>
  <c r="H452" i="22"/>
  <c r="H454" i="22"/>
  <c r="AK456" i="22"/>
  <c r="H458" i="22"/>
  <c r="O460" i="22"/>
  <c r="O461" i="22"/>
  <c r="O462" i="22"/>
  <c r="AK463" i="22"/>
  <c r="H466" i="22"/>
  <c r="O468" i="22"/>
  <c r="X471" i="22"/>
  <c r="O472" i="22"/>
  <c r="O475" i="22"/>
  <c r="X475" i="22"/>
  <c r="AK475" i="22"/>
  <c r="X476" i="22"/>
  <c r="O478" i="22"/>
  <c r="AE480" i="22"/>
  <c r="O482" i="22"/>
  <c r="P497" i="22"/>
  <c r="AN246" i="22"/>
  <c r="O255" i="22"/>
  <c r="O254" i="22" s="1"/>
  <c r="AK267" i="22"/>
  <c r="AE266" i="22"/>
  <c r="AE265" i="22" s="1"/>
  <c r="AH280" i="22"/>
  <c r="X286" i="22"/>
  <c r="X298" i="22"/>
  <c r="X300" i="22"/>
  <c r="H311" i="22"/>
  <c r="AK311" i="22"/>
  <c r="AK315" i="22"/>
  <c r="AK318" i="22"/>
  <c r="AK319" i="22"/>
  <c r="X321" i="22"/>
  <c r="X323" i="22"/>
  <c r="AK332" i="22"/>
  <c r="AM417" i="22"/>
  <c r="AO261" i="22"/>
  <c r="AE325" i="22"/>
  <c r="AK345" i="22"/>
  <c r="H357" i="22"/>
  <c r="H356" i="22" s="1"/>
  <c r="H360" i="22"/>
  <c r="O361" i="22"/>
  <c r="O371" i="22"/>
  <c r="O372" i="22"/>
  <c r="O374" i="22"/>
  <c r="H376" i="22"/>
  <c r="Q379" i="22"/>
  <c r="H382" i="22"/>
  <c r="AO382" i="22"/>
  <c r="AK382" i="22" s="1"/>
  <c r="R381" i="22"/>
  <c r="AN381" i="22"/>
  <c r="O384" i="22"/>
  <c r="AK387" i="22"/>
  <c r="O389" i="22"/>
  <c r="H391" i="22"/>
  <c r="AK393" i="22"/>
  <c r="O396" i="22"/>
  <c r="AK397" i="22"/>
  <c r="O402" i="22"/>
  <c r="O405" i="22"/>
  <c r="AK405" i="22"/>
  <c r="O414" i="22"/>
  <c r="AK415" i="22"/>
  <c r="H420" i="22"/>
  <c r="O423" i="22"/>
  <c r="AK427" i="22"/>
  <c r="O428" i="22"/>
  <c r="X431" i="22"/>
  <c r="O433" i="22"/>
  <c r="AE430" i="22"/>
  <c r="AN430" i="22"/>
  <c r="AK436" i="22"/>
  <c r="AK438" i="22"/>
  <c r="O440" i="22"/>
  <c r="AN437" i="22"/>
  <c r="O441" i="22"/>
  <c r="H447" i="22"/>
  <c r="AK448" i="22"/>
  <c r="O450" i="22"/>
  <c r="O451" i="22"/>
  <c r="O453" i="22"/>
  <c r="O454" i="22"/>
  <c r="O455" i="22"/>
  <c r="O457" i="22"/>
  <c r="AK457" i="22"/>
  <c r="H460" i="22"/>
  <c r="H461" i="22"/>
  <c r="AK461" i="22"/>
  <c r="H462" i="22"/>
  <c r="H463" i="22"/>
  <c r="O465" i="22"/>
  <c r="O466" i="22"/>
  <c r="X478" i="22"/>
  <c r="AK478" i="22"/>
  <c r="H484" i="22"/>
  <c r="H486" i="22"/>
  <c r="I492" i="22"/>
  <c r="O496" i="22"/>
  <c r="O495" i="22" s="1"/>
  <c r="AK496" i="22"/>
  <c r="AK495" i="22" s="1"/>
  <c r="AL497" i="22"/>
  <c r="C257" i="22"/>
  <c r="AK272" i="22"/>
  <c r="X274" i="22"/>
  <c r="AK283" i="22"/>
  <c r="P293" i="22"/>
  <c r="AB296" i="22"/>
  <c r="AK306" i="22"/>
  <c r="H322" i="22"/>
  <c r="AK327" i="22"/>
  <c r="O329" i="22"/>
  <c r="P335" i="22"/>
  <c r="AK353" i="22"/>
  <c r="P354" i="22"/>
  <c r="Q358" i="22"/>
  <c r="AK370" i="22"/>
  <c r="I379" i="22"/>
  <c r="X385" i="22"/>
  <c r="X387" i="22"/>
  <c r="AH381" i="22"/>
  <c r="X399" i="22"/>
  <c r="X401" i="22"/>
  <c r="AK404" i="22"/>
  <c r="AK410" i="22"/>
  <c r="AK464" i="22"/>
  <c r="AK477" i="22"/>
  <c r="X481" i="22"/>
  <c r="AH480" i="22"/>
  <c r="Q500" i="22"/>
  <c r="O484" i="22"/>
  <c r="H488" i="22"/>
  <c r="AN492" i="22"/>
  <c r="Q497" i="22"/>
  <c r="R497" i="22"/>
  <c r="X504" i="22"/>
  <c r="O508" i="22"/>
  <c r="O509" i="22"/>
  <c r="O514" i="22"/>
  <c r="AK521" i="22"/>
  <c r="V523" i="22"/>
  <c r="Y528" i="22"/>
  <c r="R532" i="22"/>
  <c r="I544" i="22"/>
  <c r="O545" i="22"/>
  <c r="O544" i="22" s="1"/>
  <c r="O547" i="22"/>
  <c r="H551" i="22"/>
  <c r="O555" i="22"/>
  <c r="AK559" i="22"/>
  <c r="O565" i="22"/>
  <c r="H568" i="22"/>
  <c r="H572" i="22"/>
  <c r="H573" i="22"/>
  <c r="H574" i="22"/>
  <c r="O582" i="22"/>
  <c r="AG583" i="22"/>
  <c r="O585" i="22"/>
  <c r="O584" i="22" s="1"/>
  <c r="P586" i="22"/>
  <c r="AM589" i="22"/>
  <c r="H592" i="22"/>
  <c r="AK592" i="22"/>
  <c r="AK601" i="22"/>
  <c r="AK600" i="22" s="1"/>
  <c r="H604" i="22"/>
  <c r="AK604" i="22"/>
  <c r="I608" i="22"/>
  <c r="AN608" i="22"/>
  <c r="AO612" i="22"/>
  <c r="L614" i="22"/>
  <c r="AB614" i="22"/>
  <c r="AN618" i="22"/>
  <c r="X621" i="22"/>
  <c r="X620" i="22" s="1"/>
  <c r="P622" i="22"/>
  <c r="AO624" i="22"/>
  <c r="O625" i="22"/>
  <c r="O624" i="22" s="1"/>
  <c r="P626" i="22"/>
  <c r="H627" i="22"/>
  <c r="H626" i="22" s="1"/>
  <c r="Q628" i="22"/>
  <c r="AM632" i="22"/>
  <c r="Q638" i="22"/>
  <c r="Q589" i="22"/>
  <c r="P602" i="22"/>
  <c r="P610" i="22"/>
  <c r="P614" i="22"/>
  <c r="O504" i="22"/>
  <c r="X517" i="22"/>
  <c r="U524" i="22"/>
  <c r="I526" i="22"/>
  <c r="Q526" i="22"/>
  <c r="O527" i="22"/>
  <c r="O526" i="22" s="1"/>
  <c r="AK535" i="22"/>
  <c r="O536" i="22"/>
  <c r="I537" i="22"/>
  <c r="H550" i="22"/>
  <c r="X551" i="22"/>
  <c r="H553" i="22"/>
  <c r="AK555" i="22"/>
  <c r="I557" i="22"/>
  <c r="I566" i="22"/>
  <c r="O568" i="22"/>
  <c r="O571" i="22"/>
  <c r="AK574" i="22"/>
  <c r="H578" i="22"/>
  <c r="H577" i="22" s="1"/>
  <c r="AM586" i="22"/>
  <c r="X590" i="22"/>
  <c r="AK591" i="22"/>
  <c r="X592" i="22"/>
  <c r="H593" i="22"/>
  <c r="H597" i="22"/>
  <c r="AK597" i="22"/>
  <c r="R600" i="22"/>
  <c r="AN602" i="22"/>
  <c r="O603" i="22"/>
  <c r="O607" i="22"/>
  <c r="AN610" i="22"/>
  <c r="O611" i="22"/>
  <c r="O610" i="22" s="1"/>
  <c r="O613" i="22"/>
  <c r="O612" i="22" s="1"/>
  <c r="O615" i="22"/>
  <c r="AK621" i="22"/>
  <c r="AK620" i="22" s="1"/>
  <c r="O623" i="22"/>
  <c r="O622" i="22" s="1"/>
  <c r="AN624" i="22"/>
  <c r="O629" i="22"/>
  <c r="O628" i="22" s="1"/>
  <c r="Q630" i="22"/>
  <c r="Q632" i="22"/>
  <c r="H633" i="22"/>
  <c r="H632" i="22" s="1"/>
  <c r="Q634" i="22"/>
  <c r="AL636" i="22"/>
  <c r="AK505" i="22"/>
  <c r="U518" i="22"/>
  <c r="O518" i="22" s="1"/>
  <c r="AK539" i="22"/>
  <c r="Q542" i="22"/>
  <c r="AK548" i="22"/>
  <c r="P557" i="22"/>
  <c r="R614" i="22"/>
  <c r="X619" i="22"/>
  <c r="X618" i="22" s="1"/>
  <c r="AK619" i="22"/>
  <c r="P620" i="22"/>
  <c r="P628" i="22"/>
  <c r="X15" i="22"/>
  <c r="X14" i="22"/>
  <c r="AK17" i="22"/>
  <c r="H18" i="22"/>
  <c r="X19" i="22"/>
  <c r="AK32" i="22"/>
  <c r="AP32" i="22" s="1"/>
  <c r="AK33" i="22"/>
  <c r="T35" i="22"/>
  <c r="AM36" i="22"/>
  <c r="AB36" i="22"/>
  <c r="AK37" i="22"/>
  <c r="AA35" i="22"/>
  <c r="AE35" i="22"/>
  <c r="AK47" i="22"/>
  <c r="AB59" i="22"/>
  <c r="AK66" i="22"/>
  <c r="AK72" i="22"/>
  <c r="O79" i="22"/>
  <c r="AA58" i="22"/>
  <c r="I13" i="22"/>
  <c r="AK21" i="22"/>
  <c r="AK22" i="22"/>
  <c r="AK23" i="22"/>
  <c r="AK24" i="22"/>
  <c r="H41" i="22"/>
  <c r="P42" i="22"/>
  <c r="AC35" i="22"/>
  <c r="AG35" i="22"/>
  <c r="AO42" i="22"/>
  <c r="O44" i="22"/>
  <c r="U42" i="22"/>
  <c r="O45" i="22"/>
  <c r="O46" i="22"/>
  <c r="AK74" i="22"/>
  <c r="AH13" i="22"/>
  <c r="X17" i="22"/>
  <c r="C13" i="22"/>
  <c r="X21" i="22"/>
  <c r="X22" i="22"/>
  <c r="X23" i="22"/>
  <c r="AK25" i="22"/>
  <c r="AP25" i="22" s="1"/>
  <c r="AK27" i="22"/>
  <c r="AP27" i="22" s="1"/>
  <c r="AK30" i="22"/>
  <c r="AP30" i="22" s="1"/>
  <c r="AK38" i="22"/>
  <c r="Q42" i="22"/>
  <c r="U68" i="22"/>
  <c r="O68" i="22" s="1"/>
  <c r="P68" i="22"/>
  <c r="AR82" i="22"/>
  <c r="AR81" i="22" s="1"/>
  <c r="AR58" i="22" s="1"/>
  <c r="AM81" i="22"/>
  <c r="AK41" i="22"/>
  <c r="O43" i="22"/>
  <c r="H44" i="22"/>
  <c r="X44" i="22"/>
  <c r="H45" i="22"/>
  <c r="X45" i="22"/>
  <c r="H46" i="22"/>
  <c r="X46" i="22"/>
  <c r="Q48" i="22"/>
  <c r="X50" i="22"/>
  <c r="AB48" i="22"/>
  <c r="O52" i="22"/>
  <c r="P55" i="22"/>
  <c r="AL59" i="22"/>
  <c r="T58" i="22"/>
  <c r="Q59" i="22"/>
  <c r="AC59" i="22"/>
  <c r="AC58" i="22" s="1"/>
  <c r="R59" i="22"/>
  <c r="X66" i="22"/>
  <c r="AN67" i="22"/>
  <c r="AK67" i="22" s="1"/>
  <c r="H68" i="22"/>
  <c r="AK73" i="22"/>
  <c r="AK77" i="22"/>
  <c r="X90" i="22"/>
  <c r="O92" i="22"/>
  <c r="AN93" i="22"/>
  <c r="Q93" i="22"/>
  <c r="Y93" i="22"/>
  <c r="AK94" i="22"/>
  <c r="Q95" i="22"/>
  <c r="O98" i="22"/>
  <c r="AL95" i="22"/>
  <c r="O99" i="22"/>
  <c r="X101" i="22"/>
  <c r="O102" i="22"/>
  <c r="AM104" i="22"/>
  <c r="AK106" i="22"/>
  <c r="X107" i="22"/>
  <c r="X108" i="22"/>
  <c r="X109" i="22"/>
  <c r="H111" i="22"/>
  <c r="AK111" i="22"/>
  <c r="X112" i="22"/>
  <c r="X113" i="22"/>
  <c r="AK114" i="22"/>
  <c r="X115" i="22"/>
  <c r="X122" i="22"/>
  <c r="AK122" i="22"/>
  <c r="O123" i="22"/>
  <c r="AK126" i="22"/>
  <c r="O134" i="22"/>
  <c r="O133" i="22" s="1"/>
  <c r="AM135" i="22"/>
  <c r="Q135" i="22"/>
  <c r="X137" i="22"/>
  <c r="P141" i="22"/>
  <c r="H142" i="22"/>
  <c r="O143" i="22"/>
  <c r="AH141" i="22"/>
  <c r="AH140" i="22" s="1"/>
  <c r="V140" i="22"/>
  <c r="AK157" i="22"/>
  <c r="AP157" i="22" s="1"/>
  <c r="AN163" i="22"/>
  <c r="V162" i="22"/>
  <c r="H166" i="22"/>
  <c r="L163" i="22"/>
  <c r="L162" i="22" s="1"/>
  <c r="X171" i="22"/>
  <c r="X170" i="22" s="1"/>
  <c r="AM172" i="22"/>
  <c r="AI35" i="22"/>
  <c r="H43" i="22"/>
  <c r="X43" i="22"/>
  <c r="AK46" i="22"/>
  <c r="AN48" i="22"/>
  <c r="X52" i="22"/>
  <c r="I59" i="22"/>
  <c r="AK63" i="22"/>
  <c r="H64" i="22"/>
  <c r="O66" i="22"/>
  <c r="U67" i="22"/>
  <c r="O67" i="22" s="1"/>
  <c r="H72" i="22"/>
  <c r="AK75" i="22"/>
  <c r="AD58" i="22"/>
  <c r="AH58" i="22"/>
  <c r="AK87" i="22"/>
  <c r="AK92" i="22"/>
  <c r="AL93" i="22"/>
  <c r="X96" i="22"/>
  <c r="H98" i="22"/>
  <c r="P104" i="22"/>
  <c r="X106" i="22"/>
  <c r="O107" i="22"/>
  <c r="O113" i="22"/>
  <c r="O115" i="22"/>
  <c r="AL118" i="22"/>
  <c r="O122" i="22"/>
  <c r="H124" i="22"/>
  <c r="AK124" i="22"/>
  <c r="O129" i="22"/>
  <c r="I135" i="22"/>
  <c r="I132" i="22" s="1"/>
  <c r="I131" i="22" s="1"/>
  <c r="AN135" i="22"/>
  <c r="S140" i="22"/>
  <c r="AK142" i="22"/>
  <c r="AB141" i="22"/>
  <c r="AB140" i="22" s="1"/>
  <c r="P148" i="22"/>
  <c r="R148" i="22"/>
  <c r="O149" i="22"/>
  <c r="O148" i="22" s="1"/>
  <c r="O155" i="22"/>
  <c r="L158" i="22"/>
  <c r="L154" i="22" s="1"/>
  <c r="P158" i="22"/>
  <c r="S154" i="22"/>
  <c r="Y158" i="22"/>
  <c r="X159" i="22"/>
  <c r="X158" i="22" s="1"/>
  <c r="O165" i="22"/>
  <c r="O163" i="22" s="1"/>
  <c r="O162" i="22" s="1"/>
  <c r="U163" i="22"/>
  <c r="U170" i="22"/>
  <c r="O50" i="22"/>
  <c r="AO59" i="22"/>
  <c r="O74" i="22"/>
  <c r="O78" i="22"/>
  <c r="S58" i="22"/>
  <c r="P81" i="22"/>
  <c r="AE58" i="22"/>
  <c r="AI58" i="22"/>
  <c r="AK82" i="22"/>
  <c r="O83" i="22"/>
  <c r="O84" i="22"/>
  <c r="U104" i="22"/>
  <c r="AK129" i="22"/>
  <c r="S132" i="22"/>
  <c r="P133" i="22"/>
  <c r="AK134" i="22"/>
  <c r="AK136" i="22"/>
  <c r="AK143" i="22"/>
  <c r="AL145" i="22"/>
  <c r="AK146" i="22"/>
  <c r="H149" i="22"/>
  <c r="H148" i="22" s="1"/>
  <c r="S162" i="22"/>
  <c r="P168" i="22"/>
  <c r="AL172" i="22"/>
  <c r="AK86" i="22"/>
  <c r="O97" i="22"/>
  <c r="AK101" i="22"/>
  <c r="X102" i="22"/>
  <c r="AK103" i="22"/>
  <c r="AK105" i="22"/>
  <c r="AK107" i="22"/>
  <c r="AK108" i="22"/>
  <c r="AK112" i="22"/>
  <c r="AK115" i="22"/>
  <c r="X116" i="22"/>
  <c r="X120" i="22"/>
  <c r="X121" i="22"/>
  <c r="X123" i="22"/>
  <c r="AM133" i="22"/>
  <c r="Q133" i="22"/>
  <c r="Z132" i="22"/>
  <c r="Z131" i="22" s="1"/>
  <c r="M140" i="22"/>
  <c r="AI140" i="22"/>
  <c r="AK151" i="22"/>
  <c r="AK161" i="22"/>
  <c r="AK166" i="22"/>
  <c r="AI162" i="22"/>
  <c r="AM174" i="22"/>
  <c r="AL178" i="22"/>
  <c r="Y178" i="22"/>
  <c r="O182" i="22"/>
  <c r="AK187" i="22"/>
  <c r="X190" i="22"/>
  <c r="AK191" i="22"/>
  <c r="X194" i="22"/>
  <c r="AK195" i="22"/>
  <c r="X198" i="22"/>
  <c r="AK199" i="22"/>
  <c r="X202" i="22"/>
  <c r="AK203" i="22"/>
  <c r="X206" i="22"/>
  <c r="AK207" i="22"/>
  <c r="S185" i="22"/>
  <c r="AK217" i="22"/>
  <c r="AK219" i="22"/>
  <c r="AK221" i="22"/>
  <c r="AK229" i="22"/>
  <c r="AP229" i="22" s="1"/>
  <c r="H230" i="22"/>
  <c r="H225" i="22" s="1"/>
  <c r="O238" i="22"/>
  <c r="O237" i="22" s="1"/>
  <c r="S236" i="22"/>
  <c r="P239" i="22"/>
  <c r="W236" i="22"/>
  <c r="AA236" i="22"/>
  <c r="AE236" i="22"/>
  <c r="AI236" i="22"/>
  <c r="H244" i="22"/>
  <c r="H243" i="22" s="1"/>
  <c r="Q252" i="22"/>
  <c r="AK259" i="22"/>
  <c r="H262" i="22"/>
  <c r="H261" i="22" s="1"/>
  <c r="AK262" i="22"/>
  <c r="X263" i="22"/>
  <c r="X261" i="22" s="1"/>
  <c r="AN261" i="22"/>
  <c r="R265" i="22"/>
  <c r="H268" i="22"/>
  <c r="P271" i="22"/>
  <c r="AL271" i="22"/>
  <c r="AL266" i="22" s="1"/>
  <c r="AL265" i="22" s="1"/>
  <c r="AK278" i="22"/>
  <c r="H283" i="22"/>
  <c r="U284" i="22"/>
  <c r="O284" i="22" s="1"/>
  <c r="P285" i="22"/>
  <c r="H286" i="22"/>
  <c r="O291" i="22"/>
  <c r="X292" i="22"/>
  <c r="AK294" i="22"/>
  <c r="AM293" i="22"/>
  <c r="C296" i="22"/>
  <c r="AH296" i="22"/>
  <c r="AO298" i="22"/>
  <c r="AK298" i="22" s="1"/>
  <c r="H300" i="22"/>
  <c r="X302" i="22"/>
  <c r="H304" i="22"/>
  <c r="AK304" i="22"/>
  <c r="X308" i="22"/>
  <c r="H317" i="22"/>
  <c r="X318" i="22"/>
  <c r="AK328" i="22"/>
  <c r="AK329" i="22"/>
  <c r="Q330" i="22"/>
  <c r="AN330" i="22"/>
  <c r="H336" i="22"/>
  <c r="P339" i="22"/>
  <c r="AO339" i="22"/>
  <c r="X341" i="22"/>
  <c r="Q342" i="22"/>
  <c r="I356" i="22"/>
  <c r="Q356" i="22"/>
  <c r="AN358" i="22"/>
  <c r="AK360" i="22"/>
  <c r="H364" i="22"/>
  <c r="AN366" i="22"/>
  <c r="AL366" i="22"/>
  <c r="H368" i="22"/>
  <c r="H372" i="22"/>
  <c r="H373" i="22"/>
  <c r="H384" i="22"/>
  <c r="AP231" i="22"/>
  <c r="M236" i="22"/>
  <c r="T236" i="22"/>
  <c r="Q239" i="22"/>
  <c r="AH266" i="22"/>
  <c r="AH265" i="22" s="1"/>
  <c r="AM271" i="22"/>
  <c r="AN309" i="22"/>
  <c r="AK324" i="22"/>
  <c r="Q325" i="22"/>
  <c r="AH325" i="22"/>
  <c r="X329" i="22"/>
  <c r="AK333" i="22"/>
  <c r="AK340" i="22"/>
  <c r="X343" i="22"/>
  <c r="X342" i="22" s="1"/>
  <c r="AN342" i="22"/>
  <c r="AK348" i="22"/>
  <c r="AK351" i="22"/>
  <c r="AO356" i="22"/>
  <c r="AL356" i="22"/>
  <c r="AK357" i="22"/>
  <c r="AK361" i="22"/>
  <c r="AK363" i="22"/>
  <c r="AK368" i="22"/>
  <c r="R377" i="22"/>
  <c r="O378" i="22"/>
  <c r="O377" i="22" s="1"/>
  <c r="Q148" i="22"/>
  <c r="I150" i="22"/>
  <c r="AN150" i="22"/>
  <c r="P150" i="22"/>
  <c r="Q152" i="22"/>
  <c r="AD140" i="22"/>
  <c r="AK153" i="22"/>
  <c r="P155" i="22"/>
  <c r="AB154" i="22"/>
  <c r="AF154" i="22"/>
  <c r="AJ154" i="22"/>
  <c r="Q158" i="22"/>
  <c r="AL160" i="22"/>
  <c r="P160" i="22"/>
  <c r="P163" i="22"/>
  <c r="AJ162" i="22"/>
  <c r="H165" i="22"/>
  <c r="Q168" i="22"/>
  <c r="Q172" i="22"/>
  <c r="P174" i="22"/>
  <c r="AO174" i="22"/>
  <c r="AK182" i="22"/>
  <c r="T185" i="22"/>
  <c r="X188" i="22"/>
  <c r="AK189" i="22"/>
  <c r="X192" i="22"/>
  <c r="AK193" i="22"/>
  <c r="X196" i="22"/>
  <c r="AK197" i="22"/>
  <c r="X200" i="22"/>
  <c r="AK201" i="22"/>
  <c r="X204" i="22"/>
  <c r="AK205" i="22"/>
  <c r="H213" i="22"/>
  <c r="AK213" i="22"/>
  <c r="H218" i="22"/>
  <c r="AE220" i="22"/>
  <c r="Q225" i="22"/>
  <c r="AK226" i="22"/>
  <c r="AK228" i="22"/>
  <c r="AP228" i="22" s="1"/>
  <c r="AK233" i="22"/>
  <c r="Q237" i="22"/>
  <c r="Y236" i="22"/>
  <c r="X238" i="22"/>
  <c r="X237" i="22" s="1"/>
  <c r="X236" i="22" s="1"/>
  <c r="P241" i="22"/>
  <c r="Q246" i="22"/>
  <c r="H246" i="22"/>
  <c r="AK249" i="22"/>
  <c r="AP249" i="22" s="1"/>
  <c r="P250" i="22"/>
  <c r="Q254" i="22"/>
  <c r="P257" i="22"/>
  <c r="O257" i="22"/>
  <c r="AK260" i="22"/>
  <c r="P261" i="22"/>
  <c r="S265" i="22"/>
  <c r="P265" i="22" s="1"/>
  <c r="T266" i="22"/>
  <c r="X269" i="22"/>
  <c r="AK270" i="22"/>
  <c r="AK273" i="22"/>
  <c r="AK279" i="22"/>
  <c r="H282" i="22"/>
  <c r="H284" i="22"/>
  <c r="AO284" i="22"/>
  <c r="AK284" i="22" s="1"/>
  <c r="X289" i="22"/>
  <c r="Q293" i="22"/>
  <c r="H297" i="22"/>
  <c r="X299" i="22"/>
  <c r="X305" i="22"/>
  <c r="X306" i="22"/>
  <c r="X311" i="22"/>
  <c r="AK313" i="22"/>
  <c r="X315" i="22"/>
  <c r="AM356" i="22"/>
  <c r="W140" i="22"/>
  <c r="AN148" i="22"/>
  <c r="Y148" i="22"/>
  <c r="AL150" i="22"/>
  <c r="Q150" i="22"/>
  <c r="AO158" i="22"/>
  <c r="V154" i="22"/>
  <c r="AN160" i="22"/>
  <c r="AO163" i="22"/>
  <c r="T162" i="22"/>
  <c r="Q163" i="22"/>
  <c r="Z162" i="22"/>
  <c r="AK164" i="22"/>
  <c r="AK165" i="22"/>
  <c r="H169" i="22"/>
  <c r="H168" i="22" s="1"/>
  <c r="AK169" i="22"/>
  <c r="Y174" i="22"/>
  <c r="AK177" i="22"/>
  <c r="AK176" i="22" s="1"/>
  <c r="AP176" i="22" s="1"/>
  <c r="AO178" i="22"/>
  <c r="AK179" i="22"/>
  <c r="H180" i="22"/>
  <c r="AK181" i="22"/>
  <c r="AK186" i="22"/>
  <c r="AK190" i="22"/>
  <c r="AK194" i="22"/>
  <c r="AK198" i="22"/>
  <c r="AK202" i="22"/>
  <c r="AK206" i="22"/>
  <c r="AK211" i="22"/>
  <c r="AK215" i="22"/>
  <c r="H219" i="22"/>
  <c r="G184" i="22"/>
  <c r="G183" i="22" s="1"/>
  <c r="AC184" i="22"/>
  <c r="AC183" i="22" s="1"/>
  <c r="X224" i="22"/>
  <c r="AN225" i="22"/>
  <c r="X233" i="22"/>
  <c r="X225" i="22" s="1"/>
  <c r="AM237" i="22"/>
  <c r="AL237" i="22"/>
  <c r="Q241" i="22"/>
  <c r="Q243" i="22"/>
  <c r="I246" i="22"/>
  <c r="Q250" i="22"/>
  <c r="P252" i="22"/>
  <c r="Q257" i="22"/>
  <c r="AO257" i="22"/>
  <c r="Q261" i="22"/>
  <c r="L266" i="22"/>
  <c r="L265" i="22" s="1"/>
  <c r="U268" i="22"/>
  <c r="O268" i="22" s="1"/>
  <c r="Q268" i="22"/>
  <c r="X273" i="22"/>
  <c r="X275" i="22"/>
  <c r="AK276" i="22"/>
  <c r="X283" i="22"/>
  <c r="AK286" i="22"/>
  <c r="AE280" i="22"/>
  <c r="AK291" i="22"/>
  <c r="P296" i="22"/>
  <c r="AK300" i="22"/>
  <c r="AK302" i="22"/>
  <c r="X307" i="22"/>
  <c r="H315" i="22"/>
  <c r="AK317" i="22"/>
  <c r="H319" i="22"/>
  <c r="H327" i="22"/>
  <c r="X327" i="22"/>
  <c r="P330" i="22"/>
  <c r="O330" i="22"/>
  <c r="AM330" i="22"/>
  <c r="AK338" i="22"/>
  <c r="AK341" i="22"/>
  <c r="AK344" i="22"/>
  <c r="AK350" i="22"/>
  <c r="AK352" i="22"/>
  <c r="P356" i="22"/>
  <c r="AK362" i="22"/>
  <c r="O364" i="22"/>
  <c r="AK375" i="22"/>
  <c r="U394" i="22"/>
  <c r="H397" i="22"/>
  <c r="O398" i="22"/>
  <c r="AK399" i="22"/>
  <c r="AK402" i="22"/>
  <c r="AK403" i="22"/>
  <c r="H407" i="22"/>
  <c r="X411" i="22"/>
  <c r="AK419" i="22"/>
  <c r="X423" i="22"/>
  <c r="H425" i="22"/>
  <c r="AK425" i="22"/>
  <c r="O427" i="22"/>
  <c r="Y430" i="22"/>
  <c r="AM430" i="22"/>
  <c r="P437" i="22"/>
  <c r="O439" i="22"/>
  <c r="H443" i="22"/>
  <c r="H442" i="22" s="1"/>
  <c r="AM444" i="22"/>
  <c r="O449" i="22"/>
  <c r="AK451" i="22"/>
  <c r="H453" i="22"/>
  <c r="AK453" i="22"/>
  <c r="O456" i="22"/>
  <c r="AK460" i="22"/>
  <c r="AK465" i="22"/>
  <c r="AE467" i="22"/>
  <c r="H470" i="22"/>
  <c r="X470" i="22"/>
  <c r="H472" i="22"/>
  <c r="O473" i="22"/>
  <c r="AH467" i="22"/>
  <c r="L480" i="22"/>
  <c r="O486" i="22"/>
  <c r="O488" i="22"/>
  <c r="H490" i="22"/>
  <c r="O491" i="22"/>
  <c r="P495" i="22"/>
  <c r="O498" i="22"/>
  <c r="AK503" i="22"/>
  <c r="AK507" i="22"/>
  <c r="AK509" i="22"/>
  <c r="O513" i="22"/>
  <c r="AK514" i="22"/>
  <c r="AK516" i="22"/>
  <c r="O520" i="22"/>
  <c r="O522" i="22"/>
  <c r="J523" i="22"/>
  <c r="N523" i="22"/>
  <c r="P526" i="22"/>
  <c r="I528" i="22"/>
  <c r="P530" i="22"/>
  <c r="Q532" i="22"/>
  <c r="AL532" i="22"/>
  <c r="O539" i="22"/>
  <c r="AO537" i="22"/>
  <c r="AK543" i="22"/>
  <c r="AK542" i="22" s="1"/>
  <c r="P544" i="22"/>
  <c r="AH546" i="22"/>
  <c r="AH523" i="22" s="1"/>
  <c r="O548" i="22"/>
  <c r="Q557" i="22"/>
  <c r="AK452" i="22"/>
  <c r="H456" i="22"/>
  <c r="AK459" i="22"/>
  <c r="O463" i="22"/>
  <c r="X472" i="22"/>
  <c r="H476" i="22"/>
  <c r="O477" i="22"/>
  <c r="X479" i="22"/>
  <c r="P492" i="22"/>
  <c r="O494" i="22"/>
  <c r="AL495" i="22"/>
  <c r="AK504" i="22"/>
  <c r="X506" i="22"/>
  <c r="S523" i="22"/>
  <c r="P524" i="22"/>
  <c r="O533" i="22"/>
  <c r="AN537" i="22"/>
  <c r="H548" i="22"/>
  <c r="O549" i="22"/>
  <c r="AK551" i="22"/>
  <c r="O553" i="22"/>
  <c r="X555" i="22"/>
  <c r="H557" i="22"/>
  <c r="Q366" i="22"/>
  <c r="AK367" i="22"/>
  <c r="O369" i="22"/>
  <c r="AK373" i="22"/>
  <c r="AK376" i="22"/>
  <c r="X389" i="22"/>
  <c r="X390" i="22"/>
  <c r="X391" i="22"/>
  <c r="X393" i="22"/>
  <c r="P394" i="22"/>
  <c r="AK395" i="22"/>
  <c r="H396" i="22"/>
  <c r="X397" i="22"/>
  <c r="H401" i="22"/>
  <c r="H405" i="22"/>
  <c r="X413" i="22"/>
  <c r="X415" i="22"/>
  <c r="X416" i="22"/>
  <c r="AL417" i="22"/>
  <c r="P417" i="22"/>
  <c r="X420" i="22"/>
  <c r="O426" i="22"/>
  <c r="AK431" i="22"/>
  <c r="AK435" i="22"/>
  <c r="AK439" i="22"/>
  <c r="Q444" i="22"/>
  <c r="AK447" i="22"/>
  <c r="AK449" i="22"/>
  <c r="AM497" i="22"/>
  <c r="AO500" i="22"/>
  <c r="AC523" i="22"/>
  <c r="O534" i="22"/>
  <c r="AK554" i="22"/>
  <c r="I366" i="22"/>
  <c r="H369" i="22"/>
  <c r="AK371" i="22"/>
  <c r="O373" i="22"/>
  <c r="O376" i="22"/>
  <c r="AK378" i="22"/>
  <c r="AK377" i="22" s="1"/>
  <c r="P379" i="22"/>
  <c r="P381" i="22"/>
  <c r="U382" i="22"/>
  <c r="O382" i="22" s="1"/>
  <c r="H386" i="22"/>
  <c r="H387" i="22"/>
  <c r="O390" i="22"/>
  <c r="O393" i="22"/>
  <c r="AM394" i="22"/>
  <c r="Q394" i="22"/>
  <c r="AE394" i="22"/>
  <c r="AK396" i="22"/>
  <c r="O397" i="22"/>
  <c r="X398" i="22"/>
  <c r="AH394" i="22"/>
  <c r="X400" i="22"/>
  <c r="X404" i="22"/>
  <c r="AK411" i="22"/>
  <c r="AK414" i="22"/>
  <c r="O416" i="22"/>
  <c r="Q417" i="22"/>
  <c r="O420" i="22"/>
  <c r="AK423" i="22"/>
  <c r="X426" i="22"/>
  <c r="X427" i="22"/>
  <c r="AK429" i="22"/>
  <c r="Q430" i="22"/>
  <c r="H435" i="22"/>
  <c r="AK446" i="22"/>
  <c r="H457" i="22"/>
  <c r="O470" i="22"/>
  <c r="AK473" i="22"/>
  <c r="X477" i="22"/>
  <c r="AO484" i="22"/>
  <c r="AK484" i="22" s="1"/>
  <c r="Q484" i="22"/>
  <c r="X505" i="22"/>
  <c r="AK506" i="22"/>
  <c r="U500" i="22"/>
  <c r="AK508" i="22"/>
  <c r="O510" i="22"/>
  <c r="AK515" i="22"/>
  <c r="AK520" i="22"/>
  <c r="U528" i="22"/>
  <c r="O528" i="22" s="1"/>
  <c r="P528" i="22"/>
  <c r="U537" i="22"/>
  <c r="O537" i="22" s="1"/>
  <c r="Q537" i="22"/>
  <c r="AR523" i="22"/>
  <c r="O551" i="22"/>
  <c r="AO557" i="22"/>
  <c r="O560" i="22"/>
  <c r="U562" i="22"/>
  <c r="O562" i="22" s="1"/>
  <c r="U564" i="22"/>
  <c r="O564" i="22" s="1"/>
  <c r="P564" i="22"/>
  <c r="AK572" i="22"/>
  <c r="O574" i="22"/>
  <c r="O578" i="22"/>
  <c r="P579" i="22"/>
  <c r="P584" i="22"/>
  <c r="T583" i="22"/>
  <c r="Q586" i="22"/>
  <c r="AF583" i="22"/>
  <c r="AJ583" i="22"/>
  <c r="AK588" i="22"/>
  <c r="AO589" i="22"/>
  <c r="AK590" i="22"/>
  <c r="AK594" i="22"/>
  <c r="X595" i="22"/>
  <c r="Q598" i="22"/>
  <c r="AK599" i="22"/>
  <c r="AK598" i="22" s="1"/>
  <c r="Q600" i="22"/>
  <c r="Q602" i="22"/>
  <c r="H605" i="22"/>
  <c r="AK605" i="22"/>
  <c r="O606" i="22"/>
  <c r="AL608" i="22"/>
  <c r="Q608" i="22"/>
  <c r="AL610" i="22"/>
  <c r="AO610" i="22"/>
  <c r="H613" i="22"/>
  <c r="H612" i="22" s="1"/>
  <c r="AN614" i="22"/>
  <c r="Q614" i="22"/>
  <c r="AE614" i="22"/>
  <c r="AE583" i="22" s="1"/>
  <c r="AK616" i="22"/>
  <c r="AL618" i="22"/>
  <c r="AO618" i="22"/>
  <c r="Y618" i="22"/>
  <c r="U620" i="22"/>
  <c r="AL620" i="22"/>
  <c r="R622" i="22"/>
  <c r="U624" i="22"/>
  <c r="AK625" i="22"/>
  <c r="AL626" i="22"/>
  <c r="AO626" i="22"/>
  <c r="AN626" i="22"/>
  <c r="X627" i="22"/>
  <c r="X626" i="22" s="1"/>
  <c r="AK629" i="22"/>
  <c r="AK628" i="22" s="1"/>
  <c r="AN630" i="22"/>
  <c r="AN632" i="22"/>
  <c r="AO632" i="22"/>
  <c r="AK635" i="22"/>
  <c r="AK634" i="22" s="1"/>
  <c r="X636" i="22"/>
  <c r="O639" i="22"/>
  <c r="O638" i="22" s="1"/>
  <c r="R638" i="22"/>
  <c r="Q622" i="22"/>
  <c r="L566" i="22"/>
  <c r="U577" i="22"/>
  <c r="O577" i="22" s="1"/>
  <c r="Q579" i="22"/>
  <c r="AK582" i="22"/>
  <c r="AK581" i="22" s="1"/>
  <c r="Q584" i="22"/>
  <c r="H590" i="22"/>
  <c r="AK593" i="22"/>
  <c r="X594" i="22"/>
  <c r="O599" i="22"/>
  <c r="O598" i="22" s="1"/>
  <c r="AL602" i="22"/>
  <c r="AO602" i="22"/>
  <c r="H606" i="22"/>
  <c r="AK606" i="22"/>
  <c r="AM610" i="22"/>
  <c r="P612" i="22"/>
  <c r="AL612" i="22"/>
  <c r="X613" i="22"/>
  <c r="X612" i="22" s="1"/>
  <c r="AO614" i="22"/>
  <c r="C614" i="22"/>
  <c r="X616" i="22"/>
  <c r="H617" i="22"/>
  <c r="AM618" i="22"/>
  <c r="H619" i="22"/>
  <c r="H618" i="22" s="1"/>
  <c r="AL624" i="22"/>
  <c r="O627" i="22"/>
  <c r="O626" i="22" s="1"/>
  <c r="X629" i="22"/>
  <c r="X628" i="22" s="1"/>
  <c r="AL632" i="22"/>
  <c r="X639" i="22"/>
  <c r="X638" i="22" s="1"/>
  <c r="AK561" i="22"/>
  <c r="AK563" i="22"/>
  <c r="AK562" i="22" s="1"/>
  <c r="AQ523" i="22"/>
  <c r="H567" i="22"/>
  <c r="O569" i="22"/>
  <c r="AK570" i="22"/>
  <c r="AK573" i="22"/>
  <c r="H575" i="22"/>
  <c r="AK575" i="22"/>
  <c r="O580" i="22"/>
  <c r="O579" i="22" s="1"/>
  <c r="S583" i="22"/>
  <c r="P589" i="22"/>
  <c r="AI583" i="22"/>
  <c r="X591" i="22"/>
  <c r="X593" i="22"/>
  <c r="AK596" i="22"/>
  <c r="AM612" i="22"/>
  <c r="Q612" i="22"/>
  <c r="AL638" i="22"/>
  <c r="AO638" i="22"/>
  <c r="AK560" i="22"/>
  <c r="O563" i="22"/>
  <c r="U566" i="22"/>
  <c r="O566" i="22" s="1"/>
  <c r="AK568" i="22"/>
  <c r="AA583" i="22"/>
  <c r="AB589" i="22"/>
  <c r="AQ583" i="22"/>
  <c r="O605" i="22"/>
  <c r="P608" i="22"/>
  <c r="AO608" i="22"/>
  <c r="AK611" i="22"/>
  <c r="AN612" i="22"/>
  <c r="AK615" i="22"/>
  <c r="Q618" i="22"/>
  <c r="Q620" i="22"/>
  <c r="AL622" i="22"/>
  <c r="AO622" i="22"/>
  <c r="AN622" i="22"/>
  <c r="AK623" i="22"/>
  <c r="X625" i="22"/>
  <c r="X624" i="22" s="1"/>
  <c r="AM626" i="22"/>
  <c r="AK627" i="22"/>
  <c r="AM630" i="22"/>
  <c r="H631" i="22"/>
  <c r="H630" i="22" s="1"/>
  <c r="AK631" i="22"/>
  <c r="AM638" i="22"/>
  <c r="AN638" i="22"/>
  <c r="AK49" i="22"/>
  <c r="AB13" i="22"/>
  <c r="M35" i="22"/>
  <c r="AM48" i="22"/>
  <c r="AR49" i="22"/>
  <c r="AR48" i="22" s="1"/>
  <c r="AR35" i="22" s="1"/>
  <c r="X16" i="22"/>
  <c r="I36" i="22"/>
  <c r="AR25" i="22"/>
  <c r="AR32" i="22"/>
  <c r="AL39" i="22"/>
  <c r="AK56" i="22"/>
  <c r="AM55" i="22"/>
  <c r="AO85" i="22"/>
  <c r="AK85" i="22" s="1"/>
  <c r="L85" i="22"/>
  <c r="H85" i="22" s="1"/>
  <c r="N81" i="22"/>
  <c r="AL141" i="22"/>
  <c r="J140" i="22"/>
  <c r="AG140" i="22"/>
  <c r="AM141" i="22"/>
  <c r="H260" i="22"/>
  <c r="H257" i="22" s="1"/>
  <c r="I257" i="22"/>
  <c r="L586" i="22"/>
  <c r="H587" i="22"/>
  <c r="H586" i="22" s="1"/>
  <c r="N13" i="22"/>
  <c r="L19" i="22"/>
  <c r="L13" i="22" s="1"/>
  <c r="AO20" i="22"/>
  <c r="U36" i="22"/>
  <c r="L39" i="22"/>
  <c r="L36" i="22" s="1"/>
  <c r="AL42" i="22"/>
  <c r="N48" i="22"/>
  <c r="N35" i="22" s="1"/>
  <c r="L50" i="22"/>
  <c r="H50" i="22" s="1"/>
  <c r="H51" i="22"/>
  <c r="U51" i="22"/>
  <c r="O51" i="22" s="1"/>
  <c r="H53" i="22"/>
  <c r="U53" i="22"/>
  <c r="O53" i="22" s="1"/>
  <c r="X54" i="22"/>
  <c r="H56" i="22"/>
  <c r="H55" i="22" s="1"/>
  <c r="I55" i="22"/>
  <c r="AN55" i="22"/>
  <c r="M59" i="22"/>
  <c r="L61" i="22"/>
  <c r="AN61" i="22"/>
  <c r="AK61" i="22" s="1"/>
  <c r="AL70" i="22"/>
  <c r="Z58" i="22"/>
  <c r="AO89" i="22"/>
  <c r="AK89" i="22" s="1"/>
  <c r="L89" i="22"/>
  <c r="H89" i="22" s="1"/>
  <c r="AK98" i="22"/>
  <c r="O101" i="22"/>
  <c r="R95" i="22"/>
  <c r="X105" i="22"/>
  <c r="Y104" i="22"/>
  <c r="AN104" i="22"/>
  <c r="O109" i="22"/>
  <c r="H120" i="22"/>
  <c r="I118" i="22"/>
  <c r="E138" i="22"/>
  <c r="C140" i="22"/>
  <c r="G138" i="22"/>
  <c r="AH162" i="22"/>
  <c r="V36" i="22"/>
  <c r="V35" i="22" s="1"/>
  <c r="AN40" i="22"/>
  <c r="AK40" i="22" s="1"/>
  <c r="R70" i="22"/>
  <c r="AN81" i="22"/>
  <c r="AK83" i="22"/>
  <c r="AB104" i="22"/>
  <c r="AK119" i="22"/>
  <c r="AN118" i="22"/>
  <c r="H134" i="22"/>
  <c r="H133" i="22" s="1"/>
  <c r="L133" i="22"/>
  <c r="L132" i="22" s="1"/>
  <c r="L131" i="22" s="1"/>
  <c r="H143" i="22"/>
  <c r="I141" i="22"/>
  <c r="AO148" i="22"/>
  <c r="AB168" i="22"/>
  <c r="X169" i="22"/>
  <c r="H212" i="22"/>
  <c r="L209" i="22"/>
  <c r="L185" i="22" s="1"/>
  <c r="L184" i="22" s="1"/>
  <c r="U61" i="22"/>
  <c r="V59" i="22"/>
  <c r="V58" i="22" s="1"/>
  <c r="R135" i="22"/>
  <c r="R132" i="22" s="1"/>
  <c r="R131" i="22" s="1"/>
  <c r="O136" i="22"/>
  <c r="F138" i="22"/>
  <c r="O146" i="22"/>
  <c r="U145" i="22"/>
  <c r="Z140" i="22"/>
  <c r="AL152" i="22"/>
  <c r="AN168" i="22"/>
  <c r="M162" i="22"/>
  <c r="H171" i="22"/>
  <c r="H170" i="22" s="1"/>
  <c r="I170" i="22"/>
  <c r="Y13" i="22"/>
  <c r="H15" i="22"/>
  <c r="R36" i="22"/>
  <c r="AN39" i="22"/>
  <c r="I42" i="22"/>
  <c r="Y48" i="22"/>
  <c r="X62" i="22"/>
  <c r="Y59" i="22"/>
  <c r="R13" i="22"/>
  <c r="AD13" i="22"/>
  <c r="AL13" i="22"/>
  <c r="U14" i="22"/>
  <c r="R48" i="22"/>
  <c r="AL48" i="22"/>
  <c r="X51" i="22"/>
  <c r="X53" i="22"/>
  <c r="AK54" i="22"/>
  <c r="C59" i="22"/>
  <c r="O60" i="22"/>
  <c r="AK65" i="22"/>
  <c r="AN68" i="22"/>
  <c r="AK68" i="22" s="1"/>
  <c r="X69" i="22"/>
  <c r="AM70" i="22"/>
  <c r="K58" i="22"/>
  <c r="L79" i="22"/>
  <c r="H79" i="22" s="1"/>
  <c r="AO79" i="22"/>
  <c r="AK79" i="22" s="1"/>
  <c r="AL81" i="22"/>
  <c r="X83" i="22"/>
  <c r="AB81" i="22"/>
  <c r="U95" i="22"/>
  <c r="O96" i="22"/>
  <c r="X119" i="22"/>
  <c r="AB118" i="22"/>
  <c r="AL133" i="22"/>
  <c r="J154" i="22"/>
  <c r="AL155" i="22"/>
  <c r="N154" i="22"/>
  <c r="AO155" i="22"/>
  <c r="AD162" i="22"/>
  <c r="AM178" i="22"/>
  <c r="L52" i="22"/>
  <c r="H52" i="22" s="1"/>
  <c r="L54" i="22"/>
  <c r="H54" i="22" s="1"/>
  <c r="AM59" i="22"/>
  <c r="Y81" i="22"/>
  <c r="C81" i="22"/>
  <c r="I96" i="22"/>
  <c r="K95" i="22"/>
  <c r="AM96" i="22"/>
  <c r="O119" i="22"/>
  <c r="R118" i="22"/>
  <c r="AO118" i="22"/>
  <c r="AK125" i="22"/>
  <c r="AL135" i="22"/>
  <c r="R141" i="22"/>
  <c r="O142" i="22"/>
  <c r="H146" i="22"/>
  <c r="I145" i="22"/>
  <c r="X146" i="22"/>
  <c r="X145" i="22" s="1"/>
  <c r="Y145" i="22"/>
  <c r="AM155" i="22"/>
  <c r="K154" i="22"/>
  <c r="Y155" i="22"/>
  <c r="AC154" i="22"/>
  <c r="AG154" i="22"/>
  <c r="I155" i="22"/>
  <c r="I154" i="22" s="1"/>
  <c r="H156" i="22"/>
  <c r="AN158" i="22"/>
  <c r="I163" i="22"/>
  <c r="Y163" i="22"/>
  <c r="X167" i="22"/>
  <c r="I178" i="22"/>
  <c r="AC264" i="22"/>
  <c r="AC256" i="22" s="1"/>
  <c r="Y330" i="22"/>
  <c r="X331" i="22"/>
  <c r="O419" i="22"/>
  <c r="R417" i="22"/>
  <c r="H422" i="22"/>
  <c r="L417" i="22"/>
  <c r="AK60" i="22"/>
  <c r="L62" i="22"/>
  <c r="H62" i="22" s="1"/>
  <c r="AN62" i="22"/>
  <c r="AK62" i="22" s="1"/>
  <c r="X64" i="22"/>
  <c r="AK69" i="22"/>
  <c r="AN70" i="22"/>
  <c r="I70" i="22"/>
  <c r="X72" i="22"/>
  <c r="AB70" i="22"/>
  <c r="AK78" i="22"/>
  <c r="U81" i="22"/>
  <c r="X84" i="22"/>
  <c r="X88" i="22"/>
  <c r="AM93" i="22"/>
  <c r="H94" i="22"/>
  <c r="H93" i="22" s="1"/>
  <c r="I93" i="22"/>
  <c r="H97" i="22"/>
  <c r="H99" i="22"/>
  <c r="X100" i="22"/>
  <c r="AB95" i="22"/>
  <c r="AN95" i="22"/>
  <c r="X103" i="22"/>
  <c r="AL104" i="22"/>
  <c r="H105" i="22"/>
  <c r="I104" i="22"/>
  <c r="O108" i="22"/>
  <c r="O112" i="22"/>
  <c r="O116" i="22"/>
  <c r="O120" i="22"/>
  <c r="O124" i="22"/>
  <c r="X125" i="22"/>
  <c r="Y118" i="22"/>
  <c r="X126" i="22"/>
  <c r="AK127" i="22"/>
  <c r="AN133" i="22"/>
  <c r="M132" i="22"/>
  <c r="Y135" i="22"/>
  <c r="Y132" i="22" s="1"/>
  <c r="Y131" i="22" s="1"/>
  <c r="X136" i="22"/>
  <c r="AL148" i="22"/>
  <c r="X153" i="22"/>
  <c r="X152" i="22" s="1"/>
  <c r="Y152" i="22"/>
  <c r="AN155" i="22"/>
  <c r="O159" i="22"/>
  <c r="O158" i="22" s="1"/>
  <c r="U158" i="22"/>
  <c r="U154" i="22" s="1"/>
  <c r="X166" i="22"/>
  <c r="AM168" i="22"/>
  <c r="O180" i="22"/>
  <c r="U178" i="22"/>
  <c r="AE185" i="22"/>
  <c r="AL209" i="22"/>
  <c r="H216" i="22"/>
  <c r="I209" i="22"/>
  <c r="I185" i="22" s="1"/>
  <c r="X221" i="22"/>
  <c r="Y220" i="22"/>
  <c r="AK247" i="22"/>
  <c r="AO246" i="22"/>
  <c r="H251" i="22"/>
  <c r="I250" i="22"/>
  <c r="J264" i="22"/>
  <c r="J256" i="22" s="1"/>
  <c r="O121" i="22"/>
  <c r="X127" i="22"/>
  <c r="AK128" i="22"/>
  <c r="N140" i="22"/>
  <c r="AO141" i="22"/>
  <c r="AK144" i="22"/>
  <c r="L145" i="22"/>
  <c r="H147" i="22"/>
  <c r="AM148" i="22"/>
  <c r="AM150" i="22"/>
  <c r="AO152" i="22"/>
  <c r="AN170" i="22"/>
  <c r="AK171" i="22"/>
  <c r="AK170" i="22" s="1"/>
  <c r="X182" i="22"/>
  <c r="O210" i="22"/>
  <c r="R209" i="22"/>
  <c r="R185" i="22" s="1"/>
  <c r="AN220" i="22"/>
  <c r="AK223" i="22"/>
  <c r="H270" i="22"/>
  <c r="I266" i="22"/>
  <c r="I265" i="22" s="1"/>
  <c r="H326" i="22"/>
  <c r="I325" i="22"/>
  <c r="X186" i="22"/>
  <c r="AB185" i="22"/>
  <c r="AN214" i="22"/>
  <c r="AK214" i="22" s="1"/>
  <c r="H221" i="22"/>
  <c r="I220" i="22"/>
  <c r="R223" i="22"/>
  <c r="S220" i="22"/>
  <c r="O226" i="22"/>
  <c r="O225" i="22" s="1"/>
  <c r="R225" i="22"/>
  <c r="H238" i="22"/>
  <c r="H237" i="22" s="1"/>
  <c r="I237" i="22"/>
  <c r="AH236" i="22"/>
  <c r="J236" i="22"/>
  <c r="N236" i="22"/>
  <c r="O247" i="22"/>
  <c r="O246" i="22" s="1"/>
  <c r="R246" i="22"/>
  <c r="AK263" i="22"/>
  <c r="AM261" i="22"/>
  <c r="Y266" i="22"/>
  <c r="Y265" i="22" s="1"/>
  <c r="X267" i="22"/>
  <c r="AK322" i="22"/>
  <c r="AK343" i="22"/>
  <c r="AM342" i="22"/>
  <c r="AL342" i="22"/>
  <c r="O359" i="22"/>
  <c r="U358" i="22"/>
  <c r="O362" i="22"/>
  <c r="R358" i="22"/>
  <c r="X410" i="22"/>
  <c r="Y406" i="22"/>
  <c r="AO133" i="22"/>
  <c r="AO135" i="22"/>
  <c r="AJ140" i="22"/>
  <c r="X142" i="22"/>
  <c r="AO150" i="22"/>
  <c r="AN152" i="22"/>
  <c r="AG162" i="22"/>
  <c r="O179" i="22"/>
  <c r="R178" i="22"/>
  <c r="AK208" i="22"/>
  <c r="V209" i="22"/>
  <c r="V185" i="22" s="1"/>
  <c r="V184" i="22" s="1"/>
  <c r="V183" i="22" s="1"/>
  <c r="AP222" i="22"/>
  <c r="X223" i="22"/>
  <c r="C225" i="22"/>
  <c r="AO225" i="22"/>
  <c r="V236" i="22"/>
  <c r="Z236" i="22"/>
  <c r="AD236" i="22"/>
  <c r="AO239" i="22"/>
  <c r="AK240" i="22"/>
  <c r="AK239" i="22" s="1"/>
  <c r="AP239" i="22" s="1"/>
  <c r="AK242" i="22"/>
  <c r="AK241" i="22" s="1"/>
  <c r="AL241" i="22"/>
  <c r="AK244" i="22"/>
  <c r="AK243" i="22" s="1"/>
  <c r="AN243" i="22"/>
  <c r="AM246" i="22"/>
  <c r="AK248" i="22"/>
  <c r="AP248" i="22" s="1"/>
  <c r="H253" i="22"/>
  <c r="I252" i="22"/>
  <c r="AK255" i="22"/>
  <c r="AK254" i="22" s="1"/>
  <c r="AL254" i="22"/>
  <c r="AK258" i="22"/>
  <c r="AM257" i="22"/>
  <c r="AG264" i="22"/>
  <c r="AG256" i="22" s="1"/>
  <c r="C281" i="22"/>
  <c r="C280" i="22" s="1"/>
  <c r="W281" i="22"/>
  <c r="Q281" i="22" s="1"/>
  <c r="G280" i="22"/>
  <c r="H285" i="22"/>
  <c r="I280" i="22"/>
  <c r="AL285" i="22"/>
  <c r="S280" i="22"/>
  <c r="AK292" i="22"/>
  <c r="H383" i="22"/>
  <c r="L381" i="22"/>
  <c r="AM381" i="22"/>
  <c r="AK384" i="22"/>
  <c r="AL381" i="22"/>
  <c r="O395" i="22"/>
  <c r="R394" i="22"/>
  <c r="H403" i="22"/>
  <c r="I394" i="22"/>
  <c r="AA132" i="22"/>
  <c r="AA131" i="22" s="1"/>
  <c r="AE132" i="22"/>
  <c r="AE131" i="22" s="1"/>
  <c r="AI132" i="22"/>
  <c r="AI131" i="22" s="1"/>
  <c r="T140" i="22"/>
  <c r="AF140" i="22"/>
  <c r="X144" i="22"/>
  <c r="AM158" i="22"/>
  <c r="O161" i="22"/>
  <c r="O160" i="22" s="1"/>
  <c r="R160" i="22"/>
  <c r="K162" i="22"/>
  <c r="AC162" i="22"/>
  <c r="AE163" i="22"/>
  <c r="AE162" i="22" s="1"/>
  <c r="H167" i="22"/>
  <c r="AO168" i="22"/>
  <c r="AO172" i="22"/>
  <c r="AB172" i="22"/>
  <c r="AN174" i="22"/>
  <c r="O181" i="22"/>
  <c r="C185" i="22"/>
  <c r="X187" i="22"/>
  <c r="X189" i="22"/>
  <c r="X191" i="22"/>
  <c r="X193" i="22"/>
  <c r="X195" i="22"/>
  <c r="X197" i="22"/>
  <c r="X199" i="22"/>
  <c r="X201" i="22"/>
  <c r="X203" i="22"/>
  <c r="X205" i="22"/>
  <c r="X207" i="22"/>
  <c r="AO209" i="22"/>
  <c r="AO185" i="22" s="1"/>
  <c r="H215" i="22"/>
  <c r="AL225" i="22"/>
  <c r="K236" i="22"/>
  <c r="AB236" i="22"/>
  <c r="L236" i="22"/>
  <c r="H242" i="22"/>
  <c r="I241" i="22"/>
  <c r="AK251" i="22"/>
  <c r="AK250" i="22" s="1"/>
  <c r="AL250" i="22"/>
  <c r="AL252" i="22"/>
  <c r="H255" i="22"/>
  <c r="I254" i="22"/>
  <c r="AN257" i="22"/>
  <c r="AB266" i="22"/>
  <c r="AB265" i="22" s="1"/>
  <c r="X282" i="22"/>
  <c r="Y280" i="22"/>
  <c r="H298" i="22"/>
  <c r="L296" i="22"/>
  <c r="AE296" i="22"/>
  <c r="X301" i="22"/>
  <c r="O307" i="22"/>
  <c r="R296" i="22"/>
  <c r="X326" i="22"/>
  <c r="Y325" i="22"/>
  <c r="AE330" i="22"/>
  <c r="N330" i="22"/>
  <c r="N264" i="22" s="1"/>
  <c r="L334" i="22"/>
  <c r="H334" i="22" s="1"/>
  <c r="R355" i="22"/>
  <c r="T354" i="22"/>
  <c r="AM355" i="22"/>
  <c r="O368" i="22"/>
  <c r="R366" i="22"/>
  <c r="AM285" i="22"/>
  <c r="AM280" i="22" s="1"/>
  <c r="T280" i="22"/>
  <c r="AK295" i="22"/>
  <c r="AL293" i="22"/>
  <c r="AM320" i="22"/>
  <c r="AK320" i="22" s="1"/>
  <c r="I320" i="22"/>
  <c r="H320" i="22" s="1"/>
  <c r="O322" i="22"/>
  <c r="R309" i="22"/>
  <c r="AE309" i="22"/>
  <c r="L325" i="22"/>
  <c r="AO334" i="22"/>
  <c r="AO330" i="22" s="1"/>
  <c r="G330" i="22"/>
  <c r="H343" i="22"/>
  <c r="H342" i="22" s="1"/>
  <c r="I342" i="22"/>
  <c r="U342" i="22"/>
  <c r="AO346" i="22"/>
  <c r="AO342" i="22" s="1"/>
  <c r="C346" i="22"/>
  <c r="G342" i="22"/>
  <c r="H359" i="22"/>
  <c r="I358" i="22"/>
  <c r="H365" i="22"/>
  <c r="L358" i="22"/>
  <c r="AK380" i="22"/>
  <c r="AK379" i="22" s="1"/>
  <c r="AM379" i="22"/>
  <c r="X382" i="22"/>
  <c r="Y381" i="22"/>
  <c r="X383" i="22"/>
  <c r="AE381" i="22"/>
  <c r="AO386" i="22"/>
  <c r="AK386" i="22" s="1"/>
  <c r="U386" i="22"/>
  <c r="O386" i="22" s="1"/>
  <c r="C391" i="22"/>
  <c r="W391" i="22"/>
  <c r="AB394" i="22"/>
  <c r="X396" i="22"/>
  <c r="X418" i="22"/>
  <c r="AB417" i="22"/>
  <c r="H438" i="22"/>
  <c r="AN444" i="22"/>
  <c r="X268" i="22"/>
  <c r="AN271" i="22"/>
  <c r="AN266" i="22" s="1"/>
  <c r="AN265" i="22" s="1"/>
  <c r="L280" i="22"/>
  <c r="U287" i="22"/>
  <c r="O287" i="22" s="1"/>
  <c r="AO287" i="22"/>
  <c r="AK287" i="22" s="1"/>
  <c r="O294" i="22"/>
  <c r="O293" i="22" s="1"/>
  <c r="R293" i="22"/>
  <c r="Y309" i="22"/>
  <c r="AK310" i="22"/>
  <c r="AL309" i="22"/>
  <c r="X322" i="22"/>
  <c r="AH309" i="22"/>
  <c r="R325" i="22"/>
  <c r="AL330" i="22"/>
  <c r="C330" i="22"/>
  <c r="O340" i="22"/>
  <c r="O339" i="22" s="1"/>
  <c r="R339" i="22"/>
  <c r="H355" i="22"/>
  <c r="H354" i="22" s="1"/>
  <c r="I354" i="22"/>
  <c r="X357" i="22"/>
  <c r="X356" i="22" s="1"/>
  <c r="AB356" i="22"/>
  <c r="O380" i="22"/>
  <c r="O379" i="22" s="1"/>
  <c r="R379" i="22"/>
  <c r="AB381" i="22"/>
  <c r="U383" i="22"/>
  <c r="O383" i="22" s="1"/>
  <c r="AO383" i="22"/>
  <c r="AK383" i="22" s="1"/>
  <c r="X433" i="22"/>
  <c r="AB430" i="22"/>
  <c r="H267" i="22"/>
  <c r="AO268" i="22"/>
  <c r="AK268" i="22" s="1"/>
  <c r="AK269" i="22"/>
  <c r="X272" i="22"/>
  <c r="C274" i="22"/>
  <c r="G266" i="22"/>
  <c r="G265" i="22" s="1"/>
  <c r="W274" i="22"/>
  <c r="Q274" i="22" s="1"/>
  <c r="AO275" i="22"/>
  <c r="AK275" i="22" s="1"/>
  <c r="X279" i="22"/>
  <c r="AB280" i="22"/>
  <c r="X287" i="22"/>
  <c r="AO289" i="22"/>
  <c r="AK289" i="22" s="1"/>
  <c r="X291" i="22"/>
  <c r="AN293" i="22"/>
  <c r="AM296" i="22"/>
  <c r="Y296" i="22"/>
  <c r="H299" i="22"/>
  <c r="I296" i="22"/>
  <c r="AK301" i="22"/>
  <c r="AK303" i="22"/>
  <c r="AK305" i="22"/>
  <c r="AK307" i="22"/>
  <c r="X310" i="22"/>
  <c r="X312" i="22"/>
  <c r="L309" i="22"/>
  <c r="X317" i="22"/>
  <c r="X319" i="22"/>
  <c r="AO325" i="22"/>
  <c r="H329" i="22"/>
  <c r="H331" i="22"/>
  <c r="AL339" i="22"/>
  <c r="X355" i="22"/>
  <c r="X354" i="22" s="1"/>
  <c r="AE354" i="22"/>
  <c r="AN356" i="22"/>
  <c r="AM358" i="22"/>
  <c r="AM366" i="22"/>
  <c r="H370" i="22"/>
  <c r="L366" i="22"/>
  <c r="H393" i="22"/>
  <c r="I381" i="22"/>
  <c r="L408" i="22"/>
  <c r="H408" i="22" s="1"/>
  <c r="W408" i="22"/>
  <c r="Q408" i="22" s="1"/>
  <c r="N406" i="22"/>
  <c r="H432" i="22"/>
  <c r="I430" i="22"/>
  <c r="O443" i="22"/>
  <c r="O442" i="22" s="1"/>
  <c r="U442" i="22"/>
  <c r="L430" i="22"/>
  <c r="H431" i="22"/>
  <c r="AH430" i="22"/>
  <c r="R444" i="22"/>
  <c r="O445" i="22"/>
  <c r="AO444" i="22"/>
  <c r="W471" i="22"/>
  <c r="Q471" i="22" s="1"/>
  <c r="H471" i="22"/>
  <c r="AK388" i="22"/>
  <c r="AO394" i="22"/>
  <c r="X395" i="22"/>
  <c r="Y394" i="22"/>
  <c r="AB406" i="22"/>
  <c r="X407" i="22"/>
  <c r="AM406" i="22"/>
  <c r="AK412" i="22"/>
  <c r="AN417" i="22"/>
  <c r="AK424" i="22"/>
  <c r="AO430" i="22"/>
  <c r="AK432" i="22"/>
  <c r="X434" i="22"/>
  <c r="O438" i="22"/>
  <c r="U437" i="22"/>
  <c r="H451" i="22"/>
  <c r="L444" i="22"/>
  <c r="U492" i="22"/>
  <c r="O493" i="22"/>
  <c r="H500" i="22"/>
  <c r="U542" i="22"/>
  <c r="O543" i="22"/>
  <c r="O542" i="22" s="1"/>
  <c r="X388" i="22"/>
  <c r="AK390" i="22"/>
  <c r="AK398" i="22"/>
  <c r="H402" i="22"/>
  <c r="AL406" i="22"/>
  <c r="O407" i="22"/>
  <c r="AE406" i="22"/>
  <c r="AN406" i="22"/>
  <c r="O412" i="22"/>
  <c r="H416" i="22"/>
  <c r="AO417" i="22"/>
  <c r="U417" i="22"/>
  <c r="AK418" i="22"/>
  <c r="AK422" i="22"/>
  <c r="X424" i="22"/>
  <c r="H426" i="22"/>
  <c r="R430" i="22"/>
  <c r="AL430" i="22"/>
  <c r="O432" i="22"/>
  <c r="U430" i="22"/>
  <c r="AK433" i="22"/>
  <c r="AO437" i="22"/>
  <c r="R437" i="22"/>
  <c r="AK440" i="22"/>
  <c r="AM441" i="22"/>
  <c r="K437" i="22"/>
  <c r="AK443" i="22"/>
  <c r="AK442" i="22" s="1"/>
  <c r="AL442" i="22"/>
  <c r="AO479" i="22"/>
  <c r="AK479" i="22" s="1"/>
  <c r="U479" i="22"/>
  <c r="O479" i="22" s="1"/>
  <c r="I481" i="22"/>
  <c r="K480" i="22"/>
  <c r="AO483" i="22"/>
  <c r="U483" i="22"/>
  <c r="U480" i="22" s="1"/>
  <c r="W480" i="22"/>
  <c r="Q480" i="22" s="1"/>
  <c r="AL492" i="22"/>
  <c r="AK493" i="22"/>
  <c r="AM500" i="22"/>
  <c r="I536" i="22"/>
  <c r="H536" i="22" s="1"/>
  <c r="AM536" i="22"/>
  <c r="AK536" i="22" s="1"/>
  <c r="K532" i="22"/>
  <c r="AK445" i="22"/>
  <c r="AL444" i="22"/>
  <c r="AK466" i="22"/>
  <c r="Y467" i="22"/>
  <c r="AL467" i="22"/>
  <c r="X468" i="22"/>
  <c r="L467" i="22"/>
  <c r="X473" i="22"/>
  <c r="AK474" i="22"/>
  <c r="AM481" i="22"/>
  <c r="AK486" i="22"/>
  <c r="AL480" i="22"/>
  <c r="AK488" i="22"/>
  <c r="AK494" i="22"/>
  <c r="I497" i="22"/>
  <c r="H498" i="22"/>
  <c r="H497" i="22" s="1"/>
  <c r="AN500" i="22"/>
  <c r="H520" i="22"/>
  <c r="H518" i="22" s="1"/>
  <c r="I518" i="22"/>
  <c r="H547" i="22"/>
  <c r="I546" i="22"/>
  <c r="AL546" i="22"/>
  <c r="AN546" i="22"/>
  <c r="AL566" i="22"/>
  <c r="AK567" i="22"/>
  <c r="I446" i="22"/>
  <c r="K444" i="22"/>
  <c r="O447" i="22"/>
  <c r="AK450" i="22"/>
  <c r="H455" i="22"/>
  <c r="AK462" i="22"/>
  <c r="I467" i="22"/>
  <c r="R480" i="22"/>
  <c r="X482" i="22"/>
  <c r="O501" i="22"/>
  <c r="R500" i="22"/>
  <c r="C500" i="22"/>
  <c r="AG523" i="22"/>
  <c r="AK531" i="22"/>
  <c r="AK530" i="22" s="1"/>
  <c r="AL530" i="22"/>
  <c r="O469" i="22"/>
  <c r="AB467" i="22"/>
  <c r="AK472" i="22"/>
  <c r="AK476" i="22"/>
  <c r="AK482" i="22"/>
  <c r="AK487" i="22"/>
  <c r="H491" i="22"/>
  <c r="X493" i="22"/>
  <c r="X492" i="22" s="1"/>
  <c r="AN498" i="22"/>
  <c r="I500" i="22"/>
  <c r="X501" i="22"/>
  <c r="AH500" i="22"/>
  <c r="AE500" i="22"/>
  <c r="AK512" i="22"/>
  <c r="AK517" i="22"/>
  <c r="AA523" i="22"/>
  <c r="AI523" i="22"/>
  <c r="AK525" i="22"/>
  <c r="AK524" i="22" s="1"/>
  <c r="AK527" i="22"/>
  <c r="AK526" i="22" s="1"/>
  <c r="AM526" i="22"/>
  <c r="O529" i="22"/>
  <c r="AK529" i="22"/>
  <c r="AK528" i="22" s="1"/>
  <c r="AN532" i="22"/>
  <c r="AK534" i="22"/>
  <c r="AK538" i="22"/>
  <c r="AL537" i="22"/>
  <c r="H539" i="22"/>
  <c r="AK541" i="22"/>
  <c r="AK540" i="22" s="1"/>
  <c r="AD546" i="22"/>
  <c r="AD523" i="22" s="1"/>
  <c r="AB547" i="22"/>
  <c r="AB546" i="22" s="1"/>
  <c r="AB523" i="22" s="1"/>
  <c r="O558" i="22"/>
  <c r="U557" i="22"/>
  <c r="AK578" i="22"/>
  <c r="AK577" i="22" s="1"/>
  <c r="AN577" i="22"/>
  <c r="H585" i="22"/>
  <c r="H584" i="22" s="1"/>
  <c r="I584" i="22"/>
  <c r="AK522" i="22"/>
  <c r="AL518" i="22"/>
  <c r="T523" i="22"/>
  <c r="AF523" i="22"/>
  <c r="AJ523" i="22"/>
  <c r="X548" i="22"/>
  <c r="AE546" i="22"/>
  <c r="AE523" i="22" s="1"/>
  <c r="C550" i="22"/>
  <c r="C546" i="22" s="1"/>
  <c r="C523" i="22" s="1"/>
  <c r="G546" i="22"/>
  <c r="G523" i="22" s="1"/>
  <c r="W550" i="22"/>
  <c r="Q550" i="22" s="1"/>
  <c r="AL584" i="22"/>
  <c r="J583" i="22"/>
  <c r="AC583" i="22"/>
  <c r="AN584" i="22"/>
  <c r="H448" i="22"/>
  <c r="AK454" i="22"/>
  <c r="O459" i="22"/>
  <c r="H464" i="22"/>
  <c r="R467" i="22"/>
  <c r="AN467" i="22"/>
  <c r="X469" i="22"/>
  <c r="H475" i="22"/>
  <c r="H479" i="22"/>
  <c r="AN480" i="22"/>
  <c r="AK485" i="22"/>
  <c r="AK489" i="22"/>
  <c r="R492" i="22"/>
  <c r="U497" i="22"/>
  <c r="AK502" i="22"/>
  <c r="AL500" i="22"/>
  <c r="O505" i="22"/>
  <c r="O507" i="22"/>
  <c r="AK513" i="22"/>
  <c r="O517" i="22"/>
  <c r="AM518" i="22"/>
  <c r="AK519" i="22"/>
  <c r="X522" i="22"/>
  <c r="X518" i="22" s="1"/>
  <c r="I524" i="22"/>
  <c r="M523" i="22"/>
  <c r="H531" i="22"/>
  <c r="H530" i="22" s="1"/>
  <c r="I530" i="22"/>
  <c r="AK533" i="22"/>
  <c r="U540" i="22"/>
  <c r="O540" i="22" s="1"/>
  <c r="Y546" i="22"/>
  <c r="X549" i="22"/>
  <c r="X552" i="22"/>
  <c r="R557" i="22"/>
  <c r="O559" i="22"/>
  <c r="H563" i="22"/>
  <c r="H562" i="22" s="1"/>
  <c r="I562" i="22"/>
  <c r="X580" i="22"/>
  <c r="X579" i="22" s="1"/>
  <c r="Y579" i="22"/>
  <c r="AM566" i="22"/>
  <c r="AM584" i="22"/>
  <c r="K583" i="22"/>
  <c r="U589" i="22"/>
  <c r="X553" i="22"/>
  <c r="AM558" i="22"/>
  <c r="K557" i="22"/>
  <c r="AL557" i="22"/>
  <c r="AN581" i="22"/>
  <c r="O588" i="22"/>
  <c r="O586" i="22" s="1"/>
  <c r="R586" i="22"/>
  <c r="Y589" i="22"/>
  <c r="AM598" i="22"/>
  <c r="AK545" i="22"/>
  <c r="AK544" i="22" s="1"/>
  <c r="AO547" i="22"/>
  <c r="AK549" i="22"/>
  <c r="AK552" i="22"/>
  <c r="O556" i="22"/>
  <c r="AN562" i="22"/>
  <c r="AK565" i="22"/>
  <c r="AK564" i="22" s="1"/>
  <c r="H570" i="22"/>
  <c r="O573" i="22"/>
  <c r="AK580" i="22"/>
  <c r="AK579" i="22" s="1"/>
  <c r="AL579" i="22"/>
  <c r="AK587" i="22"/>
  <c r="AL586" i="22"/>
  <c r="L589" i="22"/>
  <c r="AL589" i="22"/>
  <c r="AM602" i="22"/>
  <c r="I602" i="22"/>
  <c r="I610" i="22"/>
  <c r="Y612" i="22"/>
  <c r="I614" i="22"/>
  <c r="O616" i="22"/>
  <c r="I618" i="22"/>
  <c r="I628" i="22"/>
  <c r="I634" i="22"/>
  <c r="AM634" i="22"/>
  <c r="X635" i="22"/>
  <c r="X634" i="22" s="1"/>
  <c r="Y638" i="22"/>
  <c r="U602" i="22"/>
  <c r="U610" i="22"/>
  <c r="Y610" i="22"/>
  <c r="I612" i="22"/>
  <c r="U614" i="22"/>
  <c r="Y614" i="22"/>
  <c r="I622" i="22"/>
  <c r="I626" i="22"/>
  <c r="L630" i="22"/>
  <c r="R630" i="22"/>
  <c r="Y636" i="22"/>
  <c r="I638" i="22"/>
  <c r="M183" i="22" l="1"/>
  <c r="L183" i="22"/>
  <c r="AP204" i="22"/>
  <c r="H49" i="22"/>
  <c r="J183" i="22"/>
  <c r="N183" i="22"/>
  <c r="K183" i="22"/>
  <c r="G31" i="14"/>
  <c r="AD34" i="22"/>
  <c r="AD12" i="22" s="1"/>
  <c r="AO309" i="22"/>
  <c r="AP24" i="22"/>
  <c r="I339" i="22"/>
  <c r="C358" i="22"/>
  <c r="E264" i="22"/>
  <c r="E256" i="22" s="1"/>
  <c r="E235" i="22" s="1"/>
  <c r="E234" i="22" s="1"/>
  <c r="C266" i="22"/>
  <c r="C265" i="22" s="1"/>
  <c r="C264" i="22" s="1"/>
  <c r="O125" i="22"/>
  <c r="AP125" i="22" s="1"/>
  <c r="Z34" i="22"/>
  <c r="Z12" i="22" s="1"/>
  <c r="AH34" i="22"/>
  <c r="AH12" i="22" s="1"/>
  <c r="AK100" i="22"/>
  <c r="AP100" i="22" s="1"/>
  <c r="AL36" i="22"/>
  <c r="AL35" i="22" s="1"/>
  <c r="P583" i="22"/>
  <c r="O72" i="22"/>
  <c r="O70" i="22" s="1"/>
  <c r="AK537" i="22"/>
  <c r="AC235" i="22"/>
  <c r="AC234" i="22" s="1"/>
  <c r="AK602" i="22"/>
  <c r="AK586" i="22"/>
  <c r="R140" i="22"/>
  <c r="AK55" i="22"/>
  <c r="AP55" i="22" s="1"/>
  <c r="O492" i="22"/>
  <c r="AP212" i="22"/>
  <c r="AR34" i="22"/>
  <c r="AP92" i="22"/>
  <c r="AP203" i="22"/>
  <c r="AP195" i="22"/>
  <c r="AK261" i="22"/>
  <c r="O141" i="22"/>
  <c r="O135" i="22"/>
  <c r="O132" i="22" s="1"/>
  <c r="O131" i="22" s="1"/>
  <c r="AP23" i="22"/>
  <c r="Q35" i="22"/>
  <c r="AP106" i="22"/>
  <c r="AP215" i="22"/>
  <c r="AK257" i="22"/>
  <c r="Y35" i="22"/>
  <c r="U140" i="22"/>
  <c r="AP115" i="22"/>
  <c r="AP37" i="22"/>
  <c r="AK163" i="22"/>
  <c r="AP75" i="22"/>
  <c r="AM266" i="22"/>
  <c r="AM265" i="22" s="1"/>
  <c r="Y184" i="22"/>
  <c r="Y183" i="22" s="1"/>
  <c r="U413" i="22"/>
  <c r="O413" i="22" s="1"/>
  <c r="AL132" i="22"/>
  <c r="AL131" i="22" s="1"/>
  <c r="AQ235" i="22"/>
  <c r="AQ234" i="22" s="1"/>
  <c r="AQ10" i="22" s="1"/>
  <c r="AP73" i="22"/>
  <c r="AP108" i="22"/>
  <c r="Q162" i="22"/>
  <c r="D10" i="22"/>
  <c r="AP114" i="22"/>
  <c r="AP33" i="22"/>
  <c r="X614" i="22"/>
  <c r="AP230" i="22"/>
  <c r="AH184" i="22"/>
  <c r="AH183" i="22" s="1"/>
  <c r="AP82" i="22"/>
  <c r="AP77" i="22"/>
  <c r="AG34" i="22"/>
  <c r="AG12" i="22" s="1"/>
  <c r="AM467" i="22"/>
  <c r="AN236" i="22"/>
  <c r="N58" i="22"/>
  <c r="N34" i="22" s="1"/>
  <c r="N12" i="22" s="1"/>
  <c r="L523" i="22"/>
  <c r="AP200" i="22"/>
  <c r="R243" i="22"/>
  <c r="R236" i="22" s="1"/>
  <c r="AP38" i="22"/>
  <c r="AP137" i="22"/>
  <c r="AP122" i="22"/>
  <c r="AP17" i="22"/>
  <c r="AP187" i="22"/>
  <c r="AP190" i="22"/>
  <c r="U162" i="22"/>
  <c r="AP129" i="22"/>
  <c r="AP45" i="22"/>
  <c r="AP22" i="22"/>
  <c r="H103" i="22"/>
  <c r="AP103" i="22" s="1"/>
  <c r="AK145" i="22"/>
  <c r="H537" i="22"/>
  <c r="AP233" i="22"/>
  <c r="AP201" i="22"/>
  <c r="AP193" i="22"/>
  <c r="L140" i="22"/>
  <c r="L139" i="22" s="1"/>
  <c r="L138" i="22" s="1"/>
  <c r="AP128" i="22"/>
  <c r="Y162" i="22"/>
  <c r="AK178" i="22"/>
  <c r="G32" i="3"/>
  <c r="AP192" i="22"/>
  <c r="AI235" i="22"/>
  <c r="AI234" i="22" s="1"/>
  <c r="AP107" i="22"/>
  <c r="AO132" i="22"/>
  <c r="AO131" i="22" s="1"/>
  <c r="H42" i="22"/>
  <c r="X42" i="22"/>
  <c r="AP217" i="22"/>
  <c r="AA139" i="22"/>
  <c r="AA138" i="22" s="1"/>
  <c r="AP91" i="22"/>
  <c r="AJ139" i="22"/>
  <c r="AJ138" i="22" s="1"/>
  <c r="AP206" i="22"/>
  <c r="O614" i="22"/>
  <c r="C342" i="22"/>
  <c r="AK220" i="22"/>
  <c r="AP173" i="22"/>
  <c r="AD139" i="22"/>
  <c r="AD138" i="22" s="1"/>
  <c r="AK638" i="22"/>
  <c r="AK612" i="22"/>
  <c r="AK614" i="22"/>
  <c r="AK632" i="22"/>
  <c r="AK626" i="22"/>
  <c r="AK237" i="22"/>
  <c r="AP237" i="22" s="1"/>
  <c r="AP224" i="22"/>
  <c r="V139" i="22"/>
  <c r="V138" i="22" s="1"/>
  <c r="AP149" i="22"/>
  <c r="Q296" i="22"/>
  <c r="AP74" i="22"/>
  <c r="AP63" i="22"/>
  <c r="O437" i="22"/>
  <c r="I437" i="22"/>
  <c r="H309" i="22"/>
  <c r="U209" i="22"/>
  <c r="U185" i="22" s="1"/>
  <c r="U184" i="22" s="1"/>
  <c r="U183" i="22" s="1"/>
  <c r="AP182" i="22"/>
  <c r="AP126" i="22"/>
  <c r="O417" i="22"/>
  <c r="AK225" i="22"/>
  <c r="AP225" i="22" s="1"/>
  <c r="AN154" i="22"/>
  <c r="AP15" i="22"/>
  <c r="AP85" i="22"/>
  <c r="AP211" i="22"/>
  <c r="AP194" i="22"/>
  <c r="H178" i="22"/>
  <c r="AP18" i="22"/>
  <c r="H602" i="22"/>
  <c r="AR235" i="22"/>
  <c r="AR234" i="22" s="1"/>
  <c r="AP80" i="22"/>
  <c r="AL162" i="22"/>
  <c r="AP90" i="22"/>
  <c r="H614" i="22"/>
  <c r="AN583" i="22"/>
  <c r="AO480" i="22"/>
  <c r="AK417" i="22"/>
  <c r="AK366" i="22"/>
  <c r="H437" i="22"/>
  <c r="O296" i="22"/>
  <c r="AP207" i="22"/>
  <c r="AP199" i="22"/>
  <c r="AP191" i="22"/>
  <c r="AP181" i="22"/>
  <c r="AB309" i="22"/>
  <c r="AB264" i="22" s="1"/>
  <c r="AB256" i="22" s="1"/>
  <c r="AB235" i="22" s="1"/>
  <c r="AB234" i="22" s="1"/>
  <c r="AN140" i="22"/>
  <c r="AE184" i="22"/>
  <c r="AE183" i="22" s="1"/>
  <c r="AP116" i="22"/>
  <c r="AP88" i="22"/>
  <c r="O145" i="22"/>
  <c r="AK277" i="22"/>
  <c r="AP196" i="22"/>
  <c r="AP188" i="22"/>
  <c r="AM184" i="22"/>
  <c r="AM183" i="22" s="1"/>
  <c r="O81" i="22"/>
  <c r="AO70" i="22"/>
  <c r="AK70" i="22" s="1"/>
  <c r="X154" i="22"/>
  <c r="W58" i="22"/>
  <c r="W34" i="22" s="1"/>
  <c r="W12" i="22" s="1"/>
  <c r="AP102" i="22"/>
  <c r="AP46" i="22"/>
  <c r="AP44" i="22"/>
  <c r="AN13" i="22"/>
  <c r="AP109" i="22"/>
  <c r="AP164" i="22"/>
  <c r="AO583" i="22"/>
  <c r="AP113" i="22"/>
  <c r="AK630" i="22"/>
  <c r="AK104" i="22"/>
  <c r="AP214" i="22"/>
  <c r="AP97" i="22"/>
  <c r="AP72" i="22"/>
  <c r="AP68" i="22"/>
  <c r="X104" i="22"/>
  <c r="X13" i="22"/>
  <c r="O444" i="22"/>
  <c r="AH264" i="22"/>
  <c r="AH256" i="22" s="1"/>
  <c r="AH235" i="22" s="1"/>
  <c r="AH234" i="22" s="1"/>
  <c r="AP205" i="22"/>
  <c r="AP197" i="22"/>
  <c r="AP189" i="22"/>
  <c r="AG235" i="22"/>
  <c r="AG234" i="22" s="1"/>
  <c r="AM236" i="22"/>
  <c r="AP147" i="22"/>
  <c r="AP78" i="22"/>
  <c r="F11" i="22"/>
  <c r="F10" i="22" s="1"/>
  <c r="H141" i="22"/>
  <c r="R58" i="22"/>
  <c r="AP101" i="22"/>
  <c r="AK42" i="22"/>
  <c r="AP49" i="22"/>
  <c r="AK608" i="22"/>
  <c r="Q583" i="22"/>
  <c r="AP219" i="22"/>
  <c r="AP202" i="22"/>
  <c r="AK160" i="22"/>
  <c r="AP160" i="22" s="1"/>
  <c r="AP47" i="22"/>
  <c r="AK624" i="22"/>
  <c r="O602" i="22"/>
  <c r="X589" i="22"/>
  <c r="AF34" i="22"/>
  <c r="AF12" i="22" s="1"/>
  <c r="O36" i="22"/>
  <c r="AP110" i="22"/>
  <c r="Q154" i="22"/>
  <c r="AP21" i="22"/>
  <c r="Q132" i="22"/>
  <c r="H589" i="22"/>
  <c r="H339" i="22"/>
  <c r="AP218" i="22"/>
  <c r="AO48" i="22"/>
  <c r="AO35" i="22" s="1"/>
  <c r="C583" i="22"/>
  <c r="AP76" i="22"/>
  <c r="AK589" i="22"/>
  <c r="X500" i="22"/>
  <c r="H546" i="22"/>
  <c r="H417" i="22"/>
  <c r="H394" i="22"/>
  <c r="X406" i="22"/>
  <c r="AK394" i="22"/>
  <c r="C381" i="22"/>
  <c r="AK293" i="22"/>
  <c r="O366" i="22"/>
  <c r="AO184" i="22"/>
  <c r="AO183" i="22" s="1"/>
  <c r="AK172" i="22"/>
  <c r="AP172" i="22" s="1"/>
  <c r="R154" i="22"/>
  <c r="AF139" i="22"/>
  <c r="AF138" i="22" s="1"/>
  <c r="AP243" i="22"/>
  <c r="O236" i="22"/>
  <c r="AB184" i="22"/>
  <c r="AB183" i="22" s="1"/>
  <c r="AP247" i="22"/>
  <c r="AP216" i="22"/>
  <c r="AP180" i="22"/>
  <c r="AP124" i="22"/>
  <c r="AP112" i="22"/>
  <c r="AO154" i="22"/>
  <c r="AP40" i="22"/>
  <c r="AP98" i="22"/>
  <c r="AO13" i="22"/>
  <c r="AB583" i="22"/>
  <c r="P523" i="22"/>
  <c r="AP123" i="22"/>
  <c r="U309" i="22"/>
  <c r="AA235" i="22"/>
  <c r="AA234" i="22" s="1"/>
  <c r="AK358" i="22"/>
  <c r="I309" i="22"/>
  <c r="I264" i="22" s="1"/>
  <c r="AK174" i="22"/>
  <c r="AP174" i="22" s="1"/>
  <c r="AP151" i="22"/>
  <c r="O209" i="22"/>
  <c r="O185" i="22" s="1"/>
  <c r="AP121" i="22"/>
  <c r="X135" i="22"/>
  <c r="X132" i="22" s="1"/>
  <c r="X131" i="22" s="1"/>
  <c r="AP99" i="22"/>
  <c r="AK93" i="22"/>
  <c r="AP93" i="22" s="1"/>
  <c r="AP87" i="22"/>
  <c r="AP64" i="22"/>
  <c r="Y154" i="22"/>
  <c r="AP52" i="22"/>
  <c r="AL154" i="22"/>
  <c r="AP65" i="22"/>
  <c r="Z139" i="22"/>
  <c r="Z138" i="22" s="1"/>
  <c r="AH139" i="22"/>
  <c r="AH138" i="22" s="1"/>
  <c r="AO413" i="22"/>
  <c r="AK413" i="22" s="1"/>
  <c r="O497" i="22"/>
  <c r="AP198" i="22"/>
  <c r="W139" i="22"/>
  <c r="W138" i="22" s="1"/>
  <c r="X394" i="22"/>
  <c r="AK158" i="22"/>
  <c r="AP158" i="22" s="1"/>
  <c r="L406" i="22"/>
  <c r="AP143" i="22"/>
  <c r="H135" i="22"/>
  <c r="H132" i="22" s="1"/>
  <c r="M235" i="22"/>
  <c r="M234" i="22" s="1"/>
  <c r="AP127" i="22"/>
  <c r="O430" i="22"/>
  <c r="AK356" i="22"/>
  <c r="AK296" i="22"/>
  <c r="X330" i="22"/>
  <c r="X339" i="22"/>
  <c r="X480" i="22"/>
  <c r="H366" i="22"/>
  <c r="O394" i="22"/>
  <c r="H566" i="22"/>
  <c r="R523" i="22"/>
  <c r="AK566" i="22"/>
  <c r="H266" i="22"/>
  <c r="H265" i="22" s="1"/>
  <c r="O309" i="22"/>
  <c r="X296" i="22"/>
  <c r="H280" i="22"/>
  <c r="AF235" i="22"/>
  <c r="AF234" i="22" s="1"/>
  <c r="AP226" i="22"/>
  <c r="AP134" i="22"/>
  <c r="AB58" i="22"/>
  <c r="AP41" i="22"/>
  <c r="H330" i="22"/>
  <c r="X163" i="22"/>
  <c r="U296" i="22"/>
  <c r="N139" i="22"/>
  <c r="N138" i="22" s="1"/>
  <c r="AP54" i="22"/>
  <c r="G11" i="22"/>
  <c r="Q236" i="22"/>
  <c r="AP62" i="22"/>
  <c r="E11" i="22"/>
  <c r="AJ34" i="22"/>
  <c r="AJ12" i="22" s="1"/>
  <c r="AP213" i="22"/>
  <c r="AP43" i="22"/>
  <c r="AP111" i="22"/>
  <c r="AB35" i="22"/>
  <c r="J34" i="22"/>
  <c r="J12" i="22" s="1"/>
  <c r="AK483" i="22"/>
  <c r="AP146" i="22"/>
  <c r="U48" i="22"/>
  <c r="U35" i="22" s="1"/>
  <c r="AP66" i="22"/>
  <c r="R264" i="22"/>
  <c r="Y523" i="22"/>
  <c r="L583" i="22"/>
  <c r="K523" i="22"/>
  <c r="AM532" i="22"/>
  <c r="AK430" i="22"/>
  <c r="AM162" i="22"/>
  <c r="AP144" i="22"/>
  <c r="L81" i="22"/>
  <c r="O48" i="22"/>
  <c r="AP50" i="22"/>
  <c r="AR13" i="22"/>
  <c r="AA34" i="22"/>
  <c r="AA12" i="22" s="1"/>
  <c r="I184" i="22"/>
  <c r="AP53" i="22"/>
  <c r="H467" i="22"/>
  <c r="N256" i="22"/>
  <c r="N235" i="22" s="1"/>
  <c r="N234" i="22" s="1"/>
  <c r="AO236" i="22"/>
  <c r="H81" i="22"/>
  <c r="AP89" i="22"/>
  <c r="AK618" i="22"/>
  <c r="P162" i="22"/>
  <c r="AI34" i="22"/>
  <c r="AI12" i="22" s="1"/>
  <c r="AP67" i="22"/>
  <c r="AJ235" i="22"/>
  <c r="AJ234" i="22" s="1"/>
  <c r="X280" i="22"/>
  <c r="AK150" i="22"/>
  <c r="AP150" i="22" s="1"/>
  <c r="AK622" i="22"/>
  <c r="U583" i="22"/>
  <c r="AN523" i="22"/>
  <c r="Y583" i="22"/>
  <c r="AL523" i="22"/>
  <c r="AK334" i="22"/>
  <c r="AK330" i="22" s="1"/>
  <c r="AO281" i="22"/>
  <c r="AO280" i="22" s="1"/>
  <c r="AL236" i="22"/>
  <c r="AD235" i="22"/>
  <c r="AD234" i="22" s="1"/>
  <c r="AK346" i="22"/>
  <c r="AK342" i="22" s="1"/>
  <c r="AO162" i="22"/>
  <c r="I58" i="22"/>
  <c r="Y140" i="22"/>
  <c r="AE139" i="22"/>
  <c r="AE138" i="22" s="1"/>
  <c r="AP79" i="22"/>
  <c r="X48" i="22"/>
  <c r="AP56" i="22"/>
  <c r="AL58" i="22"/>
  <c r="O532" i="22"/>
  <c r="T265" i="22"/>
  <c r="AK339" i="22"/>
  <c r="P58" i="22"/>
  <c r="S139" i="22"/>
  <c r="P154" i="22"/>
  <c r="O42" i="22"/>
  <c r="P59" i="22"/>
  <c r="AC34" i="22"/>
  <c r="AC12" i="22" s="1"/>
  <c r="R583" i="22"/>
  <c r="AK532" i="22"/>
  <c r="H430" i="22"/>
  <c r="X309" i="22"/>
  <c r="AE264" i="22"/>
  <c r="AE256" i="22" s="1"/>
  <c r="AE235" i="22" s="1"/>
  <c r="AE234" i="22" s="1"/>
  <c r="Z235" i="22"/>
  <c r="Z234" i="22" s="1"/>
  <c r="AP240" i="22"/>
  <c r="X81" i="22"/>
  <c r="AP119" i="22"/>
  <c r="X95" i="22"/>
  <c r="AP94" i="22"/>
  <c r="O95" i="22"/>
  <c r="H209" i="22"/>
  <c r="H185" i="22" s="1"/>
  <c r="AM35" i="22"/>
  <c r="AK610" i="22"/>
  <c r="AP165" i="22"/>
  <c r="Q185" i="22"/>
  <c r="T184" i="22"/>
  <c r="P236" i="22"/>
  <c r="P209" i="22"/>
  <c r="AP177" i="22"/>
  <c r="P140" i="22"/>
  <c r="AP86" i="22"/>
  <c r="P36" i="22"/>
  <c r="AE34" i="22"/>
  <c r="AE12" i="22" s="1"/>
  <c r="AK500" i="22"/>
  <c r="O500" i="22"/>
  <c r="AK444" i="22"/>
  <c r="K256" i="22"/>
  <c r="K235" i="22" s="1"/>
  <c r="K640" i="22" s="1"/>
  <c r="H406" i="22"/>
  <c r="U391" i="22"/>
  <c r="O391" i="22" s="1"/>
  <c r="O381" i="22" s="1"/>
  <c r="Q391" i="22"/>
  <c r="T139" i="22"/>
  <c r="Q140" i="22"/>
  <c r="S184" i="22"/>
  <c r="S183" i="22" s="1"/>
  <c r="P220" i="22"/>
  <c r="AK168" i="22"/>
  <c r="AK148" i="22"/>
  <c r="AP148" i="22" s="1"/>
  <c r="P185" i="22"/>
  <c r="S131" i="22"/>
  <c r="P131" i="22" s="1"/>
  <c r="P132" i="22"/>
  <c r="T34" i="22"/>
  <c r="S34" i="22"/>
  <c r="P35" i="22"/>
  <c r="Q354" i="22"/>
  <c r="S264" i="22"/>
  <c r="P280" i="22"/>
  <c r="AP238" i="22"/>
  <c r="AK135" i="22"/>
  <c r="AP69" i="22"/>
  <c r="X59" i="22"/>
  <c r="AP170" i="22"/>
  <c r="AB162" i="22"/>
  <c r="AB139" i="22" s="1"/>
  <c r="AB138" i="22" s="1"/>
  <c r="AP83" i="22"/>
  <c r="AP51" i="22"/>
  <c r="W336" i="22"/>
  <c r="H335" i="22"/>
  <c r="AI139" i="22"/>
  <c r="AI138" i="22" s="1"/>
  <c r="Q131" i="22"/>
  <c r="AM583" i="22"/>
  <c r="U471" i="22"/>
  <c r="AO471" i="22"/>
  <c r="W467" i="22"/>
  <c r="Q467" i="22" s="1"/>
  <c r="H296" i="22"/>
  <c r="X185" i="22"/>
  <c r="AP186" i="22"/>
  <c r="AP120" i="22"/>
  <c r="O355" i="22"/>
  <c r="O354" i="22" s="1"/>
  <c r="R354" i="22"/>
  <c r="AK271" i="22"/>
  <c r="AP167" i="22"/>
  <c r="H381" i="22"/>
  <c r="AK285" i="22"/>
  <c r="AL280" i="22"/>
  <c r="AL264" i="22" s="1"/>
  <c r="AL256" i="22" s="1"/>
  <c r="H252" i="22"/>
  <c r="AP252" i="22" s="1"/>
  <c r="AP253" i="22"/>
  <c r="AM309" i="22"/>
  <c r="I236" i="22"/>
  <c r="AO140" i="22"/>
  <c r="AP251" i="22"/>
  <c r="H250" i="22"/>
  <c r="AP250" i="22" s="1"/>
  <c r="AP105" i="22"/>
  <c r="H104" i="22"/>
  <c r="AP84" i="22"/>
  <c r="O154" i="22"/>
  <c r="AM95" i="22"/>
  <c r="AK96" i="22"/>
  <c r="X70" i="22"/>
  <c r="R35" i="22"/>
  <c r="U59" i="22"/>
  <c r="U58" i="22" s="1"/>
  <c r="O61" i="22"/>
  <c r="O59" i="22" s="1"/>
  <c r="AP210" i="22"/>
  <c r="X178" i="22"/>
  <c r="I140" i="22"/>
  <c r="AC139" i="22"/>
  <c r="AC138" i="22" s="1"/>
  <c r="H61" i="22"/>
  <c r="L59" i="22"/>
  <c r="K34" i="22"/>
  <c r="K12" i="22" s="1"/>
  <c r="AM140" i="22"/>
  <c r="AP136" i="22"/>
  <c r="I35" i="22"/>
  <c r="H19" i="22"/>
  <c r="AP19" i="22" s="1"/>
  <c r="L48" i="22"/>
  <c r="H48" i="22" s="1"/>
  <c r="AP16" i="22"/>
  <c r="H39" i="22"/>
  <c r="AM480" i="22"/>
  <c r="AK481" i="22"/>
  <c r="U408" i="22"/>
  <c r="O408" i="22" s="1"/>
  <c r="W406" i="22"/>
  <c r="O178" i="22"/>
  <c r="AP153" i="22"/>
  <c r="AK141" i="22"/>
  <c r="AL140" i="22"/>
  <c r="O104" i="22"/>
  <c r="AK518" i="22"/>
  <c r="H532" i="22"/>
  <c r="I480" i="22"/>
  <c r="H481" i="22"/>
  <c r="H480" i="22" s="1"/>
  <c r="X417" i="22"/>
  <c r="I583" i="22"/>
  <c r="H446" i="22"/>
  <c r="H444" i="22" s="1"/>
  <c r="I444" i="22"/>
  <c r="I532" i="22"/>
  <c r="I523" i="22" s="1"/>
  <c r="AK441" i="22"/>
  <c r="AK437" i="22" s="1"/>
  <c r="AM437" i="22"/>
  <c r="AO391" i="22"/>
  <c r="AK391" i="22" s="1"/>
  <c r="AK381" i="22" s="1"/>
  <c r="AO274" i="22"/>
  <c r="U274" i="22"/>
  <c r="W266" i="22"/>
  <c r="W265" i="22" s="1"/>
  <c r="X430" i="22"/>
  <c r="X381" i="22"/>
  <c r="H358" i="22"/>
  <c r="V326" i="22"/>
  <c r="P326" i="22" s="1"/>
  <c r="X325" i="22"/>
  <c r="AP242" i="22"/>
  <c r="H241" i="22"/>
  <c r="AP241" i="22" s="1"/>
  <c r="W280" i="22"/>
  <c r="Q280" i="22" s="1"/>
  <c r="U281" i="22"/>
  <c r="AN209" i="22"/>
  <c r="AN185" i="22" s="1"/>
  <c r="AN184" i="22" s="1"/>
  <c r="AN183" i="22" s="1"/>
  <c r="O358" i="22"/>
  <c r="X266" i="22"/>
  <c r="X265" i="22" s="1"/>
  <c r="J235" i="22"/>
  <c r="J234" i="22" s="1"/>
  <c r="AP221" i="22"/>
  <c r="H220" i="22"/>
  <c r="AP179" i="22"/>
  <c r="AP171" i="22"/>
  <c r="AL185" i="22"/>
  <c r="AL184" i="22" s="1"/>
  <c r="AL183" i="22" s="1"/>
  <c r="AP71" i="22"/>
  <c r="H70" i="22"/>
  <c r="AM154" i="22"/>
  <c r="K139" i="22"/>
  <c r="AM132" i="22"/>
  <c r="AM131" i="22" s="1"/>
  <c r="AO81" i="22"/>
  <c r="AP166" i="22"/>
  <c r="AK133" i="22"/>
  <c r="AP133" i="22" s="1"/>
  <c r="L70" i="22"/>
  <c r="AP60" i="22"/>
  <c r="O14" i="22"/>
  <c r="U13" i="22"/>
  <c r="AK81" i="22"/>
  <c r="C139" i="22"/>
  <c r="M58" i="22"/>
  <c r="M34" i="22" s="1"/>
  <c r="AN59" i="22"/>
  <c r="AN58" i="22" s="1"/>
  <c r="AP161" i="22"/>
  <c r="AG139" i="22"/>
  <c r="AG138" i="22" s="1"/>
  <c r="AK39" i="22"/>
  <c r="AK20" i="22"/>
  <c r="AP20" i="22" s="1"/>
  <c r="AN36" i="22"/>
  <c r="U550" i="22"/>
  <c r="O550" i="22" s="1"/>
  <c r="W546" i="22"/>
  <c r="Q546" i="22" s="1"/>
  <c r="AP255" i="22"/>
  <c r="H254" i="22"/>
  <c r="AP254" i="22" s="1"/>
  <c r="AK309" i="22"/>
  <c r="O223" i="22"/>
  <c r="R220" i="22"/>
  <c r="R184" i="22" s="1"/>
  <c r="R183" i="22" s="1"/>
  <c r="AM58" i="22"/>
  <c r="AK48" i="22"/>
  <c r="AM557" i="22"/>
  <c r="AK558" i="22"/>
  <c r="AK557" i="22" s="1"/>
  <c r="AO408" i="22"/>
  <c r="X547" i="22"/>
  <c r="X546" i="22" s="1"/>
  <c r="X523" i="22" s="1"/>
  <c r="AL583" i="22"/>
  <c r="AK584" i="22"/>
  <c r="AO550" i="22"/>
  <c r="AK550" i="22" s="1"/>
  <c r="O557" i="22"/>
  <c r="AN497" i="22"/>
  <c r="AK498" i="22"/>
  <c r="AK497" i="22" s="1"/>
  <c r="AK547" i="22"/>
  <c r="O483" i="22"/>
  <c r="O480" i="22" s="1"/>
  <c r="X467" i="22"/>
  <c r="AK492" i="22"/>
  <c r="G264" i="22"/>
  <c r="G256" i="22" s="1"/>
  <c r="G235" i="22" s="1"/>
  <c r="G234" i="22" s="1"/>
  <c r="W381" i="22"/>
  <c r="Q381" i="22" s="1"/>
  <c r="AK355" i="22"/>
  <c r="AK354" i="22" s="1"/>
  <c r="AM354" i="22"/>
  <c r="AP208" i="22"/>
  <c r="C184" i="22"/>
  <c r="X141" i="22"/>
  <c r="X140" i="22" s="1"/>
  <c r="L330" i="22"/>
  <c r="L264" i="22" s="1"/>
  <c r="Y264" i="22"/>
  <c r="Y256" i="22" s="1"/>
  <c r="Y235" i="22" s="1"/>
  <c r="AP244" i="22"/>
  <c r="H325" i="22"/>
  <c r="AP159" i="22"/>
  <c r="H118" i="22"/>
  <c r="AK246" i="22"/>
  <c r="AP246" i="22" s="1"/>
  <c r="X220" i="22"/>
  <c r="AN132" i="22"/>
  <c r="AN131" i="22" s="1"/>
  <c r="M131" i="22"/>
  <c r="I162" i="22"/>
  <c r="H155" i="22"/>
  <c r="AP156" i="22"/>
  <c r="H145" i="22"/>
  <c r="AP142" i="22"/>
  <c r="H96" i="22"/>
  <c r="I95" i="22"/>
  <c r="AK155" i="22"/>
  <c r="X118" i="22"/>
  <c r="C58" i="22"/>
  <c r="Y58" i="22"/>
  <c r="AN162" i="22"/>
  <c r="M139" i="22"/>
  <c r="AK152" i="22"/>
  <c r="AP152" i="22" s="1"/>
  <c r="X168" i="22"/>
  <c r="AP169" i="22"/>
  <c r="AK118" i="22"/>
  <c r="V34" i="22"/>
  <c r="V12" i="22" s="1"/>
  <c r="H163" i="22"/>
  <c r="J139" i="22"/>
  <c r="H523" i="22" l="1"/>
  <c r="O118" i="22"/>
  <c r="H264" i="22"/>
  <c r="J32" i="3"/>
  <c r="J31" i="14"/>
  <c r="F31" i="14" s="1"/>
  <c r="M31" i="14" s="1"/>
  <c r="N640" i="22"/>
  <c r="M640" i="22"/>
  <c r="I183" i="22"/>
  <c r="N31" i="14"/>
  <c r="J640" i="22"/>
  <c r="AK95" i="22"/>
  <c r="H184" i="22"/>
  <c r="X35" i="22"/>
  <c r="R139" i="22"/>
  <c r="R138" i="22" s="1"/>
  <c r="O583" i="22"/>
  <c r="AM264" i="22"/>
  <c r="AM256" i="22" s="1"/>
  <c r="AM235" i="22" s="1"/>
  <c r="AR12" i="22"/>
  <c r="AR11" i="22" s="1"/>
  <c r="AR10" i="22" s="1"/>
  <c r="AA11" i="22"/>
  <c r="AA10" i="22" s="1"/>
  <c r="H583" i="22"/>
  <c r="X583" i="22"/>
  <c r="U139" i="22"/>
  <c r="U138" i="22" s="1"/>
  <c r="O140" i="22"/>
  <c r="O139" i="22" s="1"/>
  <c r="O138" i="22" s="1"/>
  <c r="O58" i="22"/>
  <c r="Y34" i="22"/>
  <c r="Y12" i="22" s="1"/>
  <c r="AJ11" i="22"/>
  <c r="AJ10" i="22" s="1"/>
  <c r="AF11" i="22"/>
  <c r="AF10" i="22" s="1"/>
  <c r="AH11" i="22"/>
  <c r="AH10" i="22" s="1"/>
  <c r="AP42" i="22"/>
  <c r="AG11" i="22"/>
  <c r="AG10" i="22" s="1"/>
  <c r="G10" i="22"/>
  <c r="V11" i="22"/>
  <c r="K31" i="3" s="1"/>
  <c r="W11" i="22"/>
  <c r="L31" i="3" s="1"/>
  <c r="Y234" i="22"/>
  <c r="U381" i="22"/>
  <c r="AO58" i="22"/>
  <c r="AO34" i="22" s="1"/>
  <c r="AO12" i="22" s="1"/>
  <c r="E10" i="22"/>
  <c r="AL34" i="22"/>
  <c r="AL12" i="22" s="1"/>
  <c r="R34" i="22"/>
  <c r="R256" i="22"/>
  <c r="R235" i="22" s="1"/>
  <c r="R234" i="22" s="1"/>
  <c r="O35" i="22"/>
  <c r="L256" i="22"/>
  <c r="L235" i="22" s="1"/>
  <c r="AP81" i="22"/>
  <c r="C256" i="22"/>
  <c r="C235" i="22" s="1"/>
  <c r="C234" i="22" s="1"/>
  <c r="AK162" i="22"/>
  <c r="AP145" i="22"/>
  <c r="AK583" i="22"/>
  <c r="H13" i="22"/>
  <c r="AK281" i="22"/>
  <c r="AK280" i="22" s="1"/>
  <c r="AO139" i="22"/>
  <c r="AO138" i="22" s="1"/>
  <c r="Q58" i="22"/>
  <c r="K234" i="22"/>
  <c r="Z11" i="22"/>
  <c r="Z10" i="22" s="1"/>
  <c r="AI11" i="22"/>
  <c r="AI10" i="22" s="1"/>
  <c r="AD11" i="22"/>
  <c r="AD10" i="22" s="1"/>
  <c r="N11" i="22"/>
  <c r="N10" i="22" s="1"/>
  <c r="AM523" i="22"/>
  <c r="AP168" i="22"/>
  <c r="AK154" i="22"/>
  <c r="AK480" i="22"/>
  <c r="AC11" i="22"/>
  <c r="AC10" i="22" s="1"/>
  <c r="AL235" i="22"/>
  <c r="AL234" i="22" s="1"/>
  <c r="AP135" i="22"/>
  <c r="Y139" i="22"/>
  <c r="Y138" i="22" s="1"/>
  <c r="AM34" i="22"/>
  <c r="AM12" i="22" s="1"/>
  <c r="AO381" i="22"/>
  <c r="I256" i="22"/>
  <c r="I235" i="22" s="1"/>
  <c r="I234" i="22" s="1"/>
  <c r="AB34" i="22"/>
  <c r="AB12" i="22" s="1"/>
  <c r="AB11" i="22" s="1"/>
  <c r="AB10" i="22" s="1"/>
  <c r="L35" i="22"/>
  <c r="X58" i="22"/>
  <c r="AK59" i="22"/>
  <c r="AK58" i="22" s="1"/>
  <c r="AK209" i="22"/>
  <c r="AK185" i="22" s="1"/>
  <c r="AK184" i="22" s="1"/>
  <c r="AK183" i="22" s="1"/>
  <c r="AK546" i="22"/>
  <c r="AK523" i="22" s="1"/>
  <c r="AP61" i="22"/>
  <c r="AP178" i="22"/>
  <c r="M12" i="22"/>
  <c r="U34" i="22"/>
  <c r="AP141" i="22"/>
  <c r="X184" i="22"/>
  <c r="X183" i="22" s="1"/>
  <c r="T138" i="22"/>
  <c r="Q139" i="22"/>
  <c r="T183" i="22"/>
  <c r="Q184" i="22"/>
  <c r="U406" i="22"/>
  <c r="O406" i="22" s="1"/>
  <c r="Q406" i="22"/>
  <c r="H256" i="22"/>
  <c r="S256" i="22"/>
  <c r="S12" i="22"/>
  <c r="P34" i="22"/>
  <c r="P184" i="22"/>
  <c r="Q265" i="22"/>
  <c r="T264" i="22"/>
  <c r="Q336" i="22"/>
  <c r="AO336" i="22"/>
  <c r="U336" i="22"/>
  <c r="W335" i="22"/>
  <c r="Q335" i="22" s="1"/>
  <c r="T12" i="22"/>
  <c r="Q12" i="22" s="1"/>
  <c r="Q34" i="22"/>
  <c r="S138" i="22"/>
  <c r="P138" i="22" s="1"/>
  <c r="P139" i="22"/>
  <c r="Q266" i="22"/>
  <c r="AE11" i="22"/>
  <c r="AE10" i="22" s="1"/>
  <c r="AP39" i="22"/>
  <c r="H36" i="22"/>
  <c r="H140" i="22"/>
  <c r="O220" i="22"/>
  <c r="O184" i="22" s="1"/>
  <c r="O183" i="22" s="1"/>
  <c r="AP223" i="22"/>
  <c r="H59" i="22"/>
  <c r="K138" i="22"/>
  <c r="K11" i="22" s="1"/>
  <c r="AM139" i="22"/>
  <c r="AM138" i="22" s="1"/>
  <c r="O274" i="22"/>
  <c r="O266" i="22" s="1"/>
  <c r="O265" i="22" s="1"/>
  <c r="U266" i="22"/>
  <c r="U265" i="22" s="1"/>
  <c r="H131" i="22"/>
  <c r="AP104" i="22"/>
  <c r="AK13" i="22"/>
  <c r="X162" i="22"/>
  <c r="X139" i="22" s="1"/>
  <c r="X138" i="22" s="1"/>
  <c r="O13" i="22"/>
  <c r="AP14" i="22"/>
  <c r="H236" i="22"/>
  <c r="C34" i="22"/>
  <c r="AP118" i="22"/>
  <c r="C183" i="22"/>
  <c r="AO406" i="22"/>
  <c r="AK408" i="22"/>
  <c r="AK406" i="22" s="1"/>
  <c r="AN35" i="22"/>
  <c r="AN34" i="22" s="1"/>
  <c r="AN12" i="22" s="1"/>
  <c r="AK36" i="22"/>
  <c r="AK35" i="22" s="1"/>
  <c r="AK274" i="22"/>
  <c r="AK266" i="22" s="1"/>
  <c r="AK265" i="22" s="1"/>
  <c r="AO266" i="22"/>
  <c r="AO265" i="22" s="1"/>
  <c r="AO546" i="22"/>
  <c r="AO523" i="22" s="1"/>
  <c r="I34" i="22"/>
  <c r="I12" i="22" s="1"/>
  <c r="I139" i="22"/>
  <c r="I138" i="22" s="1"/>
  <c r="AK236" i="22"/>
  <c r="AO467" i="22"/>
  <c r="AK471" i="22"/>
  <c r="AK467" i="22" s="1"/>
  <c r="H162" i="22"/>
  <c r="AP163" i="22"/>
  <c r="U546" i="22"/>
  <c r="W523" i="22"/>
  <c r="C138" i="22"/>
  <c r="U280" i="22"/>
  <c r="O281" i="22"/>
  <c r="O280" i="22" s="1"/>
  <c r="H95" i="22"/>
  <c r="AP96" i="22"/>
  <c r="AP155" i="22"/>
  <c r="H154" i="22"/>
  <c r="J138" i="22"/>
  <c r="J11" i="22" s="1"/>
  <c r="J10" i="22" s="1"/>
  <c r="C4" i="22" s="1"/>
  <c r="AL139" i="22"/>
  <c r="M138" i="22"/>
  <c r="AN139" i="22"/>
  <c r="AN138" i="22" s="1"/>
  <c r="AK132" i="22"/>
  <c r="AK131" i="22" s="1"/>
  <c r="AP70" i="22"/>
  <c r="X264" i="22"/>
  <c r="X256" i="22" s="1"/>
  <c r="X235" i="22" s="1"/>
  <c r="X234" i="22" s="1"/>
  <c r="AN326" i="22"/>
  <c r="V325" i="22"/>
  <c r="U326" i="22"/>
  <c r="AK140" i="22"/>
  <c r="AP48" i="22"/>
  <c r="L58" i="22"/>
  <c r="U467" i="22"/>
  <c r="O471" i="22"/>
  <c r="O467" i="22" s="1"/>
  <c r="Q183" i="22" l="1"/>
  <c r="I640" i="22"/>
  <c r="AP95" i="22"/>
  <c r="E21" i="14"/>
  <c r="J33" i="3"/>
  <c r="J31" i="3" s="1"/>
  <c r="J30" i="3" s="1"/>
  <c r="J32" i="14"/>
  <c r="J30" i="14" s="1"/>
  <c r="L234" i="22"/>
  <c r="L640" i="22"/>
  <c r="H183" i="22"/>
  <c r="AP183" i="22" s="1"/>
  <c r="Q33" i="14"/>
  <c r="O31" i="14"/>
  <c r="X34" i="22"/>
  <c r="X12" i="22" s="1"/>
  <c r="G33" i="3"/>
  <c r="G31" i="3" s="1"/>
  <c r="G30" i="3" s="1"/>
  <c r="R12" i="22"/>
  <c r="R11" i="22" s="1"/>
  <c r="R10" i="22" s="1"/>
  <c r="G32" i="14"/>
  <c r="Y11" i="22"/>
  <c r="Y10" i="22" s="1"/>
  <c r="O34" i="22"/>
  <c r="O12" i="22" s="1"/>
  <c r="O11" i="22" s="1"/>
  <c r="AO11" i="22"/>
  <c r="L34" i="22"/>
  <c r="L12" i="22" s="1"/>
  <c r="L11" i="22" s="1"/>
  <c r="AP154" i="22"/>
  <c r="M11" i="22"/>
  <c r="M10" i="22" s="1"/>
  <c r="U12" i="22"/>
  <c r="U11" i="22" s="1"/>
  <c r="U4" i="22" s="1"/>
  <c r="K10" i="22"/>
  <c r="AK34" i="22"/>
  <c r="AK12" i="22" s="1"/>
  <c r="AM234" i="22"/>
  <c r="AM11" i="22"/>
  <c r="S11" i="22"/>
  <c r="H31" i="3" s="1"/>
  <c r="AP184" i="22"/>
  <c r="AP185" i="22"/>
  <c r="AP209" i="22"/>
  <c r="X11" i="22"/>
  <c r="X10" i="22" s="1"/>
  <c r="AP162" i="22"/>
  <c r="V264" i="22"/>
  <c r="P325" i="22"/>
  <c r="U335" i="22"/>
  <c r="O336" i="22"/>
  <c r="O335" i="22" s="1"/>
  <c r="T256" i="22"/>
  <c r="AP132" i="22"/>
  <c r="S235" i="22"/>
  <c r="Q523" i="22"/>
  <c r="W264" i="22"/>
  <c r="W256" i="22" s="1"/>
  <c r="W235" i="22" s="1"/>
  <c r="W234" i="22" s="1"/>
  <c r="T11" i="22"/>
  <c r="I31" i="3" s="1"/>
  <c r="Q138" i="22"/>
  <c r="Q11" i="22" s="1"/>
  <c r="AO335" i="22"/>
  <c r="AO264" i="22" s="1"/>
  <c r="AO256" i="22" s="1"/>
  <c r="AO235" i="22" s="1"/>
  <c r="AO234" i="22" s="1"/>
  <c r="AK336" i="22"/>
  <c r="AK335" i="22" s="1"/>
  <c r="P183" i="22"/>
  <c r="AP220" i="22"/>
  <c r="P12" i="22"/>
  <c r="P11" i="22" s="1"/>
  <c r="H235" i="22"/>
  <c r="H640" i="22" s="1"/>
  <c r="AP236" i="22"/>
  <c r="AP36" i="22"/>
  <c r="H35" i="22"/>
  <c r="AN325" i="22"/>
  <c r="AN264" i="22" s="1"/>
  <c r="AN256" i="22" s="1"/>
  <c r="AN235" i="22" s="1"/>
  <c r="AN234" i="22" s="1"/>
  <c r="AK326" i="22"/>
  <c r="AK325" i="22" s="1"/>
  <c r="AK139" i="22"/>
  <c r="AK138" i="22" s="1"/>
  <c r="AL138" i="22"/>
  <c r="AL11" i="22" s="1"/>
  <c r="AL10" i="22" s="1"/>
  <c r="AN11" i="22"/>
  <c r="AP131" i="22"/>
  <c r="O546" i="22"/>
  <c r="O523" i="22" s="1"/>
  <c r="U523" i="22"/>
  <c r="AP13" i="22"/>
  <c r="H58" i="22"/>
  <c r="AP58" i="22" s="1"/>
  <c r="AP59" i="22"/>
  <c r="U325" i="22"/>
  <c r="O326" i="22"/>
  <c r="O325" i="22" s="1"/>
  <c r="I11" i="22"/>
  <c r="I10" i="22" s="1"/>
  <c r="C12" i="22"/>
  <c r="H139" i="22"/>
  <c r="AP140" i="22"/>
  <c r="W10" i="22" l="1"/>
  <c r="W642" i="22"/>
  <c r="L34" i="3" s="1"/>
  <c r="E10" i="14"/>
  <c r="E9" i="14" s="1"/>
  <c r="H641" i="22"/>
  <c r="H31" i="1"/>
  <c r="L10" i="22"/>
  <c r="G31" i="1"/>
  <c r="J29" i="14"/>
  <c r="O30" i="14"/>
  <c r="G30" i="14"/>
  <c r="F32" i="14"/>
  <c r="F30" i="14" s="1"/>
  <c r="D21" i="14"/>
  <c r="AO10" i="22"/>
  <c r="AM10" i="22"/>
  <c r="U264" i="22"/>
  <c r="U256" i="22" s="1"/>
  <c r="U235" i="22" s="1"/>
  <c r="U234" i="22" s="1"/>
  <c r="R33" i="14" s="1"/>
  <c r="P33" i="14" s="1"/>
  <c r="O264" i="22"/>
  <c r="O256" i="22" s="1"/>
  <c r="O235" i="22" s="1"/>
  <c r="O234" i="22" s="1"/>
  <c r="O640" i="22" s="1"/>
  <c r="AN10" i="22"/>
  <c r="Q264" i="22"/>
  <c r="AK11" i="22"/>
  <c r="AK264" i="22"/>
  <c r="AK256" i="22" s="1"/>
  <c r="AK235" i="22" s="1"/>
  <c r="AK234" i="22" s="1"/>
  <c r="S234" i="22"/>
  <c r="T235" i="22"/>
  <c r="Q256" i="22"/>
  <c r="V256" i="22"/>
  <c r="P264" i="22"/>
  <c r="H138" i="22"/>
  <c r="AP138" i="22" s="1"/>
  <c r="AP139" i="22"/>
  <c r="H34" i="22"/>
  <c r="AP35" i="22"/>
  <c r="H234" i="22"/>
  <c r="H4" i="22" s="1"/>
  <c r="C11" i="22"/>
  <c r="S10" i="22" l="1"/>
  <c r="S642" i="22"/>
  <c r="H34" i="3" s="1"/>
  <c r="H30" i="3" s="1"/>
  <c r="N30" i="14"/>
  <c r="G29" i="14"/>
  <c r="C21" i="14"/>
  <c r="D10" i="14"/>
  <c r="F29" i="14"/>
  <c r="M30" i="14"/>
  <c r="M29" i="14" s="1"/>
  <c r="O29" i="14"/>
  <c r="U10" i="22"/>
  <c r="O10" i="22"/>
  <c r="T234" i="22"/>
  <c r="AP235" i="22"/>
  <c r="AK10" i="22"/>
  <c r="AP234" i="22"/>
  <c r="V235" i="22"/>
  <c r="P256" i="22"/>
  <c r="Q235" i="22"/>
  <c r="C10" i="22"/>
  <c r="H12" i="22"/>
  <c r="AP34" i="22"/>
  <c r="Q234" i="22" l="1"/>
  <c r="Q642" i="22" s="1"/>
  <c r="T642" i="22"/>
  <c r="I34" i="3" s="1"/>
  <c r="I30" i="3" s="1"/>
  <c r="H9" i="3"/>
  <c r="C10" i="14"/>
  <c r="N29" i="14"/>
  <c r="D9" i="14"/>
  <c r="Q29" i="14"/>
  <c r="Q30" i="14" s="1"/>
  <c r="Q644" i="22"/>
  <c r="H32" i="1"/>
  <c r="V234" i="22"/>
  <c r="V642" i="22" s="1"/>
  <c r="K34" i="3" s="1"/>
  <c r="P235" i="22"/>
  <c r="T10" i="22"/>
  <c r="H11" i="22"/>
  <c r="AP12" i="22"/>
  <c r="Q10" i="22" l="1"/>
  <c r="Q4" i="22"/>
  <c r="I9" i="3"/>
  <c r="C9" i="14"/>
  <c r="Q645" i="22"/>
  <c r="V10" i="22"/>
  <c r="P234" i="22"/>
  <c r="P642" i="22" s="1"/>
  <c r="H10" i="22"/>
  <c r="AP11" i="22"/>
  <c r="AP10" i="22" s="1"/>
  <c r="P10" i="22" l="1"/>
  <c r="P4" i="22"/>
  <c r="O4" i="22" s="1"/>
  <c r="P644" i="22"/>
  <c r="P645" i="22" s="1"/>
  <c r="G32" i="1"/>
  <c r="D22" i="1"/>
  <c r="E22" i="1"/>
  <c r="G22" i="1"/>
  <c r="H22" i="1"/>
  <c r="D109" i="11"/>
  <c r="C11" i="1" s="1"/>
  <c r="L58" i="8" l="1"/>
  <c r="K58" i="8"/>
  <c r="L57" i="8"/>
  <c r="K57" i="8"/>
  <c r="L56" i="8"/>
  <c r="K56" i="8"/>
  <c r="L55" i="8"/>
  <c r="K55" i="8"/>
  <c r="L54" i="8"/>
  <c r="K54" i="8"/>
  <c r="L53" i="8"/>
  <c r="K53" i="8"/>
  <c r="L52" i="8"/>
  <c r="K52" i="8"/>
  <c r="L51" i="8"/>
  <c r="K51" i="8"/>
  <c r="L50" i="8"/>
  <c r="K50" i="8"/>
  <c r="K49" i="8"/>
  <c r="K48" i="8"/>
  <c r="L47" i="8"/>
  <c r="K47" i="8"/>
  <c r="C29" i="1"/>
  <c r="K46" i="8"/>
  <c r="C27" i="1"/>
  <c r="L43" i="8"/>
  <c r="K43" i="8"/>
  <c r="K41" i="8"/>
  <c r="K40" i="8"/>
  <c r="K39" i="8"/>
  <c r="K38" i="8"/>
  <c r="K36" i="8"/>
  <c r="K35" i="8"/>
  <c r="K34" i="8"/>
  <c r="K33" i="8"/>
  <c r="K30" i="8"/>
  <c r="K29" i="8"/>
  <c r="K27" i="8"/>
  <c r="J20" i="3"/>
  <c r="G20" i="3"/>
  <c r="L26" i="8"/>
  <c r="K26" i="8"/>
  <c r="G19" i="3"/>
  <c r="K25" i="8"/>
  <c r="K24" i="8"/>
  <c r="K23" i="8"/>
  <c r="K22" i="8"/>
  <c r="K21" i="8"/>
  <c r="K20" i="8"/>
  <c r="K19" i="8"/>
  <c r="K18" i="8"/>
  <c r="K17" i="8"/>
  <c r="K16" i="8"/>
  <c r="G15" i="3"/>
  <c r="K15" i="8"/>
  <c r="J14" i="3"/>
  <c r="G14" i="3"/>
  <c r="K14" i="8"/>
  <c r="L13" i="8"/>
  <c r="K13" i="8"/>
  <c r="D11" i="8"/>
  <c r="K12" i="8"/>
  <c r="E94" i="11"/>
  <c r="L94" i="11" s="1"/>
  <c r="D94" i="11"/>
  <c r="C94" i="11"/>
  <c r="C93" i="11" s="1"/>
  <c r="C92" i="11" s="1"/>
  <c r="C90" i="11" s="1"/>
  <c r="C89" i="11" s="1"/>
  <c r="E93" i="11"/>
  <c r="D93" i="11"/>
  <c r="H92" i="11"/>
  <c r="D92" i="11"/>
  <c r="E88" i="11"/>
  <c r="E87" i="11" s="1"/>
  <c r="L87" i="11" s="1"/>
  <c r="J87" i="11"/>
  <c r="I87" i="11"/>
  <c r="H87" i="11"/>
  <c r="G87" i="11"/>
  <c r="F87" i="11"/>
  <c r="D87" i="11"/>
  <c r="C87" i="11"/>
  <c r="L86" i="11"/>
  <c r="F86" i="11"/>
  <c r="L85" i="11"/>
  <c r="F85" i="11"/>
  <c r="F84" i="11"/>
  <c r="E83" i="11"/>
  <c r="F83" i="11" s="1"/>
  <c r="E82" i="11"/>
  <c r="F82" i="11" s="1"/>
  <c r="J81" i="11"/>
  <c r="J80" i="11" s="1"/>
  <c r="I81" i="11"/>
  <c r="I80" i="11" s="1"/>
  <c r="H81" i="11"/>
  <c r="H80" i="11" s="1"/>
  <c r="G81" i="11"/>
  <c r="G80" i="11" s="1"/>
  <c r="F79" i="11"/>
  <c r="F78" i="11"/>
  <c r="F77" i="11"/>
  <c r="F76" i="11"/>
  <c r="F75" i="11"/>
  <c r="F74" i="11"/>
  <c r="E73" i="11"/>
  <c r="E72" i="11"/>
  <c r="H71" i="11"/>
  <c r="G71" i="11"/>
  <c r="C71" i="11"/>
  <c r="E69" i="11"/>
  <c r="F69" i="11" s="1"/>
  <c r="E68" i="11"/>
  <c r="E67" i="11"/>
  <c r="E66" i="11"/>
  <c r="F66" i="11" s="1"/>
  <c r="J65" i="11"/>
  <c r="I65" i="11"/>
  <c r="H65" i="11"/>
  <c r="D65" i="11"/>
  <c r="C65" i="11"/>
  <c r="E63" i="11"/>
  <c r="F63" i="11" s="1"/>
  <c r="H59" i="11"/>
  <c r="E60" i="11"/>
  <c r="F60" i="11" s="1"/>
  <c r="J59" i="11"/>
  <c r="I59" i="11"/>
  <c r="D59" i="11"/>
  <c r="C59" i="11"/>
  <c r="E58" i="11"/>
  <c r="E57" i="11"/>
  <c r="F57" i="11" s="1"/>
  <c r="J50" i="11"/>
  <c r="E51" i="11"/>
  <c r="F51" i="11" s="1"/>
  <c r="I50" i="11"/>
  <c r="H50" i="11"/>
  <c r="D50" i="11"/>
  <c r="C50" i="11"/>
  <c r="H46" i="11"/>
  <c r="D46" i="11"/>
  <c r="C46" i="11"/>
  <c r="E44" i="11"/>
  <c r="J43" i="11"/>
  <c r="I43" i="11"/>
  <c r="H43" i="11"/>
  <c r="G43" i="11"/>
  <c r="D43" i="11"/>
  <c r="C43" i="11"/>
  <c r="E39" i="11"/>
  <c r="K39" i="11" s="1"/>
  <c r="E38" i="11"/>
  <c r="E37" i="11"/>
  <c r="F37" i="11" s="1"/>
  <c r="E36" i="11"/>
  <c r="K36" i="11" s="1"/>
  <c r="E34" i="11"/>
  <c r="K34" i="11" s="1"/>
  <c r="J32" i="11"/>
  <c r="H32" i="11"/>
  <c r="D32" i="11"/>
  <c r="C32" i="11"/>
  <c r="I26" i="11"/>
  <c r="H26" i="11"/>
  <c r="J26" i="11"/>
  <c r="D26" i="11"/>
  <c r="C26" i="11"/>
  <c r="E25" i="11"/>
  <c r="F25" i="11" s="1"/>
  <c r="G19" i="11"/>
  <c r="D19" i="11"/>
  <c r="C19" i="11"/>
  <c r="E18" i="11"/>
  <c r="F18" i="11" s="1"/>
  <c r="E17" i="11"/>
  <c r="F17" i="11" s="1"/>
  <c r="F16" i="11"/>
  <c r="E16" i="11"/>
  <c r="K16" i="11" s="1"/>
  <c r="F15" i="11"/>
  <c r="E15" i="11"/>
  <c r="L14" i="11"/>
  <c r="E14" i="11"/>
  <c r="E13" i="11"/>
  <c r="K13" i="11" s="1"/>
  <c r="J12" i="11"/>
  <c r="I12" i="11"/>
  <c r="H12" i="11"/>
  <c r="G12" i="11"/>
  <c r="D12" i="11"/>
  <c r="C12" i="11"/>
  <c r="C11" i="11" s="1"/>
  <c r="C10" i="11" s="1"/>
  <c r="C9" i="11" s="1"/>
  <c r="B20" i="12"/>
  <c r="B19" i="12"/>
  <c r="D90" i="11" l="1"/>
  <c r="D89" i="11" s="1"/>
  <c r="C14" i="1"/>
  <c r="E12" i="11"/>
  <c r="L13" i="11"/>
  <c r="E81" i="11"/>
  <c r="K14" i="11"/>
  <c r="F14" i="11"/>
  <c r="E71" i="11"/>
  <c r="J19" i="3"/>
  <c r="J28" i="8"/>
  <c r="L12" i="11"/>
  <c r="F13" i="11"/>
  <c r="L16" i="11"/>
  <c r="J109" i="11"/>
  <c r="H109" i="11"/>
  <c r="G33" i="8"/>
  <c r="C9" i="8"/>
  <c r="G14" i="8"/>
  <c r="G18" i="8"/>
  <c r="L18" i="8" s="1"/>
  <c r="D9" i="8"/>
  <c r="H11" i="8"/>
  <c r="G20" i="8"/>
  <c r="G44" i="8"/>
  <c r="G48" i="8"/>
  <c r="G52" i="8"/>
  <c r="G56" i="8"/>
  <c r="E96" i="11"/>
  <c r="F96" i="11" s="1"/>
  <c r="I19" i="11"/>
  <c r="G23" i="8"/>
  <c r="B10" i="12"/>
  <c r="F10" i="1" s="1"/>
  <c r="B12" i="12"/>
  <c r="B18" i="12"/>
  <c r="G22" i="8"/>
  <c r="G25" i="8"/>
  <c r="L25" i="8" s="1"/>
  <c r="G34" i="8"/>
  <c r="G41" i="8"/>
  <c r="L41" i="8" s="1"/>
  <c r="G35" i="8"/>
  <c r="L35" i="8" s="1"/>
  <c r="D16" i="12"/>
  <c r="D9" i="12" s="1"/>
  <c r="D8" i="12" s="1"/>
  <c r="D21" i="12" s="1"/>
  <c r="E23" i="11"/>
  <c r="E52" i="11"/>
  <c r="F52" i="11" s="1"/>
  <c r="E53" i="11"/>
  <c r="E54" i="11"/>
  <c r="L54" i="11" s="1"/>
  <c r="G16" i="8"/>
  <c r="G17" i="8"/>
  <c r="L17" i="8" s="1"/>
  <c r="G21" i="8"/>
  <c r="E31" i="11"/>
  <c r="F31" i="11" s="1"/>
  <c r="E56" i="11"/>
  <c r="K56" i="11" s="1"/>
  <c r="E16" i="12"/>
  <c r="E9" i="12" s="1"/>
  <c r="E8" i="12" s="1"/>
  <c r="E21" i="12" s="1"/>
  <c r="E27" i="11"/>
  <c r="K27" i="11" s="1"/>
  <c r="E28" i="11"/>
  <c r="K28" i="11" s="1"/>
  <c r="E29" i="11"/>
  <c r="F29" i="11" s="1"/>
  <c r="E30" i="11"/>
  <c r="F30" i="11" s="1"/>
  <c r="E33" i="11"/>
  <c r="K33" i="11" s="1"/>
  <c r="E47" i="11"/>
  <c r="L47" i="11" s="1"/>
  <c r="E48" i="11"/>
  <c r="J92" i="11"/>
  <c r="J90" i="11" s="1"/>
  <c r="J89" i="11" s="1"/>
  <c r="J11" i="8"/>
  <c r="J10" i="8" s="1"/>
  <c r="J9" i="8" s="1"/>
  <c r="J59" i="8" s="1"/>
  <c r="I11" i="8"/>
  <c r="J12" i="14" s="1"/>
  <c r="G19" i="8"/>
  <c r="G24" i="8"/>
  <c r="L24" i="8" s="1"/>
  <c r="G26" i="8"/>
  <c r="G30" i="8"/>
  <c r="L30" i="8" s="1"/>
  <c r="G36" i="8"/>
  <c r="G39" i="8"/>
  <c r="L39" i="8" s="1"/>
  <c r="G57" i="8"/>
  <c r="I28" i="8"/>
  <c r="J21" i="14" s="1"/>
  <c r="O21" i="14" s="1"/>
  <c r="G31" i="8"/>
  <c r="K31" i="8" s="1"/>
  <c r="G37" i="8"/>
  <c r="K37" i="8" s="1"/>
  <c r="G40" i="8"/>
  <c r="L40" i="8" s="1"/>
  <c r="G42" i="8"/>
  <c r="L42" i="8" s="1"/>
  <c r="B14" i="12"/>
  <c r="C16" i="12"/>
  <c r="C9" i="12" s="1"/>
  <c r="C8" i="12" s="1"/>
  <c r="C21" i="12" s="1"/>
  <c r="E35" i="11"/>
  <c r="K35" i="11" s="1"/>
  <c r="E40" i="11"/>
  <c r="K40" i="11" s="1"/>
  <c r="E41" i="11"/>
  <c r="K41" i="11" s="1"/>
  <c r="E42" i="11"/>
  <c r="K42" i="11" s="1"/>
  <c r="E45" i="11"/>
  <c r="G46" i="11"/>
  <c r="J46" i="11"/>
  <c r="E91" i="11"/>
  <c r="L91" i="11" s="1"/>
  <c r="G15" i="8"/>
  <c r="G27" i="8"/>
  <c r="F25" i="1" s="1"/>
  <c r="G29" i="8"/>
  <c r="L29" i="8" s="1"/>
  <c r="G32" i="8"/>
  <c r="K32" i="8" s="1"/>
  <c r="G38" i="8"/>
  <c r="L38" i="8" s="1"/>
  <c r="G43" i="8"/>
  <c r="F33" i="1" s="1"/>
  <c r="G47" i="8"/>
  <c r="L48" i="8"/>
  <c r="I32" i="11"/>
  <c r="E55" i="11"/>
  <c r="F55" i="11" s="1"/>
  <c r="E62" i="11"/>
  <c r="K62" i="11" s="1"/>
  <c r="G13" i="8"/>
  <c r="L67" i="11"/>
  <c r="K67" i="11"/>
  <c r="F67" i="11"/>
  <c r="B11" i="12"/>
  <c r="F11" i="1" s="1"/>
  <c r="B13" i="12"/>
  <c r="B15" i="12"/>
  <c r="B17" i="12"/>
  <c r="E21" i="11"/>
  <c r="F21" i="11" s="1"/>
  <c r="I46" i="11"/>
  <c r="E49" i="11"/>
  <c r="L49" i="11" s="1"/>
  <c r="G59" i="11"/>
  <c r="G12" i="8"/>
  <c r="L22" i="8"/>
  <c r="H28" i="8"/>
  <c r="C26" i="1"/>
  <c r="K44" i="8"/>
  <c r="G46" i="8"/>
  <c r="L46" i="8" s="1"/>
  <c r="G50" i="8"/>
  <c r="G54" i="8"/>
  <c r="G58" i="8"/>
  <c r="F34" i="1" s="1"/>
  <c r="E20" i="11"/>
  <c r="F20" i="11" s="1"/>
  <c r="E22" i="11"/>
  <c r="F22" i="11" s="1"/>
  <c r="G32" i="11"/>
  <c r="G65" i="11"/>
  <c r="E70" i="11"/>
  <c r="F70" i="11" s="1"/>
  <c r="L14" i="8"/>
  <c r="L16" i="8"/>
  <c r="L21" i="8"/>
  <c r="L34" i="8"/>
  <c r="N43" i="8"/>
  <c r="L44" i="8"/>
  <c r="C28" i="1"/>
  <c r="G51" i="8"/>
  <c r="G55" i="8"/>
  <c r="F13" i="1"/>
  <c r="L20" i="8"/>
  <c r="L31" i="8"/>
  <c r="L33" i="8"/>
  <c r="F20" i="1"/>
  <c r="H19" i="11"/>
  <c r="H11" i="11" s="1"/>
  <c r="I109" i="11"/>
  <c r="G109" i="11" s="1"/>
  <c r="E24" i="11"/>
  <c r="F24" i="11" s="1"/>
  <c r="E61" i="11"/>
  <c r="K61" i="11" s="1"/>
  <c r="E64" i="11"/>
  <c r="F64" i="11" s="1"/>
  <c r="H90" i="11"/>
  <c r="H89" i="11" s="1"/>
  <c r="G92" i="11"/>
  <c r="G90" i="11" s="1"/>
  <c r="G89" i="11" s="1"/>
  <c r="E95" i="11"/>
  <c r="F95" i="11" s="1"/>
  <c r="E97" i="11"/>
  <c r="F97" i="11" s="1"/>
  <c r="L15" i="8"/>
  <c r="L19" i="8"/>
  <c r="L23" i="8"/>
  <c r="L27" i="8"/>
  <c r="C25" i="1"/>
  <c r="L36" i="8"/>
  <c r="G45" i="8"/>
  <c r="L45" i="8" s="1"/>
  <c r="G49" i="8"/>
  <c r="L49" i="8" s="1"/>
  <c r="G53" i="8"/>
  <c r="J67" i="8"/>
  <c r="C59" i="8"/>
  <c r="D59" i="8"/>
  <c r="L23" i="11"/>
  <c r="F23" i="11"/>
  <c r="K23" i="11"/>
  <c r="F38" i="11"/>
  <c r="L45" i="11"/>
  <c r="K45" i="11"/>
  <c r="F45" i="11"/>
  <c r="L48" i="11"/>
  <c r="K48" i="11"/>
  <c r="F48" i="11"/>
  <c r="L52" i="11"/>
  <c r="E50" i="11"/>
  <c r="L53" i="11"/>
  <c r="K53" i="11"/>
  <c r="F53" i="11"/>
  <c r="K54" i="11"/>
  <c r="F91" i="11"/>
  <c r="K91" i="11"/>
  <c r="K93" i="11"/>
  <c r="F93" i="11"/>
  <c r="L93" i="11"/>
  <c r="E92" i="11"/>
  <c r="L68" i="11"/>
  <c r="K68" i="11"/>
  <c r="E65" i="11"/>
  <c r="F68" i="11"/>
  <c r="K21" i="11"/>
  <c r="L44" i="11"/>
  <c r="E43" i="11"/>
  <c r="F43" i="11" s="1"/>
  <c r="K44" i="11"/>
  <c r="F44" i="11"/>
  <c r="K49" i="11"/>
  <c r="L20" i="11"/>
  <c r="K20" i="11"/>
  <c r="D11" i="11"/>
  <c r="L28" i="11"/>
  <c r="L34" i="11"/>
  <c r="L35" i="11"/>
  <c r="L36" i="11"/>
  <c r="L39" i="11"/>
  <c r="L41" i="11"/>
  <c r="L56" i="11"/>
  <c r="K57" i="11"/>
  <c r="K60" i="11"/>
  <c r="L62" i="11"/>
  <c r="K66" i="11"/>
  <c r="I92" i="11"/>
  <c r="I90" i="11" s="1"/>
  <c r="I89" i="11" s="1"/>
  <c r="F94" i="11"/>
  <c r="K94" i="11"/>
  <c r="L57" i="11"/>
  <c r="L60" i="11"/>
  <c r="L66" i="11"/>
  <c r="F33" i="11"/>
  <c r="F34" i="11"/>
  <c r="F35" i="11"/>
  <c r="F36" i="11"/>
  <c r="F39" i="11"/>
  <c r="F41" i="11"/>
  <c r="F42" i="11"/>
  <c r="K47" i="11"/>
  <c r="F56" i="11"/>
  <c r="F62" i="11"/>
  <c r="J19" i="11"/>
  <c r="J11" i="11" s="1"/>
  <c r="G26" i="11"/>
  <c r="G50" i="11"/>
  <c r="D27" i="4" l="1"/>
  <c r="G21" i="14"/>
  <c r="G21" i="3"/>
  <c r="J11" i="14"/>
  <c r="O12" i="14"/>
  <c r="D13" i="4"/>
  <c r="D12" i="4" s="1"/>
  <c r="G12" i="14"/>
  <c r="G12" i="3"/>
  <c r="I10" i="8"/>
  <c r="K12" i="11"/>
  <c r="F12" i="11"/>
  <c r="F47" i="11"/>
  <c r="F28" i="11"/>
  <c r="L42" i="11"/>
  <c r="D10" i="11"/>
  <c r="D9" i="11" s="1"/>
  <c r="D108" i="11"/>
  <c r="D110" i="11" s="1"/>
  <c r="F49" i="11"/>
  <c r="F61" i="11"/>
  <c r="F54" i="11"/>
  <c r="K52" i="11"/>
  <c r="H10" i="8"/>
  <c r="G11" i="3"/>
  <c r="F81" i="11"/>
  <c r="E80" i="11"/>
  <c r="F80" i="11" s="1"/>
  <c r="L40" i="11"/>
  <c r="E46" i="11"/>
  <c r="B16" i="12"/>
  <c r="B9" i="12" s="1"/>
  <c r="B8" i="12" s="1"/>
  <c r="B5" i="12" s="1"/>
  <c r="K45" i="8"/>
  <c r="L37" i="8"/>
  <c r="L32" i="8"/>
  <c r="K64" i="11"/>
  <c r="I11" i="11"/>
  <c r="I10" i="11" s="1"/>
  <c r="I9" i="11" s="1"/>
  <c r="L64" i="11"/>
  <c r="K42" i="8"/>
  <c r="F26" i="1"/>
  <c r="I9" i="8"/>
  <c r="I59" i="8" s="1"/>
  <c r="I67" i="8" s="1"/>
  <c r="G11" i="8"/>
  <c r="E19" i="11"/>
  <c r="L19" i="11" s="1"/>
  <c r="F27" i="11"/>
  <c r="L21" i="11"/>
  <c r="L61" i="11"/>
  <c r="F40" i="11"/>
  <c r="L27" i="11"/>
  <c r="E59" i="11"/>
  <c r="K59" i="11" s="1"/>
  <c r="E32" i="11"/>
  <c r="L32" i="11" s="1"/>
  <c r="G28" i="8"/>
  <c r="L33" i="11"/>
  <c r="E26" i="11"/>
  <c r="F26" i="11" s="1"/>
  <c r="L12" i="8"/>
  <c r="H108" i="11"/>
  <c r="H10" i="11"/>
  <c r="H9" i="11" s="1"/>
  <c r="I108" i="11"/>
  <c r="I110" i="11" s="1"/>
  <c r="C22" i="1"/>
  <c r="G32" i="12"/>
  <c r="J108" i="11"/>
  <c r="J110" i="11" s="1"/>
  <c r="J10" i="11"/>
  <c r="J9" i="11" s="1"/>
  <c r="K65" i="11"/>
  <c r="F65" i="11"/>
  <c r="L65" i="11"/>
  <c r="K46" i="11"/>
  <c r="F46" i="11"/>
  <c r="L46" i="11"/>
  <c r="G11" i="11"/>
  <c r="G10" i="11" s="1"/>
  <c r="G9" i="11" s="1"/>
  <c r="F19" i="11"/>
  <c r="K50" i="11"/>
  <c r="F50" i="11"/>
  <c r="L50" i="11"/>
  <c r="L43" i="11"/>
  <c r="K43" i="11"/>
  <c r="L92" i="11"/>
  <c r="K92" i="11"/>
  <c r="F92" i="11"/>
  <c r="H110" i="11"/>
  <c r="E90" i="11"/>
  <c r="K32" i="11"/>
  <c r="F32" i="11"/>
  <c r="J10" i="14" l="1"/>
  <c r="O11" i="14"/>
  <c r="F12" i="14"/>
  <c r="G11" i="14"/>
  <c r="N12" i="14"/>
  <c r="F21" i="14"/>
  <c r="M21" i="14" s="1"/>
  <c r="N21" i="14"/>
  <c r="H9" i="8"/>
  <c r="H59" i="8" s="1"/>
  <c r="H5" i="8"/>
  <c r="G10" i="3"/>
  <c r="G9" i="3" s="1"/>
  <c r="F59" i="11"/>
  <c r="K19" i="11"/>
  <c r="L59" i="11"/>
  <c r="K11" i="8"/>
  <c r="G10" i="8"/>
  <c r="G5" i="8"/>
  <c r="K26" i="11"/>
  <c r="L26" i="11"/>
  <c r="B21" i="12"/>
  <c r="E11" i="11"/>
  <c r="L11" i="11" s="1"/>
  <c r="L11" i="8"/>
  <c r="K28" i="8"/>
  <c r="L28" i="8"/>
  <c r="G108" i="11"/>
  <c r="F90" i="11"/>
  <c r="L90" i="11"/>
  <c r="K90" i="11"/>
  <c r="E89" i="11"/>
  <c r="G110" i="11"/>
  <c r="H67" i="8" l="1"/>
  <c r="G10" i="14"/>
  <c r="N11" i="14"/>
  <c r="F11" i="14"/>
  <c r="M12" i="14"/>
  <c r="O10" i="14"/>
  <c r="J9" i="14"/>
  <c r="O9" i="14" s="1"/>
  <c r="E10" i="11"/>
  <c r="K10" i="11" s="1"/>
  <c r="K11" i="11"/>
  <c r="F11" i="11"/>
  <c r="L10" i="8"/>
  <c r="G9" i="8"/>
  <c r="K10" i="8"/>
  <c r="L10" i="11"/>
  <c r="E9" i="11"/>
  <c r="F10" i="11"/>
  <c r="L89" i="11"/>
  <c r="K89" i="11"/>
  <c r="F89" i="11"/>
  <c r="G9" i="14" l="1"/>
  <c r="N9" i="14" s="1"/>
  <c r="N10" i="14"/>
  <c r="F10" i="14"/>
  <c r="M11" i="14"/>
  <c r="G59" i="8"/>
  <c r="K9" i="8"/>
  <c r="L9" i="8"/>
  <c r="F9" i="11"/>
  <c r="L9" i="11"/>
  <c r="K9" i="11"/>
  <c r="F9" i="14" l="1"/>
  <c r="M9" i="14" s="1"/>
  <c r="M10" i="14"/>
  <c r="G67" i="8"/>
  <c r="L59" i="8"/>
  <c r="K59" i="8"/>
  <c r="N10" i="16"/>
  <c r="AA10" i="16" s="1"/>
  <c r="W11" i="16"/>
  <c r="W10" i="16" s="1"/>
  <c r="V11" i="16"/>
  <c r="V10" i="16" s="1"/>
  <c r="U11" i="16"/>
  <c r="U10" i="16" s="1"/>
  <c r="T11" i="16"/>
  <c r="S11" i="16"/>
  <c r="R11" i="16"/>
  <c r="R10" i="16" s="1"/>
  <c r="M11" i="16"/>
  <c r="L11" i="16"/>
  <c r="L10" i="16" s="1"/>
  <c r="J11" i="16"/>
  <c r="J10" i="16" s="1"/>
  <c r="I11" i="16"/>
  <c r="H11" i="16"/>
  <c r="H10" i="16" s="1"/>
  <c r="T10" i="16" l="1"/>
  <c r="AC10" i="16" s="1"/>
  <c r="AC11" i="16"/>
  <c r="Z11" i="16"/>
  <c r="O11" i="16"/>
  <c r="E11" i="16"/>
  <c r="E10" i="16" s="1"/>
  <c r="F14" i="1"/>
  <c r="O10" i="16" l="1"/>
  <c r="AB10" i="16" s="1"/>
  <c r="AB11" i="16"/>
  <c r="K30" i="3"/>
  <c r="J12" i="3" l="1"/>
  <c r="J11" i="3" s="1"/>
  <c r="K9" i="3"/>
  <c r="F12" i="3"/>
  <c r="R22" i="17" l="1"/>
  <c r="X228" i="21"/>
  <c r="W228" i="21"/>
  <c r="V228" i="21"/>
  <c r="U228" i="21"/>
  <c r="T228" i="21"/>
  <c r="S228" i="21"/>
  <c r="C228" i="21"/>
  <c r="X227" i="21"/>
  <c r="W227" i="21"/>
  <c r="V227" i="21"/>
  <c r="U227" i="21"/>
  <c r="T227" i="21"/>
  <c r="S227" i="21"/>
  <c r="C227" i="21"/>
  <c r="X226" i="21"/>
  <c r="W226" i="21"/>
  <c r="V226" i="21"/>
  <c r="U226" i="21"/>
  <c r="T226" i="21"/>
  <c r="S226" i="21"/>
  <c r="C226" i="21"/>
  <c r="X225" i="21"/>
  <c r="W225" i="21"/>
  <c r="V225" i="21"/>
  <c r="U225" i="21"/>
  <c r="T225" i="21"/>
  <c r="S225" i="21"/>
  <c r="C225" i="21"/>
  <c r="X224" i="21"/>
  <c r="W224" i="21"/>
  <c r="V224" i="21"/>
  <c r="U224" i="21"/>
  <c r="T224" i="21"/>
  <c r="S224" i="21"/>
  <c r="C224" i="21"/>
  <c r="X223" i="21"/>
  <c r="W223" i="21"/>
  <c r="V223" i="21"/>
  <c r="U223" i="21"/>
  <c r="T223" i="21"/>
  <c r="S223" i="21"/>
  <c r="C223" i="21"/>
  <c r="X222" i="21"/>
  <c r="W222" i="21"/>
  <c r="V222" i="21"/>
  <c r="U222" i="21"/>
  <c r="T222" i="21"/>
  <c r="S222" i="21"/>
  <c r="C222" i="21"/>
  <c r="X221" i="21"/>
  <c r="W221" i="21"/>
  <c r="V221" i="21"/>
  <c r="U221" i="21"/>
  <c r="T221" i="21"/>
  <c r="S221" i="21"/>
  <c r="C221" i="21"/>
  <c r="X220" i="21"/>
  <c r="W220" i="21"/>
  <c r="V220" i="21"/>
  <c r="U220" i="21"/>
  <c r="T220" i="21"/>
  <c r="S220" i="21"/>
  <c r="C220" i="21"/>
  <c r="X219" i="21"/>
  <c r="W219" i="21"/>
  <c r="V219" i="21"/>
  <c r="U219" i="21"/>
  <c r="T219" i="21"/>
  <c r="S219" i="21"/>
  <c r="C219" i="21"/>
  <c r="X218" i="21"/>
  <c r="W218" i="21"/>
  <c r="V218" i="21"/>
  <c r="U218" i="21"/>
  <c r="T218" i="21"/>
  <c r="S218" i="21"/>
  <c r="C218" i="21"/>
  <c r="X217" i="21"/>
  <c r="W217" i="21"/>
  <c r="V217" i="21"/>
  <c r="U217" i="21"/>
  <c r="T217" i="21"/>
  <c r="S217" i="21"/>
  <c r="C217" i="21"/>
  <c r="X216" i="21"/>
  <c r="W216" i="21"/>
  <c r="V216" i="21"/>
  <c r="U216" i="21"/>
  <c r="T216" i="21"/>
  <c r="S216" i="21"/>
  <c r="C216" i="21"/>
  <c r="X215" i="21"/>
  <c r="W215" i="21"/>
  <c r="V215" i="21"/>
  <c r="U215" i="21"/>
  <c r="T215" i="21"/>
  <c r="S215" i="21"/>
  <c r="C215" i="21"/>
  <c r="X214" i="21"/>
  <c r="W214" i="21"/>
  <c r="V214" i="21"/>
  <c r="U214" i="21"/>
  <c r="T214" i="21"/>
  <c r="S214" i="21"/>
  <c r="C214" i="21"/>
  <c r="X213" i="21"/>
  <c r="W213" i="21"/>
  <c r="V213" i="21"/>
  <c r="U213" i="21"/>
  <c r="T213" i="21"/>
  <c r="S213" i="21"/>
  <c r="C213" i="21"/>
  <c r="X212" i="21"/>
  <c r="W212" i="21"/>
  <c r="V212" i="21"/>
  <c r="U212" i="21"/>
  <c r="T212" i="21"/>
  <c r="S212" i="21"/>
  <c r="C212" i="21"/>
  <c r="X211" i="21"/>
  <c r="W211" i="21"/>
  <c r="V211" i="21"/>
  <c r="U211" i="21"/>
  <c r="T211" i="21"/>
  <c r="S211" i="21"/>
  <c r="C211" i="21"/>
  <c r="X210" i="21"/>
  <c r="W210" i="21"/>
  <c r="V210" i="21"/>
  <c r="U210" i="21"/>
  <c r="T210" i="21"/>
  <c r="S210" i="21"/>
  <c r="C210" i="21"/>
  <c r="X209" i="21"/>
  <c r="W209" i="21"/>
  <c r="V209" i="21"/>
  <c r="U209" i="21"/>
  <c r="T209" i="21"/>
  <c r="S209" i="21"/>
  <c r="C209" i="21"/>
  <c r="X208" i="21"/>
  <c r="W208" i="21"/>
  <c r="V208" i="21"/>
  <c r="U208" i="21"/>
  <c r="T208" i="21"/>
  <c r="S208" i="21"/>
  <c r="C208" i="21"/>
  <c r="X207" i="21"/>
  <c r="W207" i="21"/>
  <c r="V207" i="21"/>
  <c r="U207" i="21"/>
  <c r="T207" i="21"/>
  <c r="S207" i="21"/>
  <c r="C207" i="21"/>
  <c r="X206" i="21"/>
  <c r="W206" i="21"/>
  <c r="V206" i="21"/>
  <c r="U206" i="21"/>
  <c r="T206" i="21"/>
  <c r="S206" i="21"/>
  <c r="C206" i="21"/>
  <c r="X205" i="21"/>
  <c r="W205" i="21"/>
  <c r="V205" i="21"/>
  <c r="U205" i="21"/>
  <c r="T205" i="21"/>
  <c r="S205" i="21"/>
  <c r="C205" i="21"/>
  <c r="X204" i="21"/>
  <c r="W204" i="21"/>
  <c r="V204" i="21"/>
  <c r="U204" i="21"/>
  <c r="T204" i="21"/>
  <c r="S204" i="21"/>
  <c r="C204" i="21"/>
  <c r="X203" i="21"/>
  <c r="W203" i="21"/>
  <c r="V203" i="21"/>
  <c r="U203" i="21"/>
  <c r="T203" i="21"/>
  <c r="S203" i="21"/>
  <c r="C203" i="21"/>
  <c r="X202" i="21"/>
  <c r="W202" i="21"/>
  <c r="V202" i="21"/>
  <c r="U202" i="21"/>
  <c r="T202" i="21"/>
  <c r="S202" i="21"/>
  <c r="D202" i="21"/>
  <c r="C202" i="21"/>
  <c r="X201" i="21"/>
  <c r="W201" i="21"/>
  <c r="V201" i="21"/>
  <c r="U201" i="21"/>
  <c r="T201" i="21"/>
  <c r="S201" i="21"/>
  <c r="C201" i="21"/>
  <c r="X200" i="21"/>
  <c r="W200" i="21"/>
  <c r="V200" i="21"/>
  <c r="U200" i="21"/>
  <c r="T200" i="21"/>
  <c r="S200" i="21"/>
  <c r="C200" i="21"/>
  <c r="X199" i="21"/>
  <c r="W199" i="21"/>
  <c r="V199" i="21"/>
  <c r="U199" i="21"/>
  <c r="T199" i="21"/>
  <c r="S199" i="21"/>
  <c r="C199" i="21"/>
  <c r="X198" i="21"/>
  <c r="W198" i="21"/>
  <c r="V198" i="21"/>
  <c r="U198" i="21"/>
  <c r="T198" i="21"/>
  <c r="S198" i="21"/>
  <c r="C198" i="21"/>
  <c r="X197" i="21"/>
  <c r="W197" i="21"/>
  <c r="V197" i="21"/>
  <c r="U197" i="21"/>
  <c r="T197" i="21"/>
  <c r="S197" i="21"/>
  <c r="C197" i="21"/>
  <c r="X196" i="21"/>
  <c r="W196" i="21"/>
  <c r="V196" i="21"/>
  <c r="U196" i="21"/>
  <c r="T196" i="21"/>
  <c r="S196" i="21"/>
  <c r="C196" i="21"/>
  <c r="X195" i="21"/>
  <c r="W195" i="21"/>
  <c r="V195" i="21"/>
  <c r="U195" i="21"/>
  <c r="T195" i="21"/>
  <c r="S195" i="21"/>
  <c r="C195" i="21"/>
  <c r="X194" i="21"/>
  <c r="W194" i="21"/>
  <c r="V194" i="21"/>
  <c r="U194" i="21"/>
  <c r="T194" i="21"/>
  <c r="S194" i="21"/>
  <c r="C194" i="21"/>
  <c r="X193" i="21"/>
  <c r="W193" i="21"/>
  <c r="V193" i="21"/>
  <c r="U193" i="21"/>
  <c r="T193" i="21"/>
  <c r="S193" i="21"/>
  <c r="C193" i="21"/>
  <c r="X192" i="21"/>
  <c r="W192" i="21"/>
  <c r="V192" i="21"/>
  <c r="U192" i="21"/>
  <c r="T192" i="21"/>
  <c r="S192" i="21"/>
  <c r="C192" i="21"/>
  <c r="X191" i="21"/>
  <c r="W191" i="21"/>
  <c r="V191" i="21"/>
  <c r="U191" i="21"/>
  <c r="T191" i="21"/>
  <c r="S191" i="21"/>
  <c r="C191" i="21"/>
  <c r="X190" i="21"/>
  <c r="W190" i="21"/>
  <c r="V190" i="21"/>
  <c r="U190" i="21"/>
  <c r="T190" i="21"/>
  <c r="S190" i="21"/>
  <c r="C190" i="21"/>
  <c r="X189" i="21"/>
  <c r="W189" i="21"/>
  <c r="V189" i="21"/>
  <c r="U189" i="21"/>
  <c r="T189" i="21"/>
  <c r="S189" i="21"/>
  <c r="C189" i="21"/>
  <c r="X188" i="21"/>
  <c r="W188" i="21"/>
  <c r="V188" i="21"/>
  <c r="U188" i="21"/>
  <c r="T188" i="21"/>
  <c r="S188" i="21"/>
  <c r="C188" i="21"/>
  <c r="X187" i="21"/>
  <c r="W187" i="21"/>
  <c r="V187" i="21"/>
  <c r="U187" i="21"/>
  <c r="T187" i="21"/>
  <c r="S187" i="21"/>
  <c r="C187" i="21"/>
  <c r="X186" i="21"/>
  <c r="W186" i="21"/>
  <c r="V186" i="21"/>
  <c r="U186" i="21"/>
  <c r="T186" i="21"/>
  <c r="S186" i="21"/>
  <c r="C186" i="21"/>
  <c r="X185" i="21"/>
  <c r="W185" i="21"/>
  <c r="V185" i="21"/>
  <c r="U185" i="21"/>
  <c r="T185" i="21"/>
  <c r="S185" i="21"/>
  <c r="C185" i="21"/>
  <c r="X184" i="21"/>
  <c r="W184" i="21"/>
  <c r="V184" i="21"/>
  <c r="U184" i="21"/>
  <c r="T184" i="21"/>
  <c r="S184" i="21"/>
  <c r="C184" i="21"/>
  <c r="X183" i="21"/>
  <c r="W183" i="21"/>
  <c r="V183" i="21"/>
  <c r="U183" i="21"/>
  <c r="T183" i="21"/>
  <c r="S183" i="21"/>
  <c r="C183" i="21"/>
  <c r="X182" i="21"/>
  <c r="W182" i="21"/>
  <c r="V182" i="21"/>
  <c r="U182" i="21"/>
  <c r="T182" i="21"/>
  <c r="S182" i="21"/>
  <c r="C182" i="21"/>
  <c r="X181" i="21"/>
  <c r="W181" i="21"/>
  <c r="V181" i="21"/>
  <c r="U181" i="21"/>
  <c r="T181" i="21"/>
  <c r="S181" i="21"/>
  <c r="C181" i="21"/>
  <c r="X180" i="21"/>
  <c r="W180" i="21"/>
  <c r="V180" i="21"/>
  <c r="U180" i="21"/>
  <c r="T180" i="21"/>
  <c r="S180" i="21"/>
  <c r="C180" i="21"/>
  <c r="X179" i="21"/>
  <c r="W179" i="21"/>
  <c r="V179" i="21"/>
  <c r="U179" i="21"/>
  <c r="T179" i="21"/>
  <c r="S179" i="21"/>
  <c r="C179" i="21"/>
  <c r="X178" i="21"/>
  <c r="W178" i="21"/>
  <c r="V178" i="21"/>
  <c r="U178" i="21"/>
  <c r="T178" i="21"/>
  <c r="S178" i="21"/>
  <c r="C178" i="21"/>
  <c r="X177" i="21"/>
  <c r="W177" i="21"/>
  <c r="V177" i="21"/>
  <c r="U177" i="21"/>
  <c r="T177" i="21"/>
  <c r="S177" i="21"/>
  <c r="C177" i="21"/>
  <c r="X176" i="21"/>
  <c r="W176" i="21"/>
  <c r="V176" i="21"/>
  <c r="U176" i="21"/>
  <c r="T176" i="21"/>
  <c r="S176" i="21"/>
  <c r="C176" i="21"/>
  <c r="X175" i="21"/>
  <c r="W175" i="21"/>
  <c r="V175" i="21"/>
  <c r="U175" i="21"/>
  <c r="T175" i="21"/>
  <c r="S175" i="21"/>
  <c r="C175" i="21"/>
  <c r="X174" i="21"/>
  <c r="W174" i="21"/>
  <c r="V174" i="21"/>
  <c r="U174" i="21"/>
  <c r="T174" i="21"/>
  <c r="S174" i="21"/>
  <c r="C174" i="21"/>
  <c r="X173" i="21"/>
  <c r="W173" i="21"/>
  <c r="V173" i="21"/>
  <c r="U173" i="21"/>
  <c r="T173" i="21"/>
  <c r="S173" i="21"/>
  <c r="C173" i="21"/>
  <c r="X172" i="21"/>
  <c r="W172" i="21"/>
  <c r="V172" i="21"/>
  <c r="U172" i="21"/>
  <c r="T172" i="21"/>
  <c r="S172" i="21"/>
  <c r="C172" i="21"/>
  <c r="X171" i="21"/>
  <c r="W171" i="21"/>
  <c r="V171" i="21"/>
  <c r="U171" i="21"/>
  <c r="T171" i="21"/>
  <c r="S171" i="21"/>
  <c r="C171" i="21"/>
  <c r="X170" i="21"/>
  <c r="W170" i="21"/>
  <c r="V170" i="21"/>
  <c r="U170" i="21"/>
  <c r="T170" i="21"/>
  <c r="S170" i="21"/>
  <c r="C170" i="21"/>
  <c r="X169" i="21"/>
  <c r="W169" i="21"/>
  <c r="V169" i="21"/>
  <c r="U169" i="21"/>
  <c r="T169" i="21"/>
  <c r="S169" i="21"/>
  <c r="C169" i="21"/>
  <c r="X168" i="21"/>
  <c r="W168" i="21"/>
  <c r="V168" i="21"/>
  <c r="U168" i="21"/>
  <c r="T168" i="21"/>
  <c r="S168" i="21"/>
  <c r="C168" i="21"/>
  <c r="X167" i="21"/>
  <c r="W167" i="21"/>
  <c r="V167" i="21"/>
  <c r="U167" i="21"/>
  <c r="T167" i="21"/>
  <c r="S167" i="21"/>
  <c r="C167" i="21"/>
  <c r="X166" i="21"/>
  <c r="W166" i="21"/>
  <c r="V166" i="21"/>
  <c r="U166" i="21"/>
  <c r="T166" i="21"/>
  <c r="S166" i="21"/>
  <c r="C166" i="21"/>
  <c r="X165" i="21"/>
  <c r="W165" i="21"/>
  <c r="V165" i="21"/>
  <c r="U165" i="21"/>
  <c r="T165" i="21"/>
  <c r="S165" i="21"/>
  <c r="C165" i="21"/>
  <c r="X164" i="21"/>
  <c r="W164" i="21"/>
  <c r="V164" i="21"/>
  <c r="U164" i="21"/>
  <c r="T164" i="21"/>
  <c r="S164" i="21"/>
  <c r="C164" i="21"/>
  <c r="X163" i="21"/>
  <c r="W163" i="21"/>
  <c r="V163" i="21"/>
  <c r="U163" i="21"/>
  <c r="T163" i="21"/>
  <c r="S163" i="21"/>
  <c r="C163" i="21"/>
  <c r="X162" i="21"/>
  <c r="W162" i="21"/>
  <c r="V162" i="21"/>
  <c r="U162" i="21"/>
  <c r="T162" i="21"/>
  <c r="S162" i="21"/>
  <c r="C162" i="21"/>
  <c r="X161" i="21"/>
  <c r="W161" i="21"/>
  <c r="V161" i="21"/>
  <c r="U161" i="21"/>
  <c r="T161" i="21"/>
  <c r="S161" i="21"/>
  <c r="C161" i="21"/>
  <c r="X160" i="21"/>
  <c r="W160" i="21"/>
  <c r="V160" i="21"/>
  <c r="U160" i="21"/>
  <c r="T160" i="21"/>
  <c r="S160" i="21"/>
  <c r="C160" i="21"/>
  <c r="X159" i="21"/>
  <c r="W159" i="21"/>
  <c r="V159" i="21"/>
  <c r="U159" i="21"/>
  <c r="T159" i="21"/>
  <c r="S159" i="21"/>
  <c r="C159" i="21"/>
  <c r="X158" i="21"/>
  <c r="W158" i="21"/>
  <c r="V158" i="21"/>
  <c r="U158" i="21"/>
  <c r="T158" i="21"/>
  <c r="S158" i="21"/>
  <c r="C158" i="21"/>
  <c r="X157" i="21"/>
  <c r="W157" i="21"/>
  <c r="V157" i="21"/>
  <c r="U157" i="21"/>
  <c r="T157" i="21"/>
  <c r="S157" i="21"/>
  <c r="C157" i="21"/>
  <c r="X156" i="21"/>
  <c r="W156" i="21"/>
  <c r="V156" i="21"/>
  <c r="U156" i="21"/>
  <c r="T156" i="21"/>
  <c r="S156" i="21"/>
  <c r="C156" i="21"/>
  <c r="X155" i="21"/>
  <c r="W155" i="21"/>
  <c r="V155" i="21"/>
  <c r="U155" i="21"/>
  <c r="T155" i="21"/>
  <c r="S155" i="21"/>
  <c r="C155" i="21"/>
  <c r="X154" i="21"/>
  <c r="W154" i="21"/>
  <c r="V154" i="21"/>
  <c r="U154" i="21"/>
  <c r="T154" i="21"/>
  <c r="S154" i="21"/>
  <c r="C154" i="21"/>
  <c r="X153" i="21"/>
  <c r="W153" i="21"/>
  <c r="V153" i="21"/>
  <c r="U153" i="21"/>
  <c r="T153" i="21"/>
  <c r="S153" i="21"/>
  <c r="C153" i="21"/>
  <c r="X152" i="21"/>
  <c r="W152" i="21"/>
  <c r="V152" i="21"/>
  <c r="U152" i="21"/>
  <c r="T152" i="21"/>
  <c r="S152" i="21"/>
  <c r="C152" i="21"/>
  <c r="X151" i="21"/>
  <c r="W151" i="21"/>
  <c r="V151" i="21"/>
  <c r="U151" i="21"/>
  <c r="T151" i="21"/>
  <c r="S151" i="21"/>
  <c r="C151" i="21"/>
  <c r="X150" i="21"/>
  <c r="W150" i="21"/>
  <c r="V150" i="21"/>
  <c r="U150" i="21"/>
  <c r="T150" i="21"/>
  <c r="S150" i="21"/>
  <c r="C150" i="21"/>
  <c r="X149" i="21"/>
  <c r="W149" i="21"/>
  <c r="V149" i="21"/>
  <c r="U149" i="21"/>
  <c r="T149" i="21"/>
  <c r="S149" i="21"/>
  <c r="C149" i="21"/>
  <c r="X148" i="21"/>
  <c r="W148" i="21"/>
  <c r="V148" i="21"/>
  <c r="U148" i="21"/>
  <c r="T148" i="21"/>
  <c r="S148" i="21"/>
  <c r="C148" i="21"/>
  <c r="X147" i="21"/>
  <c r="W147" i="21"/>
  <c r="V147" i="21"/>
  <c r="U147" i="21"/>
  <c r="T147" i="21"/>
  <c r="S147" i="21"/>
  <c r="C147" i="21"/>
  <c r="X146" i="21"/>
  <c r="W146" i="21"/>
  <c r="V146" i="21"/>
  <c r="U146" i="21"/>
  <c r="T146" i="21"/>
  <c r="S146" i="21"/>
  <c r="C146" i="21"/>
  <c r="X145" i="21"/>
  <c r="W145" i="21"/>
  <c r="V145" i="21"/>
  <c r="U145" i="21"/>
  <c r="T145" i="21"/>
  <c r="S145" i="21"/>
  <c r="C145" i="21"/>
  <c r="X144" i="21"/>
  <c r="W144" i="21"/>
  <c r="V144" i="21"/>
  <c r="U144" i="21"/>
  <c r="T144" i="21"/>
  <c r="S144" i="21"/>
  <c r="C144" i="21"/>
  <c r="X143" i="21"/>
  <c r="W143" i="21"/>
  <c r="V143" i="21"/>
  <c r="U143" i="21"/>
  <c r="T143" i="21"/>
  <c r="S143" i="21"/>
  <c r="C143" i="21"/>
  <c r="X142" i="21"/>
  <c r="W142" i="21"/>
  <c r="V142" i="21"/>
  <c r="U142" i="21"/>
  <c r="T142" i="21"/>
  <c r="S142" i="21"/>
  <c r="C142" i="21"/>
  <c r="X141" i="21"/>
  <c r="W141" i="21"/>
  <c r="V141" i="21"/>
  <c r="U141" i="21"/>
  <c r="T141" i="21"/>
  <c r="S141" i="21"/>
  <c r="C141" i="21"/>
  <c r="X140" i="21"/>
  <c r="W140" i="21"/>
  <c r="V140" i="21"/>
  <c r="U140" i="21"/>
  <c r="T140" i="21"/>
  <c r="S140" i="21"/>
  <c r="C140" i="21"/>
  <c r="X139" i="21"/>
  <c r="W139" i="21"/>
  <c r="V139" i="21"/>
  <c r="U139" i="21"/>
  <c r="T139" i="21"/>
  <c r="S139" i="21"/>
  <c r="C139" i="21"/>
  <c r="X138" i="21"/>
  <c r="W138" i="21"/>
  <c r="V138" i="21"/>
  <c r="U138" i="21"/>
  <c r="T138" i="21"/>
  <c r="S138" i="21"/>
  <c r="C138" i="21"/>
  <c r="X137" i="21"/>
  <c r="W137" i="21"/>
  <c r="V137" i="21"/>
  <c r="U137" i="21"/>
  <c r="T137" i="21"/>
  <c r="S137" i="21"/>
  <c r="C137" i="21"/>
  <c r="X136" i="21"/>
  <c r="W136" i="21"/>
  <c r="V136" i="21"/>
  <c r="U136" i="21"/>
  <c r="T136" i="21"/>
  <c r="S136" i="21"/>
  <c r="C136" i="21"/>
  <c r="X135" i="21"/>
  <c r="W135" i="21"/>
  <c r="V135" i="21"/>
  <c r="U135" i="21"/>
  <c r="T135" i="21"/>
  <c r="S135" i="21"/>
  <c r="C135" i="21"/>
  <c r="X134" i="21"/>
  <c r="W134" i="21"/>
  <c r="V134" i="21"/>
  <c r="U134" i="21"/>
  <c r="T134" i="21"/>
  <c r="S134" i="21"/>
  <c r="C134" i="21"/>
  <c r="X133" i="21"/>
  <c r="W133" i="21"/>
  <c r="V133" i="21"/>
  <c r="U133" i="21"/>
  <c r="T133" i="21"/>
  <c r="S133" i="21"/>
  <c r="C133" i="21"/>
  <c r="X132" i="21"/>
  <c r="W132" i="21"/>
  <c r="V132" i="21"/>
  <c r="U132" i="21"/>
  <c r="T132" i="21"/>
  <c r="S132" i="21"/>
  <c r="C132" i="21"/>
  <c r="X131" i="21"/>
  <c r="W131" i="21"/>
  <c r="V131" i="21"/>
  <c r="U131" i="21"/>
  <c r="T131" i="21"/>
  <c r="S131" i="21"/>
  <c r="C131" i="21"/>
  <c r="X130" i="21"/>
  <c r="W130" i="21"/>
  <c r="V130" i="21"/>
  <c r="U130" i="21"/>
  <c r="T130" i="21"/>
  <c r="S130" i="21"/>
  <c r="C130" i="21"/>
  <c r="X129" i="21"/>
  <c r="W129" i="21"/>
  <c r="V129" i="21"/>
  <c r="U129" i="21"/>
  <c r="T129" i="21"/>
  <c r="S129" i="21"/>
  <c r="C129" i="21"/>
  <c r="X128" i="21"/>
  <c r="W128" i="21"/>
  <c r="V128" i="21"/>
  <c r="U128" i="21"/>
  <c r="T128" i="21"/>
  <c r="S128" i="21"/>
  <c r="C128" i="21"/>
  <c r="X127" i="21"/>
  <c r="W127" i="21"/>
  <c r="V127" i="21"/>
  <c r="U127" i="21"/>
  <c r="T127" i="21"/>
  <c r="S127" i="21"/>
  <c r="C127" i="21"/>
  <c r="X126" i="21"/>
  <c r="W126" i="21"/>
  <c r="V126" i="21"/>
  <c r="U126" i="21"/>
  <c r="T126" i="21"/>
  <c r="S126" i="21"/>
  <c r="C126" i="21"/>
  <c r="X125" i="21"/>
  <c r="W125" i="21"/>
  <c r="V125" i="21"/>
  <c r="U125" i="21"/>
  <c r="T125" i="21"/>
  <c r="S125" i="21"/>
  <c r="C125" i="21"/>
  <c r="X124" i="21"/>
  <c r="W124" i="21"/>
  <c r="V124" i="21"/>
  <c r="U124" i="21"/>
  <c r="T124" i="21"/>
  <c r="S124" i="21"/>
  <c r="C124" i="21"/>
  <c r="X123" i="21"/>
  <c r="W123" i="21"/>
  <c r="V123" i="21"/>
  <c r="U123" i="21"/>
  <c r="T123" i="21"/>
  <c r="S123" i="21"/>
  <c r="C123" i="21"/>
  <c r="X122" i="21"/>
  <c r="W122" i="21"/>
  <c r="V122" i="21"/>
  <c r="U122" i="21"/>
  <c r="T122" i="21"/>
  <c r="S122" i="21"/>
  <c r="C122" i="21"/>
  <c r="X121" i="21"/>
  <c r="W121" i="21"/>
  <c r="V121" i="21"/>
  <c r="U121" i="21"/>
  <c r="T121" i="21"/>
  <c r="S121" i="21"/>
  <c r="C121" i="21"/>
  <c r="X120" i="21"/>
  <c r="W120" i="21"/>
  <c r="V120" i="21"/>
  <c r="U120" i="21"/>
  <c r="T120" i="21"/>
  <c r="S120" i="21"/>
  <c r="C120" i="21"/>
  <c r="X119" i="21"/>
  <c r="W119" i="21"/>
  <c r="V119" i="21"/>
  <c r="U119" i="21"/>
  <c r="T119" i="21"/>
  <c r="S119" i="21"/>
  <c r="C119" i="21"/>
  <c r="X118" i="21"/>
  <c r="W118" i="21"/>
  <c r="V118" i="21"/>
  <c r="U118" i="21"/>
  <c r="T118" i="21"/>
  <c r="S118" i="21"/>
  <c r="C118" i="21"/>
  <c r="X117" i="21"/>
  <c r="W117" i="21"/>
  <c r="V117" i="21"/>
  <c r="U117" i="21"/>
  <c r="T117" i="21"/>
  <c r="S117" i="21"/>
  <c r="C117" i="21"/>
  <c r="X116" i="21"/>
  <c r="W116" i="21"/>
  <c r="V116" i="21"/>
  <c r="U116" i="21"/>
  <c r="T116" i="21"/>
  <c r="S116" i="21"/>
  <c r="C116" i="21"/>
  <c r="X115" i="21"/>
  <c r="W115" i="21"/>
  <c r="V115" i="21"/>
  <c r="U115" i="21"/>
  <c r="T115" i="21"/>
  <c r="S115" i="21"/>
  <c r="C115" i="21"/>
  <c r="X114" i="21"/>
  <c r="W114" i="21"/>
  <c r="V114" i="21"/>
  <c r="U114" i="21"/>
  <c r="T114" i="21"/>
  <c r="S114" i="21"/>
  <c r="C114" i="21"/>
  <c r="X113" i="21"/>
  <c r="W113" i="21"/>
  <c r="V113" i="21"/>
  <c r="U113" i="21"/>
  <c r="T113" i="21"/>
  <c r="S113" i="21"/>
  <c r="C113" i="21"/>
  <c r="X112" i="21"/>
  <c r="W112" i="21"/>
  <c r="V112" i="21"/>
  <c r="U112" i="21"/>
  <c r="T112" i="21"/>
  <c r="S112" i="21"/>
  <c r="C112" i="21"/>
  <c r="X111" i="21"/>
  <c r="W111" i="21"/>
  <c r="V111" i="21"/>
  <c r="U111" i="21"/>
  <c r="T111" i="21"/>
  <c r="S111" i="21"/>
  <c r="C111" i="21"/>
  <c r="X110" i="21"/>
  <c r="W110" i="21"/>
  <c r="V110" i="21"/>
  <c r="U110" i="21"/>
  <c r="T110" i="21"/>
  <c r="S110" i="21"/>
  <c r="C110" i="21"/>
  <c r="X109" i="21"/>
  <c r="W109" i="21"/>
  <c r="V109" i="21"/>
  <c r="U109" i="21"/>
  <c r="T109" i="21"/>
  <c r="S109" i="21"/>
  <c r="C109" i="21"/>
  <c r="X108" i="21"/>
  <c r="W108" i="21"/>
  <c r="V108" i="21"/>
  <c r="U108" i="21"/>
  <c r="T108" i="21"/>
  <c r="S108" i="21"/>
  <c r="C108" i="21"/>
  <c r="X107" i="21"/>
  <c r="W107" i="21"/>
  <c r="V107" i="21"/>
  <c r="U107" i="21"/>
  <c r="T107" i="21"/>
  <c r="S107" i="21"/>
  <c r="C107" i="21"/>
  <c r="X106" i="21"/>
  <c r="W106" i="21"/>
  <c r="V106" i="21"/>
  <c r="U106" i="21"/>
  <c r="T106" i="21"/>
  <c r="S106" i="21"/>
  <c r="C106" i="21"/>
  <c r="X105" i="21"/>
  <c r="W105" i="21"/>
  <c r="V105" i="21"/>
  <c r="U105" i="21"/>
  <c r="T105" i="21"/>
  <c r="S105" i="21"/>
  <c r="C105" i="21"/>
  <c r="X104" i="21"/>
  <c r="W104" i="21"/>
  <c r="V104" i="21"/>
  <c r="U104" i="21"/>
  <c r="T104" i="21"/>
  <c r="S104" i="21"/>
  <c r="C104" i="21"/>
  <c r="X103" i="21"/>
  <c r="W103" i="21"/>
  <c r="V103" i="21"/>
  <c r="U103" i="21"/>
  <c r="T103" i="21"/>
  <c r="S103" i="21"/>
  <c r="C103" i="21"/>
  <c r="X102" i="21"/>
  <c r="W102" i="21"/>
  <c r="V102" i="21"/>
  <c r="U102" i="21"/>
  <c r="T102" i="21"/>
  <c r="S102" i="21"/>
  <c r="C102" i="21"/>
  <c r="X101" i="21"/>
  <c r="W101" i="21"/>
  <c r="V101" i="21"/>
  <c r="U101" i="21"/>
  <c r="T101" i="21"/>
  <c r="S101" i="21"/>
  <c r="C101" i="21"/>
  <c r="X100" i="21"/>
  <c r="W100" i="21"/>
  <c r="V100" i="21"/>
  <c r="U100" i="21"/>
  <c r="T100" i="21"/>
  <c r="S100" i="21"/>
  <c r="C100" i="21"/>
  <c r="X99" i="21"/>
  <c r="W99" i="21"/>
  <c r="V99" i="21"/>
  <c r="U99" i="21"/>
  <c r="T99" i="21"/>
  <c r="S99" i="21"/>
  <c r="C99" i="21"/>
  <c r="X98" i="21"/>
  <c r="W98" i="21"/>
  <c r="V98" i="21"/>
  <c r="U98" i="21"/>
  <c r="T98" i="21"/>
  <c r="S98" i="21"/>
  <c r="C98" i="21"/>
  <c r="X97" i="21"/>
  <c r="W97" i="21"/>
  <c r="V97" i="21"/>
  <c r="U97" i="21"/>
  <c r="T97" i="21"/>
  <c r="S97" i="21"/>
  <c r="C97" i="21"/>
  <c r="X96" i="21"/>
  <c r="W96" i="21"/>
  <c r="V96" i="21"/>
  <c r="U96" i="21"/>
  <c r="T96" i="21"/>
  <c r="S96" i="21"/>
  <c r="C96" i="21"/>
  <c r="X95" i="21"/>
  <c r="W95" i="21"/>
  <c r="V95" i="21"/>
  <c r="U95" i="21"/>
  <c r="T95" i="21"/>
  <c r="S95" i="21"/>
  <c r="C95" i="21"/>
  <c r="X94" i="21"/>
  <c r="W94" i="21"/>
  <c r="V94" i="21"/>
  <c r="U94" i="21"/>
  <c r="T94" i="21"/>
  <c r="S94" i="21"/>
  <c r="C94" i="21"/>
  <c r="X93" i="21"/>
  <c r="W93" i="21"/>
  <c r="V93" i="21"/>
  <c r="U93" i="21"/>
  <c r="T93" i="21"/>
  <c r="S93" i="21"/>
  <c r="C93" i="21"/>
  <c r="X92" i="21"/>
  <c r="W92" i="21"/>
  <c r="V92" i="21"/>
  <c r="U92" i="21"/>
  <c r="T92" i="21"/>
  <c r="S92" i="21"/>
  <c r="C92" i="21"/>
  <c r="X91" i="21"/>
  <c r="W91" i="21"/>
  <c r="V91" i="21"/>
  <c r="U91" i="21"/>
  <c r="T91" i="21"/>
  <c r="S91" i="21"/>
  <c r="C91" i="21"/>
  <c r="X90" i="21"/>
  <c r="W90" i="21"/>
  <c r="V90" i="21"/>
  <c r="U90" i="21"/>
  <c r="T90" i="21"/>
  <c r="S90" i="21"/>
  <c r="C90" i="21"/>
  <c r="X89" i="21"/>
  <c r="W89" i="21"/>
  <c r="V89" i="21"/>
  <c r="U89" i="21"/>
  <c r="T89" i="21"/>
  <c r="S89" i="21"/>
  <c r="C89" i="21"/>
  <c r="X88" i="21"/>
  <c r="W88" i="21"/>
  <c r="V88" i="21"/>
  <c r="U88" i="21"/>
  <c r="T88" i="21"/>
  <c r="S88" i="21"/>
  <c r="C88" i="21"/>
  <c r="X87" i="21"/>
  <c r="W87" i="21"/>
  <c r="V87" i="21"/>
  <c r="U87" i="21"/>
  <c r="T87" i="21"/>
  <c r="S87" i="21"/>
  <c r="C87" i="21"/>
  <c r="X86" i="21"/>
  <c r="W86" i="21"/>
  <c r="V86" i="21"/>
  <c r="U86" i="21"/>
  <c r="T86" i="21"/>
  <c r="S86" i="21"/>
  <c r="C86" i="21"/>
  <c r="X85" i="21"/>
  <c r="W85" i="21"/>
  <c r="V85" i="21"/>
  <c r="U85" i="21"/>
  <c r="T85" i="21"/>
  <c r="S85" i="21"/>
  <c r="C85" i="21"/>
  <c r="X84" i="21"/>
  <c r="W84" i="21"/>
  <c r="V84" i="21"/>
  <c r="U84" i="21"/>
  <c r="T84" i="21"/>
  <c r="S84" i="21"/>
  <c r="C84" i="21"/>
  <c r="X83" i="21"/>
  <c r="W83" i="21"/>
  <c r="V83" i="21"/>
  <c r="U83" i="21"/>
  <c r="T83" i="21"/>
  <c r="S83" i="21"/>
  <c r="C83" i="21"/>
  <c r="X82" i="21"/>
  <c r="W82" i="21"/>
  <c r="V82" i="21"/>
  <c r="U82" i="21"/>
  <c r="T82" i="21"/>
  <c r="S82" i="21"/>
  <c r="C82" i="21"/>
  <c r="X81" i="21"/>
  <c r="W81" i="21"/>
  <c r="V81" i="21"/>
  <c r="U81" i="21"/>
  <c r="T81" i="21"/>
  <c r="S81" i="21"/>
  <c r="C81" i="21"/>
  <c r="X80" i="21"/>
  <c r="W80" i="21"/>
  <c r="V80" i="21"/>
  <c r="U80" i="21"/>
  <c r="T80" i="21"/>
  <c r="S80" i="21"/>
  <c r="C80" i="21"/>
  <c r="X79" i="21"/>
  <c r="W79" i="21"/>
  <c r="V79" i="21"/>
  <c r="U79" i="21"/>
  <c r="T79" i="21"/>
  <c r="S79" i="21"/>
  <c r="C79" i="21"/>
  <c r="X78" i="21"/>
  <c r="W78" i="21"/>
  <c r="V78" i="21"/>
  <c r="U78" i="21"/>
  <c r="T78" i="21"/>
  <c r="S78" i="21"/>
  <c r="C78" i="21"/>
  <c r="X77" i="21"/>
  <c r="W77" i="21"/>
  <c r="V77" i="21"/>
  <c r="U77" i="21"/>
  <c r="T77" i="21"/>
  <c r="S77" i="21"/>
  <c r="C77" i="21"/>
  <c r="X76" i="21"/>
  <c r="W76" i="21"/>
  <c r="V76" i="21"/>
  <c r="U76" i="21"/>
  <c r="T76" i="21"/>
  <c r="S76" i="21"/>
  <c r="C76" i="21"/>
  <c r="X75" i="21"/>
  <c r="W75" i="21"/>
  <c r="V75" i="21"/>
  <c r="U75" i="21"/>
  <c r="T75" i="21"/>
  <c r="S75" i="21"/>
  <c r="C75" i="21"/>
  <c r="X74" i="21"/>
  <c r="W74" i="21"/>
  <c r="V74" i="21"/>
  <c r="U74" i="21"/>
  <c r="T74" i="21"/>
  <c r="S74" i="21"/>
  <c r="C74" i="21"/>
  <c r="X73" i="21"/>
  <c r="W73" i="21"/>
  <c r="V73" i="21"/>
  <c r="U73" i="21"/>
  <c r="T73" i="21"/>
  <c r="S73" i="21"/>
  <c r="C73" i="21"/>
  <c r="X72" i="21"/>
  <c r="W72" i="21"/>
  <c r="V72" i="21"/>
  <c r="U72" i="21"/>
  <c r="T72" i="21"/>
  <c r="S72" i="21"/>
  <c r="C72" i="21"/>
  <c r="X71" i="21"/>
  <c r="W71" i="21"/>
  <c r="V71" i="21"/>
  <c r="U71" i="21"/>
  <c r="T71" i="21"/>
  <c r="S71" i="21"/>
  <c r="C71" i="21"/>
  <c r="X70" i="21"/>
  <c r="W70" i="21"/>
  <c r="V70" i="21"/>
  <c r="U70" i="21"/>
  <c r="T70" i="21"/>
  <c r="S70" i="21"/>
  <c r="C70" i="21"/>
  <c r="X69" i="21"/>
  <c r="W69" i="21"/>
  <c r="V69" i="21"/>
  <c r="U69" i="21"/>
  <c r="T69" i="21"/>
  <c r="S69" i="21"/>
  <c r="C69" i="21"/>
  <c r="X68" i="21"/>
  <c r="W68" i="21"/>
  <c r="V68" i="21"/>
  <c r="U68" i="21"/>
  <c r="T68" i="21"/>
  <c r="S68" i="21"/>
  <c r="C68" i="21"/>
  <c r="X67" i="21"/>
  <c r="W67" i="21"/>
  <c r="V67" i="21"/>
  <c r="U67" i="21"/>
  <c r="T67" i="21"/>
  <c r="S67" i="21"/>
  <c r="C67" i="21"/>
  <c r="X66" i="21"/>
  <c r="W66" i="21"/>
  <c r="V66" i="21"/>
  <c r="U66" i="21"/>
  <c r="T66" i="21"/>
  <c r="S66" i="21"/>
  <c r="C66" i="21"/>
  <c r="X65" i="21"/>
  <c r="W65" i="21"/>
  <c r="V65" i="21"/>
  <c r="U65" i="21"/>
  <c r="T65" i="21"/>
  <c r="S65" i="21"/>
  <c r="C65" i="21"/>
  <c r="X64" i="21"/>
  <c r="W64" i="21"/>
  <c r="V64" i="21"/>
  <c r="U64" i="21"/>
  <c r="T64" i="21"/>
  <c r="S64" i="21"/>
  <c r="C64" i="21"/>
  <c r="X63" i="21"/>
  <c r="W63" i="21"/>
  <c r="V63" i="21"/>
  <c r="U63" i="21"/>
  <c r="T63" i="21"/>
  <c r="S63" i="21"/>
  <c r="C63" i="21"/>
  <c r="X62" i="21"/>
  <c r="W62" i="21"/>
  <c r="V62" i="21"/>
  <c r="U62" i="21"/>
  <c r="T62" i="21"/>
  <c r="S62" i="21"/>
  <c r="C62" i="21"/>
  <c r="X61" i="21"/>
  <c r="W61" i="21"/>
  <c r="V61" i="21"/>
  <c r="U61" i="21"/>
  <c r="T61" i="21"/>
  <c r="S61" i="21"/>
  <c r="C61" i="21"/>
  <c r="X60" i="21"/>
  <c r="W60" i="21"/>
  <c r="V60" i="21"/>
  <c r="U60" i="21"/>
  <c r="T60" i="21"/>
  <c r="S60" i="21"/>
  <c r="C60" i="21"/>
  <c r="X59" i="21"/>
  <c r="W59" i="21"/>
  <c r="V59" i="21"/>
  <c r="U59" i="21"/>
  <c r="T59" i="21"/>
  <c r="S59" i="21"/>
  <c r="C59" i="21"/>
  <c r="X58" i="21"/>
  <c r="W58" i="21"/>
  <c r="V58" i="21"/>
  <c r="U58" i="21"/>
  <c r="T58" i="21"/>
  <c r="S58" i="21"/>
  <c r="C58" i="21"/>
  <c r="X57" i="21"/>
  <c r="W57" i="21"/>
  <c r="V57" i="21"/>
  <c r="U57" i="21"/>
  <c r="T57" i="21"/>
  <c r="S57" i="21"/>
  <c r="C57" i="21"/>
  <c r="X56" i="21"/>
  <c r="W56" i="21"/>
  <c r="V56" i="21"/>
  <c r="U56" i="21"/>
  <c r="T56" i="21"/>
  <c r="S56" i="21"/>
  <c r="C56" i="21"/>
  <c r="X55" i="21"/>
  <c r="W55" i="21"/>
  <c r="V55" i="21"/>
  <c r="U55" i="21"/>
  <c r="T55" i="21"/>
  <c r="S55" i="21"/>
  <c r="C55" i="21"/>
  <c r="X54" i="21"/>
  <c r="W54" i="21"/>
  <c r="V54" i="21"/>
  <c r="U54" i="21"/>
  <c r="T54" i="21"/>
  <c r="S54" i="21"/>
  <c r="C54" i="21"/>
  <c r="X53" i="21"/>
  <c r="W53" i="21"/>
  <c r="V53" i="21"/>
  <c r="U53" i="21"/>
  <c r="T53" i="21"/>
  <c r="S53" i="21"/>
  <c r="C53" i="21"/>
  <c r="X52" i="21"/>
  <c r="W52" i="21"/>
  <c r="V52" i="21"/>
  <c r="U52" i="21"/>
  <c r="T52" i="21"/>
  <c r="S52" i="21"/>
  <c r="C52" i="21"/>
  <c r="X51" i="21"/>
  <c r="W51" i="21"/>
  <c r="V51" i="21"/>
  <c r="U51" i="21"/>
  <c r="T51" i="21"/>
  <c r="S51" i="21"/>
  <c r="C51" i="21"/>
  <c r="X50" i="21"/>
  <c r="W50" i="21"/>
  <c r="V50" i="21"/>
  <c r="U50" i="21"/>
  <c r="T50" i="21"/>
  <c r="S50" i="21"/>
  <c r="C50" i="21"/>
  <c r="X49" i="21"/>
  <c r="W49" i="21"/>
  <c r="V49" i="21"/>
  <c r="U49" i="21"/>
  <c r="T49" i="21"/>
  <c r="S49" i="21"/>
  <c r="C49" i="21"/>
  <c r="X48" i="21"/>
  <c r="W48" i="21"/>
  <c r="V48" i="21"/>
  <c r="U48" i="21"/>
  <c r="T48" i="21"/>
  <c r="S48" i="21"/>
  <c r="C48" i="21"/>
  <c r="X47" i="21"/>
  <c r="W47" i="21"/>
  <c r="V47" i="21"/>
  <c r="U47" i="21"/>
  <c r="T47" i="21"/>
  <c r="S47" i="21"/>
  <c r="C47" i="21"/>
  <c r="X46" i="21"/>
  <c r="W46" i="21"/>
  <c r="V46" i="21"/>
  <c r="U46" i="21"/>
  <c r="T46" i="21"/>
  <c r="S46" i="21"/>
  <c r="C46" i="21"/>
  <c r="X45" i="21"/>
  <c r="W45" i="21"/>
  <c r="V45" i="21"/>
  <c r="U45" i="21"/>
  <c r="T45" i="21"/>
  <c r="S45" i="21"/>
  <c r="C45" i="21"/>
  <c r="X44" i="21"/>
  <c r="W44" i="21"/>
  <c r="V44" i="21"/>
  <c r="U44" i="21"/>
  <c r="T44" i="21"/>
  <c r="S44" i="21"/>
  <c r="C44" i="21"/>
  <c r="X43" i="21"/>
  <c r="W43" i="21"/>
  <c r="V43" i="21"/>
  <c r="U43" i="21"/>
  <c r="T43" i="21"/>
  <c r="S43" i="21"/>
  <c r="C43" i="21"/>
  <c r="X42" i="21"/>
  <c r="W42" i="21"/>
  <c r="V42" i="21"/>
  <c r="U42" i="21"/>
  <c r="T42" i="21"/>
  <c r="S42" i="21"/>
  <c r="C42" i="21"/>
  <c r="X41" i="21"/>
  <c r="W41" i="21"/>
  <c r="V41" i="21"/>
  <c r="U41" i="21"/>
  <c r="T41" i="21"/>
  <c r="S41" i="21"/>
  <c r="C41" i="21"/>
  <c r="X40" i="21"/>
  <c r="W40" i="21"/>
  <c r="V40" i="21"/>
  <c r="U40" i="21"/>
  <c r="T40" i="21"/>
  <c r="S40" i="21"/>
  <c r="C40" i="21"/>
  <c r="X39" i="21"/>
  <c r="W39" i="21"/>
  <c r="V39" i="21"/>
  <c r="U39" i="21"/>
  <c r="T39" i="21"/>
  <c r="S39" i="21"/>
  <c r="C39" i="21"/>
  <c r="X38" i="21"/>
  <c r="W38" i="21"/>
  <c r="V38" i="21"/>
  <c r="U38" i="21"/>
  <c r="T38" i="21"/>
  <c r="S38" i="21"/>
  <c r="C38" i="21"/>
  <c r="X37" i="21"/>
  <c r="W37" i="21"/>
  <c r="V37" i="21"/>
  <c r="U37" i="21"/>
  <c r="T37" i="21"/>
  <c r="S37" i="21"/>
  <c r="C37" i="21"/>
  <c r="X36" i="21"/>
  <c r="W36" i="21"/>
  <c r="V36" i="21"/>
  <c r="U36" i="21"/>
  <c r="T36" i="21"/>
  <c r="S36" i="21"/>
  <c r="C36" i="21"/>
  <c r="X35" i="21"/>
  <c r="W35" i="21"/>
  <c r="V35" i="21"/>
  <c r="U35" i="21"/>
  <c r="T35" i="21"/>
  <c r="S35" i="21"/>
  <c r="C35" i="21"/>
  <c r="X34" i="21"/>
  <c r="W34" i="21"/>
  <c r="V34" i="21"/>
  <c r="U34" i="21"/>
  <c r="T34" i="21"/>
  <c r="S34" i="21"/>
  <c r="C34" i="21"/>
  <c r="X33" i="21"/>
  <c r="W33" i="21"/>
  <c r="V33" i="21"/>
  <c r="U33" i="21"/>
  <c r="T33" i="21"/>
  <c r="S33" i="21"/>
  <c r="C33" i="21"/>
  <c r="X32" i="21"/>
  <c r="W32" i="21"/>
  <c r="V32" i="21"/>
  <c r="U32" i="21"/>
  <c r="T32" i="21"/>
  <c r="S32" i="21"/>
  <c r="C32" i="21"/>
  <c r="X31" i="21"/>
  <c r="W31" i="21"/>
  <c r="V31" i="21"/>
  <c r="U31" i="21"/>
  <c r="T31" i="21"/>
  <c r="S31" i="21"/>
  <c r="C31" i="21"/>
  <c r="X30" i="21"/>
  <c r="W30" i="21"/>
  <c r="V30" i="21"/>
  <c r="U30" i="21"/>
  <c r="T30" i="21"/>
  <c r="S30" i="21"/>
  <c r="C30" i="21"/>
  <c r="X29" i="21"/>
  <c r="W29" i="21"/>
  <c r="V29" i="21"/>
  <c r="U29" i="21"/>
  <c r="T29" i="21"/>
  <c r="S29" i="21"/>
  <c r="C29" i="21"/>
  <c r="X28" i="21"/>
  <c r="W28" i="21"/>
  <c r="V28" i="21"/>
  <c r="U28" i="21"/>
  <c r="T28" i="21"/>
  <c r="S28" i="21"/>
  <c r="C28" i="21"/>
  <c r="X27" i="21"/>
  <c r="W27" i="21"/>
  <c r="V27" i="21"/>
  <c r="U27" i="21"/>
  <c r="T27" i="21"/>
  <c r="S27" i="21"/>
  <c r="C27" i="21"/>
  <c r="X26" i="21"/>
  <c r="W26" i="21"/>
  <c r="V26" i="21"/>
  <c r="U26" i="21"/>
  <c r="T26" i="21"/>
  <c r="S26" i="21"/>
  <c r="C26" i="21"/>
  <c r="X25" i="21"/>
  <c r="W25" i="21"/>
  <c r="V25" i="21"/>
  <c r="U25" i="21"/>
  <c r="T25" i="21"/>
  <c r="S25" i="21"/>
  <c r="C25" i="21"/>
  <c r="X24" i="21"/>
  <c r="W24" i="21"/>
  <c r="V24" i="21"/>
  <c r="U24" i="21"/>
  <c r="T24" i="21"/>
  <c r="S24" i="21"/>
  <c r="C24" i="21"/>
  <c r="X23" i="21"/>
  <c r="W23" i="21"/>
  <c r="V23" i="21"/>
  <c r="U23" i="21"/>
  <c r="T23" i="21"/>
  <c r="S23" i="21"/>
  <c r="C23" i="21"/>
  <c r="Q22" i="21"/>
  <c r="P22" i="21"/>
  <c r="O22" i="21"/>
  <c r="O13" i="21" s="1"/>
  <c r="N22" i="21"/>
  <c r="N13" i="21" s="1"/>
  <c r="M22" i="21"/>
  <c r="M13" i="21" s="1"/>
  <c r="L22" i="21"/>
  <c r="K22" i="21"/>
  <c r="K13" i="21" s="1"/>
  <c r="J22" i="21"/>
  <c r="J13" i="21" s="1"/>
  <c r="I22" i="21"/>
  <c r="I13" i="21" s="1"/>
  <c r="L13" i="21"/>
  <c r="H13" i="21"/>
  <c r="G13" i="21"/>
  <c r="F13" i="21"/>
  <c r="J22" i="19"/>
  <c r="K22" i="19"/>
  <c r="L22" i="19"/>
  <c r="M22" i="19"/>
  <c r="S91" i="20"/>
  <c r="K91" i="20" s="1"/>
  <c r="P91" i="20"/>
  <c r="H91" i="20"/>
  <c r="C91" i="20" s="1"/>
  <c r="S90" i="20"/>
  <c r="P90" i="20"/>
  <c r="H90" i="20"/>
  <c r="C90" i="20" s="1"/>
  <c r="S89" i="20"/>
  <c r="K89" i="20" s="1"/>
  <c r="P89" i="20"/>
  <c r="H89" i="20"/>
  <c r="C89" i="20" s="1"/>
  <c r="S88" i="20"/>
  <c r="P88" i="20"/>
  <c r="H88" i="20"/>
  <c r="C88" i="20" s="1"/>
  <c r="S87" i="20"/>
  <c r="K87" i="20" s="1"/>
  <c r="P87" i="20"/>
  <c r="H87" i="20"/>
  <c r="C87" i="20" s="1"/>
  <c r="S86" i="20"/>
  <c r="P86" i="20"/>
  <c r="H86" i="20"/>
  <c r="C86" i="20" s="1"/>
  <c r="S85" i="20"/>
  <c r="K85" i="20" s="1"/>
  <c r="P85" i="20"/>
  <c r="H85" i="20"/>
  <c r="C85" i="20" s="1"/>
  <c r="S84" i="20"/>
  <c r="K84" i="20" s="1"/>
  <c r="P84" i="20"/>
  <c r="H84" i="20"/>
  <c r="D84" i="20"/>
  <c r="S83" i="20"/>
  <c r="K83" i="20" s="1"/>
  <c r="P83" i="20"/>
  <c r="H83" i="20"/>
  <c r="D83" i="20"/>
  <c r="C83" i="20" s="1"/>
  <c r="S82" i="20"/>
  <c r="P82" i="20"/>
  <c r="K82" i="20" s="1"/>
  <c r="H82" i="20"/>
  <c r="C82" i="20" s="1"/>
  <c r="S81" i="20"/>
  <c r="P81" i="20"/>
  <c r="H81" i="20"/>
  <c r="C81" i="20" s="1"/>
  <c r="S80" i="20"/>
  <c r="P80" i="20"/>
  <c r="H80" i="20"/>
  <c r="C80" i="20" s="1"/>
  <c r="S79" i="20"/>
  <c r="P79" i="20"/>
  <c r="H79" i="20"/>
  <c r="C79" i="20" s="1"/>
  <c r="S78" i="20"/>
  <c r="P78" i="20"/>
  <c r="K78" i="20" s="1"/>
  <c r="H78" i="20"/>
  <c r="C78" i="20" s="1"/>
  <c r="S77" i="20"/>
  <c r="P77" i="20"/>
  <c r="K77" i="20" s="1"/>
  <c r="H77" i="20"/>
  <c r="D77" i="20"/>
  <c r="S76" i="20"/>
  <c r="P76" i="20"/>
  <c r="H76" i="20"/>
  <c r="C76" i="20"/>
  <c r="U75" i="20"/>
  <c r="T75" i="20"/>
  <c r="R75" i="20"/>
  <c r="Q75" i="20"/>
  <c r="O75" i="20"/>
  <c r="N75" i="20"/>
  <c r="M75" i="20"/>
  <c r="L75" i="20"/>
  <c r="J75" i="20"/>
  <c r="I75" i="20"/>
  <c r="G75" i="20"/>
  <c r="F75" i="20"/>
  <c r="E75" i="20"/>
  <c r="S73" i="20"/>
  <c r="K73" i="20" s="1"/>
  <c r="P73" i="20"/>
  <c r="H73" i="20"/>
  <c r="C73" i="20" s="1"/>
  <c r="S72" i="20"/>
  <c r="P72" i="20"/>
  <c r="H72" i="20"/>
  <c r="C72" i="20" s="1"/>
  <c r="S71" i="20"/>
  <c r="P71" i="20"/>
  <c r="H71" i="20"/>
  <c r="C71" i="20" s="1"/>
  <c r="S70" i="20"/>
  <c r="P70" i="20"/>
  <c r="H70" i="20"/>
  <c r="C70" i="20" s="1"/>
  <c r="S69" i="20"/>
  <c r="K69" i="20" s="1"/>
  <c r="P69" i="20"/>
  <c r="H69" i="20"/>
  <c r="C69" i="20" s="1"/>
  <c r="S68" i="20"/>
  <c r="P68" i="20"/>
  <c r="H68" i="20"/>
  <c r="C68" i="20" s="1"/>
  <c r="S67" i="20"/>
  <c r="K67" i="20" s="1"/>
  <c r="P67" i="20"/>
  <c r="H67" i="20"/>
  <c r="C67" i="20"/>
  <c r="S66" i="20"/>
  <c r="P66" i="20"/>
  <c r="H66" i="20"/>
  <c r="C66" i="20"/>
  <c r="S65" i="20"/>
  <c r="P65" i="20"/>
  <c r="H65" i="20"/>
  <c r="C65" i="20" s="1"/>
  <c r="S64" i="20"/>
  <c r="P64" i="20"/>
  <c r="H64" i="20"/>
  <c r="C64" i="20" s="1"/>
  <c r="S63" i="20"/>
  <c r="P63" i="20"/>
  <c r="H63" i="20"/>
  <c r="C63" i="20" s="1"/>
  <c r="S62" i="20"/>
  <c r="P62" i="20"/>
  <c r="H62" i="20"/>
  <c r="C62" i="20" s="1"/>
  <c r="S61" i="20"/>
  <c r="P61" i="20"/>
  <c r="H61" i="20"/>
  <c r="C61" i="20" s="1"/>
  <c r="S60" i="20"/>
  <c r="P60" i="20"/>
  <c r="H60" i="20"/>
  <c r="C60" i="20" s="1"/>
  <c r="S59" i="20"/>
  <c r="P59" i="20"/>
  <c r="H59" i="20"/>
  <c r="C59" i="20" s="1"/>
  <c r="S58" i="20"/>
  <c r="P58" i="20"/>
  <c r="H58" i="20"/>
  <c r="C58" i="20" s="1"/>
  <c r="S57" i="20"/>
  <c r="K57" i="20" s="1"/>
  <c r="P57" i="20"/>
  <c r="H57" i="20"/>
  <c r="C57" i="20" s="1"/>
  <c r="S56" i="20"/>
  <c r="P56" i="20"/>
  <c r="H56" i="20"/>
  <c r="C56" i="20" s="1"/>
  <c r="S55" i="20"/>
  <c r="P55" i="20"/>
  <c r="H55" i="20"/>
  <c r="C55" i="20" s="1"/>
  <c r="S54" i="20"/>
  <c r="P54" i="20"/>
  <c r="H54" i="20"/>
  <c r="C54" i="20" s="1"/>
  <c r="S53" i="20"/>
  <c r="K53" i="20" s="1"/>
  <c r="P53" i="20"/>
  <c r="H53" i="20"/>
  <c r="C53" i="20" s="1"/>
  <c r="S52" i="20"/>
  <c r="P52" i="20"/>
  <c r="H52" i="20"/>
  <c r="C52" i="20" s="1"/>
  <c r="S51" i="20"/>
  <c r="K51" i="20" s="1"/>
  <c r="P51" i="20"/>
  <c r="H51" i="20"/>
  <c r="D51" i="20"/>
  <c r="C51" i="20" s="1"/>
  <c r="S50" i="20"/>
  <c r="K50" i="20" s="1"/>
  <c r="P50" i="20"/>
  <c r="H50" i="20"/>
  <c r="C50" i="20" s="1"/>
  <c r="S49" i="20"/>
  <c r="P49" i="20"/>
  <c r="K49" i="20" s="1"/>
  <c r="H49" i="20"/>
  <c r="C49" i="20" s="1"/>
  <c r="S48" i="20"/>
  <c r="P48" i="20"/>
  <c r="K48" i="20" s="1"/>
  <c r="H48" i="20"/>
  <c r="C48" i="20" s="1"/>
  <c r="S47" i="20"/>
  <c r="P47" i="20"/>
  <c r="H47" i="20"/>
  <c r="C47" i="20" s="1"/>
  <c r="S46" i="20"/>
  <c r="P46" i="20"/>
  <c r="H46" i="20"/>
  <c r="C46" i="20" s="1"/>
  <c r="S45" i="20"/>
  <c r="P45" i="20"/>
  <c r="K45" i="20" s="1"/>
  <c r="H45" i="20"/>
  <c r="C45" i="20" s="1"/>
  <c r="S44" i="20"/>
  <c r="P44" i="20"/>
  <c r="K44" i="20" s="1"/>
  <c r="H44" i="20"/>
  <c r="C44" i="20"/>
  <c r="S43" i="20"/>
  <c r="P43" i="20"/>
  <c r="H43" i="20"/>
  <c r="C43" i="20"/>
  <c r="S42" i="20"/>
  <c r="P42" i="20"/>
  <c r="H42" i="20"/>
  <c r="C42" i="20"/>
  <c r="S41" i="20"/>
  <c r="P41" i="20"/>
  <c r="K41" i="20" s="1"/>
  <c r="H41" i="20"/>
  <c r="C41" i="20" s="1"/>
  <c r="U40" i="20"/>
  <c r="T40" i="20"/>
  <c r="S40" i="20"/>
  <c r="R40" i="20"/>
  <c r="Q40" i="20"/>
  <c r="P40" i="20"/>
  <c r="O40" i="20"/>
  <c r="N40" i="20"/>
  <c r="M40" i="20"/>
  <c r="L40" i="20"/>
  <c r="J40" i="20"/>
  <c r="I40" i="20"/>
  <c r="G40" i="20"/>
  <c r="F40" i="20"/>
  <c r="E40" i="20"/>
  <c r="D40" i="20"/>
  <c r="S39" i="20"/>
  <c r="K39" i="20" s="1"/>
  <c r="P39" i="20"/>
  <c r="H39" i="20"/>
  <c r="C39" i="20" s="1"/>
  <c r="S38" i="20"/>
  <c r="P38" i="20"/>
  <c r="H38" i="20"/>
  <c r="C38" i="20" s="1"/>
  <c r="S37" i="20"/>
  <c r="P37" i="20"/>
  <c r="H37" i="20"/>
  <c r="C37" i="20" s="1"/>
  <c r="S36" i="20"/>
  <c r="K36" i="20" s="1"/>
  <c r="P36" i="20"/>
  <c r="H36" i="20"/>
  <c r="C36" i="20" s="1"/>
  <c r="S35" i="20"/>
  <c r="P35" i="20"/>
  <c r="K35" i="20" s="1"/>
  <c r="H35" i="20"/>
  <c r="C35" i="20" s="1"/>
  <c r="S34" i="20"/>
  <c r="P34" i="20"/>
  <c r="K34" i="20" s="1"/>
  <c r="H34" i="20"/>
  <c r="C34" i="20" s="1"/>
  <c r="S33" i="20"/>
  <c r="P33" i="20"/>
  <c r="H33" i="20"/>
  <c r="C33" i="20" s="1"/>
  <c r="S32" i="20"/>
  <c r="P32" i="20"/>
  <c r="H32" i="20"/>
  <c r="C32" i="20" s="1"/>
  <c r="S31" i="20"/>
  <c r="P31" i="20"/>
  <c r="K31" i="20"/>
  <c r="H31" i="20"/>
  <c r="C31" i="20" s="1"/>
  <c r="S30" i="20"/>
  <c r="P30" i="20"/>
  <c r="K30" i="20"/>
  <c r="H30" i="20"/>
  <c r="C30" i="20" s="1"/>
  <c r="S29" i="20"/>
  <c r="P29" i="20"/>
  <c r="H29" i="20"/>
  <c r="C29" i="20" s="1"/>
  <c r="S28" i="20"/>
  <c r="P28" i="20"/>
  <c r="H28" i="20"/>
  <c r="C28" i="20" s="1"/>
  <c r="S27" i="20"/>
  <c r="P27" i="20"/>
  <c r="K27" i="20" s="1"/>
  <c r="H27" i="20"/>
  <c r="C27" i="20" s="1"/>
  <c r="S26" i="20"/>
  <c r="P26" i="20"/>
  <c r="H26" i="20"/>
  <c r="C26" i="20" s="1"/>
  <c r="S25" i="20"/>
  <c r="K25" i="20" s="1"/>
  <c r="P25" i="20"/>
  <c r="H25" i="20"/>
  <c r="C25" i="20" s="1"/>
  <c r="S24" i="20"/>
  <c r="P24" i="20"/>
  <c r="H24" i="20"/>
  <c r="C24" i="20" s="1"/>
  <c r="S23" i="20"/>
  <c r="P23" i="20"/>
  <c r="K23" i="20"/>
  <c r="H23" i="20"/>
  <c r="C23" i="20" s="1"/>
  <c r="S22" i="20"/>
  <c r="P22" i="20"/>
  <c r="H22" i="20"/>
  <c r="C22" i="20" s="1"/>
  <c r="S21" i="20"/>
  <c r="K21" i="20" s="1"/>
  <c r="P21" i="20"/>
  <c r="H21" i="20"/>
  <c r="C21" i="20" s="1"/>
  <c r="S20" i="20"/>
  <c r="K20" i="20" s="1"/>
  <c r="P20" i="20"/>
  <c r="H20" i="20"/>
  <c r="C20" i="20" s="1"/>
  <c r="S19" i="20"/>
  <c r="P19" i="20"/>
  <c r="K19" i="20" s="1"/>
  <c r="H19" i="20"/>
  <c r="C19" i="20" s="1"/>
  <c r="U18" i="20"/>
  <c r="T18" i="20"/>
  <c r="R18" i="20"/>
  <c r="Q18" i="20"/>
  <c r="O18" i="20"/>
  <c r="N18" i="20"/>
  <c r="M18" i="20"/>
  <c r="L18" i="20"/>
  <c r="J18" i="20"/>
  <c r="I18" i="20"/>
  <c r="G18" i="20"/>
  <c r="F18" i="20"/>
  <c r="E18" i="20"/>
  <c r="D18" i="20"/>
  <c r="S17" i="20"/>
  <c r="K17" i="20" s="1"/>
  <c r="P17" i="20"/>
  <c r="H17" i="20"/>
  <c r="S16" i="20"/>
  <c r="S15" i="20" s="1"/>
  <c r="P16" i="20"/>
  <c r="P15" i="20" s="1"/>
  <c r="H16" i="20"/>
  <c r="D16" i="20"/>
  <c r="D15" i="20" s="1"/>
  <c r="C16" i="20"/>
  <c r="U15" i="20"/>
  <c r="T15" i="20"/>
  <c r="R15" i="20"/>
  <c r="R12" i="20" s="1"/>
  <c r="R11" i="20" s="1"/>
  <c r="R10" i="20" s="1"/>
  <c r="Q15" i="20"/>
  <c r="Q12" i="20" s="1"/>
  <c r="Q11" i="20" s="1"/>
  <c r="Q10" i="20" s="1"/>
  <c r="O15" i="20"/>
  <c r="N15" i="20"/>
  <c r="M15" i="20"/>
  <c r="M12" i="20" s="1"/>
  <c r="M11" i="20" s="1"/>
  <c r="M10" i="20" s="1"/>
  <c r="L15" i="20"/>
  <c r="J15" i="20"/>
  <c r="I15" i="20"/>
  <c r="G15" i="20"/>
  <c r="F15" i="20"/>
  <c r="F12" i="20" s="1"/>
  <c r="F11" i="20" s="1"/>
  <c r="F10" i="20" s="1"/>
  <c r="E15" i="20"/>
  <c r="S14" i="20"/>
  <c r="P14" i="20"/>
  <c r="H14" i="20"/>
  <c r="C14" i="20" s="1"/>
  <c r="S13" i="20"/>
  <c r="P13" i="20"/>
  <c r="H13" i="20"/>
  <c r="C13" i="20" s="1"/>
  <c r="I12" i="20" l="1"/>
  <c r="K63" i="20"/>
  <c r="K81" i="20"/>
  <c r="K52" i="20"/>
  <c r="K56" i="20"/>
  <c r="K60" i="20"/>
  <c r="K68" i="20"/>
  <c r="K72" i="20"/>
  <c r="K88" i="20"/>
  <c r="D75" i="20"/>
  <c r="K24" i="20"/>
  <c r="K37" i="20"/>
  <c r="C40" i="20"/>
  <c r="K54" i="20"/>
  <c r="K58" i="20"/>
  <c r="K64" i="20"/>
  <c r="K70" i="20"/>
  <c r="C77" i="20"/>
  <c r="K79" i="20"/>
  <c r="C84" i="20"/>
  <c r="K13" i="20"/>
  <c r="K14" i="20"/>
  <c r="I11" i="20"/>
  <c r="I10" i="20" s="1"/>
  <c r="N12" i="20"/>
  <c r="N11" i="20" s="1"/>
  <c r="N10" i="20" s="1"/>
  <c r="D12" i="20"/>
  <c r="D11" i="20" s="1"/>
  <c r="D10" i="20" s="1"/>
  <c r="T12" i="20"/>
  <c r="T11" i="20" s="1"/>
  <c r="T10" i="20" s="1"/>
  <c r="K22" i="20"/>
  <c r="K26" i="20"/>
  <c r="K28" i="20"/>
  <c r="K32" i="20"/>
  <c r="K38" i="20"/>
  <c r="K76" i="20"/>
  <c r="G12" i="20"/>
  <c r="G11" i="20" s="1"/>
  <c r="G10" i="20" s="1"/>
  <c r="E12" i="20"/>
  <c r="E11" i="20" s="1"/>
  <c r="E10" i="20" s="1"/>
  <c r="J12" i="20"/>
  <c r="J11" i="20" s="1"/>
  <c r="J10" i="20" s="1"/>
  <c r="O12" i="20"/>
  <c r="O11" i="20" s="1"/>
  <c r="O10" i="20" s="1"/>
  <c r="P75" i="20"/>
  <c r="U12" i="20"/>
  <c r="U11" i="20" s="1"/>
  <c r="U10" i="20" s="1"/>
  <c r="L12" i="20"/>
  <c r="L11" i="20" s="1"/>
  <c r="L10" i="20" s="1"/>
  <c r="C18" i="20"/>
  <c r="K42" i="20"/>
  <c r="K40" i="20" s="1"/>
  <c r="K43" i="20"/>
  <c r="K46" i="20"/>
  <c r="K47" i="20"/>
  <c r="K55" i="20"/>
  <c r="K59" i="20"/>
  <c r="K61" i="20"/>
  <c r="K65" i="20"/>
  <c r="K71" i="20"/>
  <c r="C75" i="20"/>
  <c r="C17" i="20"/>
  <c r="H15" i="20"/>
  <c r="K62" i="20"/>
  <c r="K86" i="20"/>
  <c r="K16" i="20"/>
  <c r="K15" i="20" s="1"/>
  <c r="H18" i="20"/>
  <c r="P18" i="20"/>
  <c r="P12" i="20" s="1"/>
  <c r="P11" i="20" s="1"/>
  <c r="P10" i="20" s="1"/>
  <c r="K33" i="20"/>
  <c r="H40" i="20"/>
  <c r="K66" i="20"/>
  <c r="S75" i="20"/>
  <c r="K75" i="20" s="1"/>
  <c r="H75" i="20"/>
  <c r="K80" i="20"/>
  <c r="K90" i="20"/>
  <c r="S18" i="20"/>
  <c r="S12" i="20" s="1"/>
  <c r="S11" i="20" s="1"/>
  <c r="S10" i="20" s="1"/>
  <c r="K29" i="20"/>
  <c r="C15" i="20"/>
  <c r="C12" i="20" s="1"/>
  <c r="C11" i="20" s="1"/>
  <c r="C10" i="20" s="1"/>
  <c r="J22" i="17"/>
  <c r="K22" i="17"/>
  <c r="L22" i="17"/>
  <c r="L13" i="17" s="1"/>
  <c r="M22" i="17"/>
  <c r="N22" i="17"/>
  <c r="O22" i="17"/>
  <c r="O13" i="17" s="1"/>
  <c r="P22" i="17"/>
  <c r="Q22" i="17"/>
  <c r="I22" i="17"/>
  <c r="Y256" i="19"/>
  <c r="W256" i="19"/>
  <c r="V256" i="19"/>
  <c r="T256" i="19"/>
  <c r="Q256" i="19"/>
  <c r="X256" i="19" s="1"/>
  <c r="N256" i="19"/>
  <c r="U256" i="19" s="1"/>
  <c r="C256" i="19"/>
  <c r="D256" i="19" s="1"/>
  <c r="Y255" i="19"/>
  <c r="W255" i="19"/>
  <c r="V255" i="19"/>
  <c r="T255" i="19"/>
  <c r="Q255" i="19"/>
  <c r="X255" i="19" s="1"/>
  <c r="N255" i="19"/>
  <c r="U255" i="19" s="1"/>
  <c r="C255" i="19"/>
  <c r="D255" i="19" s="1"/>
  <c r="Y254" i="19"/>
  <c r="W254" i="19"/>
  <c r="V254" i="19"/>
  <c r="T254" i="19"/>
  <c r="Q254" i="19"/>
  <c r="X254" i="19" s="1"/>
  <c r="N254" i="19"/>
  <c r="U254" i="19" s="1"/>
  <c r="C254" i="19"/>
  <c r="D254" i="19" s="1"/>
  <c r="Y253" i="19"/>
  <c r="W253" i="19"/>
  <c r="V253" i="19"/>
  <c r="T253" i="19"/>
  <c r="Q253" i="19"/>
  <c r="X253" i="19" s="1"/>
  <c r="N253" i="19"/>
  <c r="U253" i="19" s="1"/>
  <c r="C253" i="19"/>
  <c r="D253" i="19" s="1"/>
  <c r="Y252" i="19"/>
  <c r="W252" i="19"/>
  <c r="V252" i="19"/>
  <c r="T252" i="19"/>
  <c r="Q252" i="19"/>
  <c r="X252" i="19" s="1"/>
  <c r="N252" i="19"/>
  <c r="U252" i="19" s="1"/>
  <c r="C252" i="19"/>
  <c r="D252" i="19" s="1"/>
  <c r="Y251" i="19"/>
  <c r="W251" i="19"/>
  <c r="T251" i="19"/>
  <c r="R251" i="19"/>
  <c r="Q251" i="19" s="1"/>
  <c r="X251" i="19" s="1"/>
  <c r="O251" i="19"/>
  <c r="N251" i="19" s="1"/>
  <c r="U251" i="19" s="1"/>
  <c r="C251" i="19"/>
  <c r="W250" i="19"/>
  <c r="V250" i="19"/>
  <c r="T250" i="19"/>
  <c r="R250" i="19"/>
  <c r="O250" i="19"/>
  <c r="N250" i="19"/>
  <c r="U250" i="19" s="1"/>
  <c r="C250" i="19"/>
  <c r="Y249" i="19"/>
  <c r="W249" i="19"/>
  <c r="V249" i="19"/>
  <c r="T249" i="19"/>
  <c r="Q249" i="19"/>
  <c r="X249" i="19" s="1"/>
  <c r="N249" i="19"/>
  <c r="U249" i="19" s="1"/>
  <c r="C249" i="19"/>
  <c r="W248" i="19"/>
  <c r="T248" i="19"/>
  <c r="C248" i="19"/>
  <c r="D248" i="19" s="1"/>
  <c r="Y247" i="19"/>
  <c r="W247" i="19"/>
  <c r="V247" i="19"/>
  <c r="T247" i="19"/>
  <c r="Q247" i="19"/>
  <c r="X247" i="19" s="1"/>
  <c r="N247" i="19"/>
  <c r="U247" i="19" s="1"/>
  <c r="C247" i="19"/>
  <c r="D247" i="19" s="1"/>
  <c r="Y246" i="19"/>
  <c r="W246" i="19"/>
  <c r="V246" i="19"/>
  <c r="T246" i="19"/>
  <c r="Q246" i="19"/>
  <c r="X246" i="19" s="1"/>
  <c r="N246" i="19"/>
  <c r="U246" i="19" s="1"/>
  <c r="C246" i="19"/>
  <c r="D246" i="19" s="1"/>
  <c r="Y245" i="19"/>
  <c r="W245" i="19"/>
  <c r="V245" i="19"/>
  <c r="T245" i="19"/>
  <c r="Q245" i="19"/>
  <c r="X245" i="19" s="1"/>
  <c r="N245" i="19"/>
  <c r="U245" i="19" s="1"/>
  <c r="C245" i="19"/>
  <c r="D245" i="19" s="1"/>
  <c r="Y244" i="19"/>
  <c r="W244" i="19"/>
  <c r="V244" i="19"/>
  <c r="T244" i="19"/>
  <c r="Q244" i="19"/>
  <c r="X244" i="19" s="1"/>
  <c r="N244" i="19"/>
  <c r="U244" i="19" s="1"/>
  <c r="C244" i="19"/>
  <c r="D244" i="19" s="1"/>
  <c r="Y243" i="19"/>
  <c r="W243" i="19"/>
  <c r="V243" i="19"/>
  <c r="T243" i="19"/>
  <c r="Q243" i="19"/>
  <c r="X243" i="19" s="1"/>
  <c r="N243" i="19"/>
  <c r="U243" i="19" s="1"/>
  <c r="C243" i="19"/>
  <c r="D243" i="19" s="1"/>
  <c r="Y242" i="19"/>
  <c r="W242" i="19"/>
  <c r="V242" i="19"/>
  <c r="U242" i="19"/>
  <c r="T242" i="19"/>
  <c r="Q242" i="19"/>
  <c r="X242" i="19" s="1"/>
  <c r="N242" i="19"/>
  <c r="D242" i="19"/>
  <c r="C242" i="19"/>
  <c r="Y241" i="19"/>
  <c r="W241" i="19"/>
  <c r="V241" i="19"/>
  <c r="T241" i="19"/>
  <c r="Q241" i="19"/>
  <c r="X241" i="19" s="1"/>
  <c r="N241" i="19"/>
  <c r="U241" i="19" s="1"/>
  <c r="C241" i="19"/>
  <c r="D241" i="19" s="1"/>
  <c r="Y240" i="19"/>
  <c r="W240" i="19"/>
  <c r="V240" i="19"/>
  <c r="T240" i="19"/>
  <c r="Q240" i="19"/>
  <c r="X240" i="19" s="1"/>
  <c r="N240" i="19"/>
  <c r="U240" i="19" s="1"/>
  <c r="C240" i="19"/>
  <c r="D240" i="19" s="1"/>
  <c r="Y239" i="19"/>
  <c r="W239" i="19"/>
  <c r="V239" i="19"/>
  <c r="T239" i="19"/>
  <c r="Q239" i="19"/>
  <c r="X239" i="19" s="1"/>
  <c r="N239" i="19"/>
  <c r="U239" i="19" s="1"/>
  <c r="C239" i="19"/>
  <c r="D239" i="19" s="1"/>
  <c r="Y238" i="19"/>
  <c r="W238" i="19"/>
  <c r="V238" i="19"/>
  <c r="T238" i="19"/>
  <c r="Q238" i="19"/>
  <c r="X238" i="19" s="1"/>
  <c r="N238" i="19"/>
  <c r="U238" i="19" s="1"/>
  <c r="C238" i="19"/>
  <c r="D238" i="19" s="1"/>
  <c r="Y237" i="19"/>
  <c r="W237" i="19"/>
  <c r="V237" i="19"/>
  <c r="T237" i="19"/>
  <c r="Q237" i="19"/>
  <c r="X237" i="19" s="1"/>
  <c r="N237" i="19"/>
  <c r="U237" i="19" s="1"/>
  <c r="C237" i="19"/>
  <c r="D237" i="19" s="1"/>
  <c r="Y236" i="19"/>
  <c r="W236" i="19"/>
  <c r="V236" i="19"/>
  <c r="T236" i="19"/>
  <c r="Q236" i="19"/>
  <c r="X236" i="19" s="1"/>
  <c r="N236" i="19"/>
  <c r="U236" i="19" s="1"/>
  <c r="C236" i="19"/>
  <c r="D236" i="19" s="1"/>
  <c r="Y235" i="19"/>
  <c r="W235" i="19"/>
  <c r="V235" i="19"/>
  <c r="T235" i="19"/>
  <c r="Q235" i="19"/>
  <c r="X235" i="19" s="1"/>
  <c r="N235" i="19"/>
  <c r="U235" i="19" s="1"/>
  <c r="C235" i="19"/>
  <c r="D235" i="19" s="1"/>
  <c r="Y234" i="19"/>
  <c r="W234" i="19"/>
  <c r="V234" i="19"/>
  <c r="U234" i="19"/>
  <c r="T234" i="19"/>
  <c r="Q234" i="19"/>
  <c r="X234" i="19" s="1"/>
  <c r="N234" i="19"/>
  <c r="D234" i="19"/>
  <c r="C234" i="19"/>
  <c r="Y233" i="19"/>
  <c r="W233" i="19"/>
  <c r="V233" i="19"/>
  <c r="T233" i="19"/>
  <c r="Q233" i="19"/>
  <c r="X233" i="19" s="1"/>
  <c r="N233" i="19"/>
  <c r="U233" i="19" s="1"/>
  <c r="C233" i="19"/>
  <c r="D233" i="19" s="1"/>
  <c r="Y232" i="19"/>
  <c r="W232" i="19"/>
  <c r="V232" i="19"/>
  <c r="T232" i="19"/>
  <c r="Q232" i="19"/>
  <c r="X232" i="19" s="1"/>
  <c r="N232" i="19"/>
  <c r="U232" i="19" s="1"/>
  <c r="C232" i="19"/>
  <c r="D232" i="19" s="1"/>
  <c r="Y231" i="19"/>
  <c r="W231" i="19"/>
  <c r="V231" i="19"/>
  <c r="T231" i="19"/>
  <c r="Q231" i="19"/>
  <c r="X231" i="19" s="1"/>
  <c r="N231" i="19"/>
  <c r="U231" i="19" s="1"/>
  <c r="C231" i="19"/>
  <c r="D231" i="19" s="1"/>
  <c r="Y230" i="19"/>
  <c r="W230" i="19"/>
  <c r="V230" i="19"/>
  <c r="T230" i="19"/>
  <c r="Q230" i="19"/>
  <c r="X230" i="19" s="1"/>
  <c r="N230" i="19"/>
  <c r="U230" i="19" s="1"/>
  <c r="C230" i="19"/>
  <c r="D230" i="19" s="1"/>
  <c r="Y229" i="19"/>
  <c r="W229" i="19"/>
  <c r="V229" i="19"/>
  <c r="T229" i="19"/>
  <c r="Q229" i="19"/>
  <c r="X229" i="19" s="1"/>
  <c r="N229" i="19"/>
  <c r="U229" i="19" s="1"/>
  <c r="C229" i="19"/>
  <c r="D229" i="19" s="1"/>
  <c r="Y228" i="19"/>
  <c r="W228" i="19"/>
  <c r="V228" i="19"/>
  <c r="T228" i="19"/>
  <c r="Q228" i="19"/>
  <c r="X228" i="19" s="1"/>
  <c r="N228" i="19"/>
  <c r="U228" i="19" s="1"/>
  <c r="C228" i="19"/>
  <c r="D228" i="19" s="1"/>
  <c r="Y227" i="19"/>
  <c r="W227" i="19"/>
  <c r="V227" i="19"/>
  <c r="T227" i="19"/>
  <c r="Q227" i="19"/>
  <c r="X227" i="19" s="1"/>
  <c r="N227" i="19"/>
  <c r="U227" i="19" s="1"/>
  <c r="C227" i="19"/>
  <c r="D227" i="19" s="1"/>
  <c r="Y226" i="19"/>
  <c r="W226" i="19"/>
  <c r="V226" i="19"/>
  <c r="U226" i="19"/>
  <c r="T226" i="19"/>
  <c r="Q226" i="19"/>
  <c r="X226" i="19" s="1"/>
  <c r="N226" i="19"/>
  <c r="D226" i="19"/>
  <c r="C226" i="19"/>
  <c r="Y225" i="19"/>
  <c r="W225" i="19"/>
  <c r="V225" i="19"/>
  <c r="T225" i="19"/>
  <c r="Q225" i="19"/>
  <c r="X225" i="19" s="1"/>
  <c r="N225" i="19"/>
  <c r="U225" i="19" s="1"/>
  <c r="C225" i="19"/>
  <c r="D225" i="19" s="1"/>
  <c r="Y224" i="19"/>
  <c r="W224" i="19"/>
  <c r="V224" i="19"/>
  <c r="T224" i="19"/>
  <c r="Q224" i="19"/>
  <c r="X224" i="19" s="1"/>
  <c r="N224" i="19"/>
  <c r="U224" i="19" s="1"/>
  <c r="C224" i="19"/>
  <c r="D224" i="19" s="1"/>
  <c r="Y223" i="19"/>
  <c r="W223" i="19"/>
  <c r="V223" i="19"/>
  <c r="T223" i="19"/>
  <c r="Q223" i="19"/>
  <c r="X223" i="19" s="1"/>
  <c r="N223" i="19"/>
  <c r="U223" i="19" s="1"/>
  <c r="C223" i="19"/>
  <c r="D223" i="19" s="1"/>
  <c r="Y222" i="19"/>
  <c r="W222" i="19"/>
  <c r="V222" i="19"/>
  <c r="T222" i="19"/>
  <c r="Q222" i="19"/>
  <c r="X222" i="19" s="1"/>
  <c r="N222" i="19"/>
  <c r="U222" i="19" s="1"/>
  <c r="C222" i="19"/>
  <c r="D222" i="19" s="1"/>
  <c r="Y221" i="19"/>
  <c r="W221" i="19"/>
  <c r="V221" i="19"/>
  <c r="T221" i="19"/>
  <c r="Q221" i="19"/>
  <c r="X221" i="19" s="1"/>
  <c r="N221" i="19"/>
  <c r="U221" i="19" s="1"/>
  <c r="C221" i="19"/>
  <c r="D221" i="19" s="1"/>
  <c r="Y220" i="19"/>
  <c r="W220" i="19"/>
  <c r="V220" i="19"/>
  <c r="T220" i="19"/>
  <c r="Q220" i="19"/>
  <c r="X220" i="19" s="1"/>
  <c r="N220" i="19"/>
  <c r="U220" i="19" s="1"/>
  <c r="C220" i="19"/>
  <c r="D220" i="19" s="1"/>
  <c r="Y219" i="19"/>
  <c r="W219" i="19"/>
  <c r="V219" i="19"/>
  <c r="T219" i="19"/>
  <c r="Q219" i="19"/>
  <c r="X219" i="19" s="1"/>
  <c r="N219" i="19"/>
  <c r="U219" i="19" s="1"/>
  <c r="C219" i="19"/>
  <c r="D219" i="19" s="1"/>
  <c r="Y218" i="19"/>
  <c r="W218" i="19"/>
  <c r="V218" i="19"/>
  <c r="U218" i="19"/>
  <c r="T218" i="19"/>
  <c r="Q218" i="19"/>
  <c r="X218" i="19" s="1"/>
  <c r="N218" i="19"/>
  <c r="D218" i="19"/>
  <c r="C218" i="19"/>
  <c r="Y217" i="19"/>
  <c r="W217" i="19"/>
  <c r="V217" i="19"/>
  <c r="T217" i="19"/>
  <c r="Q217" i="19"/>
  <c r="X217" i="19" s="1"/>
  <c r="N217" i="19"/>
  <c r="U217" i="19" s="1"/>
  <c r="C217" i="19"/>
  <c r="D217" i="19" s="1"/>
  <c r="Y216" i="19"/>
  <c r="W216" i="19"/>
  <c r="V216" i="19"/>
  <c r="T216" i="19"/>
  <c r="Q216" i="19"/>
  <c r="X216" i="19" s="1"/>
  <c r="N216" i="19"/>
  <c r="U216" i="19" s="1"/>
  <c r="C216" i="19"/>
  <c r="D216" i="19" s="1"/>
  <c r="Y215" i="19"/>
  <c r="W215" i="19"/>
  <c r="V215" i="19"/>
  <c r="T215" i="19"/>
  <c r="Q215" i="19"/>
  <c r="X215" i="19" s="1"/>
  <c r="N215" i="19"/>
  <c r="U215" i="19" s="1"/>
  <c r="C215" i="19"/>
  <c r="D215" i="19" s="1"/>
  <c r="Y214" i="19"/>
  <c r="W214" i="19"/>
  <c r="V214" i="19"/>
  <c r="T214" i="19"/>
  <c r="Q214" i="19"/>
  <c r="X214" i="19" s="1"/>
  <c r="N214" i="19"/>
  <c r="U214" i="19" s="1"/>
  <c r="C214" i="19"/>
  <c r="D214" i="19" s="1"/>
  <c r="Y213" i="19"/>
  <c r="W213" i="19"/>
  <c r="V213" i="19"/>
  <c r="T213" i="19"/>
  <c r="Q213" i="19"/>
  <c r="X213" i="19" s="1"/>
  <c r="N213" i="19"/>
  <c r="U213" i="19" s="1"/>
  <c r="C213" i="19"/>
  <c r="D213" i="19" s="1"/>
  <c r="Y212" i="19"/>
  <c r="W212" i="19"/>
  <c r="V212" i="19"/>
  <c r="T212" i="19"/>
  <c r="Q212" i="19"/>
  <c r="X212" i="19" s="1"/>
  <c r="N212" i="19"/>
  <c r="U212" i="19" s="1"/>
  <c r="C212" i="19"/>
  <c r="D212" i="19" s="1"/>
  <c r="Y211" i="19"/>
  <c r="W211" i="19"/>
  <c r="V211" i="19"/>
  <c r="T211" i="19"/>
  <c r="Q211" i="19"/>
  <c r="X211" i="19" s="1"/>
  <c r="N211" i="19"/>
  <c r="U211" i="19" s="1"/>
  <c r="C211" i="19"/>
  <c r="D211" i="19" s="1"/>
  <c r="Y210" i="19"/>
  <c r="W210" i="19"/>
  <c r="V210" i="19"/>
  <c r="U210" i="19"/>
  <c r="T210" i="19"/>
  <c r="Q210" i="19"/>
  <c r="X210" i="19" s="1"/>
  <c r="N210" i="19"/>
  <c r="D210" i="19"/>
  <c r="C210" i="19"/>
  <c r="Y209" i="19"/>
  <c r="W209" i="19"/>
  <c r="V209" i="19"/>
  <c r="T209" i="19"/>
  <c r="Q209" i="19"/>
  <c r="X209" i="19" s="1"/>
  <c r="N209" i="19"/>
  <c r="U209" i="19" s="1"/>
  <c r="C209" i="19"/>
  <c r="D209" i="19" s="1"/>
  <c r="Y208" i="19"/>
  <c r="W208" i="19"/>
  <c r="V208" i="19"/>
  <c r="T208" i="19"/>
  <c r="Q208" i="19"/>
  <c r="X208" i="19" s="1"/>
  <c r="N208" i="19"/>
  <c r="U208" i="19" s="1"/>
  <c r="C208" i="19"/>
  <c r="D208" i="19" s="1"/>
  <c r="W207" i="19"/>
  <c r="T207" i="19"/>
  <c r="R207" i="19"/>
  <c r="O207" i="19"/>
  <c r="C207" i="19"/>
  <c r="Y206" i="19"/>
  <c r="X206" i="19"/>
  <c r="W206" i="19"/>
  <c r="V206" i="19"/>
  <c r="T206" i="19"/>
  <c r="N206" i="19"/>
  <c r="C206" i="19"/>
  <c r="W205" i="19"/>
  <c r="T205" i="19"/>
  <c r="C205" i="19"/>
  <c r="D205" i="19" s="1"/>
  <c r="Y204" i="19"/>
  <c r="W204" i="19"/>
  <c r="V204" i="19"/>
  <c r="T204" i="19"/>
  <c r="Q204" i="19"/>
  <c r="X204" i="19" s="1"/>
  <c r="N204" i="19"/>
  <c r="U204" i="19" s="1"/>
  <c r="C204" i="19"/>
  <c r="D204" i="19" s="1"/>
  <c r="Y203" i="19"/>
  <c r="W203" i="19"/>
  <c r="V203" i="19"/>
  <c r="U203" i="19"/>
  <c r="T203" i="19"/>
  <c r="Q203" i="19"/>
  <c r="X203" i="19" s="1"/>
  <c r="N203" i="19"/>
  <c r="C203" i="19"/>
  <c r="D203" i="19" s="1"/>
  <c r="Y202" i="19"/>
  <c r="W202" i="19"/>
  <c r="V202" i="19"/>
  <c r="T202" i="19"/>
  <c r="Q202" i="19"/>
  <c r="X202" i="19" s="1"/>
  <c r="N202" i="19"/>
  <c r="U202" i="19" s="1"/>
  <c r="C202" i="19"/>
  <c r="D202" i="19" s="1"/>
  <c r="Y201" i="19"/>
  <c r="W201" i="19"/>
  <c r="V201" i="19"/>
  <c r="T201" i="19"/>
  <c r="Q201" i="19"/>
  <c r="X201" i="19" s="1"/>
  <c r="N201" i="19"/>
  <c r="U201" i="19" s="1"/>
  <c r="C201" i="19"/>
  <c r="D201" i="19" s="1"/>
  <c r="Y200" i="19"/>
  <c r="W200" i="19"/>
  <c r="V200" i="19"/>
  <c r="T200" i="19"/>
  <c r="Q200" i="19"/>
  <c r="X200" i="19" s="1"/>
  <c r="N200" i="19"/>
  <c r="U200" i="19" s="1"/>
  <c r="C200" i="19"/>
  <c r="D200" i="19" s="1"/>
  <c r="Y199" i="19"/>
  <c r="W199" i="19"/>
  <c r="V199" i="19"/>
  <c r="T199" i="19"/>
  <c r="Q199" i="19"/>
  <c r="X199" i="19" s="1"/>
  <c r="N199" i="19"/>
  <c r="U199" i="19" s="1"/>
  <c r="C199" i="19"/>
  <c r="D199" i="19" s="1"/>
  <c r="Y198" i="19"/>
  <c r="W198" i="19"/>
  <c r="V198" i="19"/>
  <c r="T198" i="19"/>
  <c r="Q198" i="19"/>
  <c r="X198" i="19" s="1"/>
  <c r="N198" i="19"/>
  <c r="U198" i="19" s="1"/>
  <c r="C198" i="19"/>
  <c r="D198" i="19" s="1"/>
  <c r="Y197" i="19"/>
  <c r="W197" i="19"/>
  <c r="V197" i="19"/>
  <c r="U197" i="19"/>
  <c r="T197" i="19"/>
  <c r="Q197" i="19"/>
  <c r="X197" i="19" s="1"/>
  <c r="N197" i="19"/>
  <c r="C197" i="19"/>
  <c r="D197" i="19" s="1"/>
  <c r="Y196" i="19"/>
  <c r="W196" i="19"/>
  <c r="V196" i="19"/>
  <c r="T196" i="19"/>
  <c r="Q196" i="19"/>
  <c r="X196" i="19" s="1"/>
  <c r="N196" i="19"/>
  <c r="U196" i="19" s="1"/>
  <c r="C196" i="19"/>
  <c r="D196" i="19" s="1"/>
  <c r="Y195" i="19"/>
  <c r="W195" i="19"/>
  <c r="V195" i="19"/>
  <c r="U195" i="19"/>
  <c r="T195" i="19"/>
  <c r="Q195" i="19"/>
  <c r="X195" i="19" s="1"/>
  <c r="N195" i="19"/>
  <c r="C195" i="19"/>
  <c r="D195" i="19" s="1"/>
  <c r="Y194" i="19"/>
  <c r="W194" i="19"/>
  <c r="V194" i="19"/>
  <c r="T194" i="19"/>
  <c r="Q194" i="19"/>
  <c r="X194" i="19" s="1"/>
  <c r="N194" i="19"/>
  <c r="U194" i="19" s="1"/>
  <c r="C194" i="19"/>
  <c r="D194" i="19" s="1"/>
  <c r="Y193" i="19"/>
  <c r="W193" i="19"/>
  <c r="V193" i="19"/>
  <c r="T193" i="19"/>
  <c r="Q193" i="19"/>
  <c r="X193" i="19" s="1"/>
  <c r="N193" i="19"/>
  <c r="U193" i="19" s="1"/>
  <c r="C193" i="19"/>
  <c r="D193" i="19" s="1"/>
  <c r="Y192" i="19"/>
  <c r="W192" i="19"/>
  <c r="V192" i="19"/>
  <c r="T192" i="19"/>
  <c r="Q192" i="19"/>
  <c r="X192" i="19" s="1"/>
  <c r="N192" i="19"/>
  <c r="U192" i="19" s="1"/>
  <c r="C192" i="19"/>
  <c r="D192" i="19" s="1"/>
  <c r="Y191" i="19"/>
  <c r="W191" i="19"/>
  <c r="V191" i="19"/>
  <c r="T191" i="19"/>
  <c r="Q191" i="19"/>
  <c r="X191" i="19" s="1"/>
  <c r="N191" i="19"/>
  <c r="U191" i="19" s="1"/>
  <c r="I191" i="19"/>
  <c r="C191" i="19"/>
  <c r="D191" i="19" s="1"/>
  <c r="Y190" i="19"/>
  <c r="W190" i="19"/>
  <c r="V190" i="19"/>
  <c r="T190" i="19"/>
  <c r="Q190" i="19"/>
  <c r="X190" i="19" s="1"/>
  <c r="N190" i="19"/>
  <c r="U190" i="19" s="1"/>
  <c r="I190" i="19"/>
  <c r="C190" i="19"/>
  <c r="D190" i="19" s="1"/>
  <c r="Y189" i="19"/>
  <c r="W189" i="19"/>
  <c r="V189" i="19"/>
  <c r="U189" i="19"/>
  <c r="T189" i="19"/>
  <c r="Q189" i="19"/>
  <c r="X189" i="19" s="1"/>
  <c r="N189" i="19"/>
  <c r="I189" i="19"/>
  <c r="C189" i="19"/>
  <c r="D189" i="19" s="1"/>
  <c r="Y188" i="19"/>
  <c r="W188" i="19"/>
  <c r="V188" i="19"/>
  <c r="T188" i="19"/>
  <c r="Q188" i="19"/>
  <c r="X188" i="19" s="1"/>
  <c r="N188" i="19"/>
  <c r="U188" i="19" s="1"/>
  <c r="I188" i="19"/>
  <c r="D188" i="19"/>
  <c r="C188" i="19"/>
  <c r="Y187" i="19"/>
  <c r="W187" i="19"/>
  <c r="V187" i="19"/>
  <c r="T187" i="19"/>
  <c r="Q187" i="19"/>
  <c r="X187" i="19" s="1"/>
  <c r="N187" i="19"/>
  <c r="U187" i="19" s="1"/>
  <c r="I187" i="19"/>
  <c r="C187" i="19"/>
  <c r="D187" i="19" s="1"/>
  <c r="Y186" i="19"/>
  <c r="W186" i="19"/>
  <c r="V186" i="19"/>
  <c r="T186" i="19"/>
  <c r="Q186" i="19"/>
  <c r="X186" i="19" s="1"/>
  <c r="N186" i="19"/>
  <c r="U186" i="19" s="1"/>
  <c r="I186" i="19"/>
  <c r="C186" i="19"/>
  <c r="D186" i="19" s="1"/>
  <c r="Y185" i="19"/>
  <c r="W185" i="19"/>
  <c r="V185" i="19"/>
  <c r="U185" i="19"/>
  <c r="T185" i="19"/>
  <c r="Q185" i="19"/>
  <c r="X185" i="19" s="1"/>
  <c r="N185" i="19"/>
  <c r="I185" i="19"/>
  <c r="C185" i="19"/>
  <c r="D185" i="19" s="1"/>
  <c r="Y184" i="19"/>
  <c r="W184" i="19"/>
  <c r="V184" i="19"/>
  <c r="T184" i="19"/>
  <c r="Q184" i="19"/>
  <c r="X184" i="19" s="1"/>
  <c r="N184" i="19"/>
  <c r="U184" i="19" s="1"/>
  <c r="I184" i="19"/>
  <c r="C184" i="19"/>
  <c r="D184" i="19" s="1"/>
  <c r="Y183" i="19"/>
  <c r="W183" i="19"/>
  <c r="V183" i="19"/>
  <c r="T183" i="19"/>
  <c r="Q183" i="19"/>
  <c r="X183" i="19" s="1"/>
  <c r="N183" i="19"/>
  <c r="U183" i="19" s="1"/>
  <c r="I183" i="19"/>
  <c r="C183" i="19"/>
  <c r="D183" i="19" s="1"/>
  <c r="Y182" i="19"/>
  <c r="W182" i="19"/>
  <c r="V182" i="19"/>
  <c r="T182" i="19"/>
  <c r="Q182" i="19"/>
  <c r="X182" i="19" s="1"/>
  <c r="N182" i="19"/>
  <c r="U182" i="19" s="1"/>
  <c r="I182" i="19"/>
  <c r="D182" i="19"/>
  <c r="C182" i="19"/>
  <c r="Y181" i="19"/>
  <c r="W181" i="19"/>
  <c r="V181" i="19"/>
  <c r="T181" i="19"/>
  <c r="Q181" i="19"/>
  <c r="X181" i="19" s="1"/>
  <c r="N181" i="19"/>
  <c r="U181" i="19" s="1"/>
  <c r="I181" i="19"/>
  <c r="C181" i="19"/>
  <c r="D181" i="19" s="1"/>
  <c r="Y180" i="19"/>
  <c r="W180" i="19"/>
  <c r="V180" i="19"/>
  <c r="T180" i="19"/>
  <c r="Q180" i="19"/>
  <c r="X180" i="19" s="1"/>
  <c r="N180" i="19"/>
  <c r="U180" i="19" s="1"/>
  <c r="I180" i="19"/>
  <c r="C180" i="19"/>
  <c r="D180" i="19" s="1"/>
  <c r="Y179" i="19"/>
  <c r="W179" i="19"/>
  <c r="V179" i="19"/>
  <c r="U179" i="19"/>
  <c r="T179" i="19"/>
  <c r="Q179" i="19"/>
  <c r="X179" i="19" s="1"/>
  <c r="N179" i="19"/>
  <c r="I179" i="19"/>
  <c r="C179" i="19"/>
  <c r="D179" i="19" s="1"/>
  <c r="Y178" i="19"/>
  <c r="W178" i="19"/>
  <c r="V178" i="19"/>
  <c r="T178" i="19"/>
  <c r="Q178" i="19"/>
  <c r="X178" i="19" s="1"/>
  <c r="N178" i="19"/>
  <c r="U178" i="19" s="1"/>
  <c r="I178" i="19"/>
  <c r="C178" i="19"/>
  <c r="D178" i="19" s="1"/>
  <c r="Y177" i="19"/>
  <c r="W177" i="19"/>
  <c r="V177" i="19"/>
  <c r="T177" i="19"/>
  <c r="Q177" i="19"/>
  <c r="X177" i="19" s="1"/>
  <c r="N177" i="19"/>
  <c r="U177" i="19" s="1"/>
  <c r="I177" i="19"/>
  <c r="C177" i="19"/>
  <c r="D177" i="19" s="1"/>
  <c r="Y176" i="19"/>
  <c r="W176" i="19"/>
  <c r="V176" i="19"/>
  <c r="T176" i="19"/>
  <c r="Q176" i="19"/>
  <c r="X176" i="19" s="1"/>
  <c r="N176" i="19"/>
  <c r="U176" i="19" s="1"/>
  <c r="I176" i="19"/>
  <c r="D176" i="19"/>
  <c r="C176" i="19"/>
  <c r="Y175" i="19"/>
  <c r="W175" i="19"/>
  <c r="V175" i="19"/>
  <c r="T175" i="19"/>
  <c r="Q175" i="19"/>
  <c r="X175" i="19" s="1"/>
  <c r="N175" i="19"/>
  <c r="U175" i="19" s="1"/>
  <c r="I175" i="19"/>
  <c r="C175" i="19"/>
  <c r="D175" i="19" s="1"/>
  <c r="Y174" i="19"/>
  <c r="W174" i="19"/>
  <c r="V174" i="19"/>
  <c r="T174" i="19"/>
  <c r="Q174" i="19"/>
  <c r="X174" i="19" s="1"/>
  <c r="N174" i="19"/>
  <c r="U174" i="19" s="1"/>
  <c r="I174" i="19"/>
  <c r="C174" i="19"/>
  <c r="D174" i="19" s="1"/>
  <c r="Y173" i="19"/>
  <c r="W173" i="19"/>
  <c r="V173" i="19"/>
  <c r="U173" i="19"/>
  <c r="T173" i="19"/>
  <c r="Q173" i="19"/>
  <c r="X173" i="19" s="1"/>
  <c r="N173" i="19"/>
  <c r="I173" i="19"/>
  <c r="C173" i="19"/>
  <c r="D173" i="19" s="1"/>
  <c r="Y172" i="19"/>
  <c r="W172" i="19"/>
  <c r="V172" i="19"/>
  <c r="T172" i="19"/>
  <c r="Q172" i="19"/>
  <c r="X172" i="19" s="1"/>
  <c r="N172" i="19"/>
  <c r="U172" i="19" s="1"/>
  <c r="I172" i="19"/>
  <c r="C172" i="19"/>
  <c r="D172" i="19" s="1"/>
  <c r="Y171" i="19"/>
  <c r="W171" i="19"/>
  <c r="V171" i="19"/>
  <c r="U171" i="19"/>
  <c r="T171" i="19"/>
  <c r="Q171" i="19"/>
  <c r="X171" i="19" s="1"/>
  <c r="N171" i="19"/>
  <c r="I171" i="19"/>
  <c r="C171" i="19"/>
  <c r="D171" i="19" s="1"/>
  <c r="Y170" i="19"/>
  <c r="W170" i="19"/>
  <c r="V170" i="19"/>
  <c r="T170" i="19"/>
  <c r="Q170" i="19"/>
  <c r="X170" i="19" s="1"/>
  <c r="N170" i="19"/>
  <c r="U170" i="19" s="1"/>
  <c r="I170" i="19"/>
  <c r="C170" i="19"/>
  <c r="D170" i="19" s="1"/>
  <c r="Y169" i="19"/>
  <c r="W169" i="19"/>
  <c r="V169" i="19"/>
  <c r="T169" i="19"/>
  <c r="Q169" i="19"/>
  <c r="X169" i="19" s="1"/>
  <c r="N169" i="19"/>
  <c r="U169" i="19" s="1"/>
  <c r="I169" i="19"/>
  <c r="C169" i="19"/>
  <c r="D169" i="19" s="1"/>
  <c r="Y168" i="19"/>
  <c r="W168" i="19"/>
  <c r="V168" i="19"/>
  <c r="T168" i="19"/>
  <c r="Q168" i="19"/>
  <c r="X168" i="19" s="1"/>
  <c r="N168" i="19"/>
  <c r="U168" i="19" s="1"/>
  <c r="I168" i="19"/>
  <c r="C168" i="19"/>
  <c r="D168" i="19" s="1"/>
  <c r="Y167" i="19"/>
  <c r="W167" i="19"/>
  <c r="V167" i="19"/>
  <c r="T167" i="19"/>
  <c r="Q167" i="19"/>
  <c r="X167" i="19" s="1"/>
  <c r="N167" i="19"/>
  <c r="U167" i="19" s="1"/>
  <c r="I167" i="19"/>
  <c r="C167" i="19"/>
  <c r="D167" i="19" s="1"/>
  <c r="Y166" i="19"/>
  <c r="W166" i="19"/>
  <c r="V166" i="19"/>
  <c r="T166" i="19"/>
  <c r="Q166" i="19"/>
  <c r="X166" i="19" s="1"/>
  <c r="N166" i="19"/>
  <c r="U166" i="19" s="1"/>
  <c r="I166" i="19"/>
  <c r="C166" i="19"/>
  <c r="D166" i="19" s="1"/>
  <c r="Y165" i="19"/>
  <c r="W165" i="19"/>
  <c r="V165" i="19"/>
  <c r="T165" i="19"/>
  <c r="Q165" i="19"/>
  <c r="X165" i="19" s="1"/>
  <c r="N165" i="19"/>
  <c r="U165" i="19" s="1"/>
  <c r="I165" i="19"/>
  <c r="C165" i="19"/>
  <c r="D165" i="19" s="1"/>
  <c r="Y164" i="19"/>
  <c r="W164" i="19"/>
  <c r="V164" i="19"/>
  <c r="U164" i="19"/>
  <c r="T164" i="19"/>
  <c r="Q164" i="19"/>
  <c r="X164" i="19" s="1"/>
  <c r="N164" i="19"/>
  <c r="I164" i="19"/>
  <c r="C164" i="19"/>
  <c r="D164" i="19" s="1"/>
  <c r="W163" i="19"/>
  <c r="T163" i="19"/>
  <c r="R163" i="19"/>
  <c r="Q163" i="19" s="1"/>
  <c r="X163" i="19" s="1"/>
  <c r="O163" i="19"/>
  <c r="O161" i="19" s="1"/>
  <c r="C163" i="19"/>
  <c r="Y162" i="19"/>
  <c r="W162" i="19"/>
  <c r="V162" i="19"/>
  <c r="U162" i="19"/>
  <c r="T162" i="19"/>
  <c r="Q162" i="19"/>
  <c r="X162" i="19" s="1"/>
  <c r="N162" i="19"/>
  <c r="C162" i="19"/>
  <c r="W161" i="19"/>
  <c r="T161" i="19"/>
  <c r="I161" i="19"/>
  <c r="C161" i="19"/>
  <c r="D161" i="19" s="1"/>
  <c r="Y160" i="19"/>
  <c r="W160" i="19"/>
  <c r="V160" i="19"/>
  <c r="T160" i="19"/>
  <c r="Q160" i="19"/>
  <c r="X160" i="19" s="1"/>
  <c r="N160" i="19"/>
  <c r="U160" i="19" s="1"/>
  <c r="I160" i="19"/>
  <c r="C160" i="19"/>
  <c r="D160" i="19" s="1"/>
  <c r="Y159" i="19"/>
  <c r="W159" i="19"/>
  <c r="V159" i="19"/>
  <c r="U159" i="19"/>
  <c r="T159" i="19"/>
  <c r="Q159" i="19"/>
  <c r="X159" i="19" s="1"/>
  <c r="N159" i="19"/>
  <c r="I159" i="19"/>
  <c r="C159" i="19"/>
  <c r="D159" i="19" s="1"/>
  <c r="Y158" i="19"/>
  <c r="W158" i="19"/>
  <c r="V158" i="19"/>
  <c r="T158" i="19"/>
  <c r="Q158" i="19"/>
  <c r="X158" i="19" s="1"/>
  <c r="N158" i="19"/>
  <c r="U158" i="19" s="1"/>
  <c r="I158" i="19"/>
  <c r="D158" i="19"/>
  <c r="C158" i="19"/>
  <c r="Y157" i="19"/>
  <c r="W157" i="19"/>
  <c r="V157" i="19"/>
  <c r="T157" i="19"/>
  <c r="Q157" i="19"/>
  <c r="X157" i="19" s="1"/>
  <c r="N157" i="19"/>
  <c r="U157" i="19" s="1"/>
  <c r="I157" i="19"/>
  <c r="C157" i="19"/>
  <c r="D157" i="19" s="1"/>
  <c r="Y156" i="19"/>
  <c r="W156" i="19"/>
  <c r="V156" i="19"/>
  <c r="T156" i="19"/>
  <c r="Q156" i="19"/>
  <c r="X156" i="19" s="1"/>
  <c r="N156" i="19"/>
  <c r="U156" i="19" s="1"/>
  <c r="I156" i="19"/>
  <c r="C156" i="19"/>
  <c r="D156" i="19" s="1"/>
  <c r="Y155" i="19"/>
  <c r="W155" i="19"/>
  <c r="V155" i="19"/>
  <c r="T155" i="19"/>
  <c r="Q155" i="19"/>
  <c r="X155" i="19" s="1"/>
  <c r="N155" i="19"/>
  <c r="U155" i="19" s="1"/>
  <c r="I155" i="19"/>
  <c r="C155" i="19"/>
  <c r="D155" i="19" s="1"/>
  <c r="Y154" i="19"/>
  <c r="W154" i="19"/>
  <c r="V154" i="19"/>
  <c r="T154" i="19"/>
  <c r="Q154" i="19"/>
  <c r="X154" i="19" s="1"/>
  <c r="N154" i="19"/>
  <c r="U154" i="19" s="1"/>
  <c r="I154" i="19"/>
  <c r="C154" i="19"/>
  <c r="D154" i="19" s="1"/>
  <c r="Y153" i="19"/>
  <c r="W153" i="19"/>
  <c r="V153" i="19"/>
  <c r="T153" i="19"/>
  <c r="Q153" i="19"/>
  <c r="X153" i="19" s="1"/>
  <c r="N153" i="19"/>
  <c r="U153" i="19" s="1"/>
  <c r="I153" i="19"/>
  <c r="C153" i="19"/>
  <c r="D153" i="19" s="1"/>
  <c r="Y152" i="19"/>
  <c r="W152" i="19"/>
  <c r="V152" i="19"/>
  <c r="T152" i="19"/>
  <c r="Q152" i="19"/>
  <c r="X152" i="19" s="1"/>
  <c r="N152" i="19"/>
  <c r="U152" i="19" s="1"/>
  <c r="I152" i="19"/>
  <c r="C152" i="19"/>
  <c r="D152" i="19" s="1"/>
  <c r="Y151" i="19"/>
  <c r="W151" i="19"/>
  <c r="V151" i="19"/>
  <c r="U151" i="19"/>
  <c r="T151" i="19"/>
  <c r="Q151" i="19"/>
  <c r="X151" i="19" s="1"/>
  <c r="N151" i="19"/>
  <c r="I151" i="19"/>
  <c r="C151" i="19"/>
  <c r="D151" i="19" s="1"/>
  <c r="Y150" i="19"/>
  <c r="W150" i="19"/>
  <c r="V150" i="19"/>
  <c r="T150" i="19"/>
  <c r="Q150" i="19"/>
  <c r="X150" i="19" s="1"/>
  <c r="N150" i="19"/>
  <c r="U150" i="19" s="1"/>
  <c r="I150" i="19"/>
  <c r="D150" i="19"/>
  <c r="C150" i="19"/>
  <c r="Y149" i="19"/>
  <c r="W149" i="19"/>
  <c r="V149" i="19"/>
  <c r="T149" i="19"/>
  <c r="Q149" i="19"/>
  <c r="X149" i="19" s="1"/>
  <c r="N149" i="19"/>
  <c r="U149" i="19" s="1"/>
  <c r="I149" i="19"/>
  <c r="C149" i="19"/>
  <c r="D149" i="19" s="1"/>
  <c r="W148" i="19"/>
  <c r="T148" i="19"/>
  <c r="R148" i="19"/>
  <c r="Y148" i="19" s="1"/>
  <c r="O148" i="19"/>
  <c r="N148" i="19" s="1"/>
  <c r="U148" i="19" s="1"/>
  <c r="C148" i="19"/>
  <c r="Y147" i="19"/>
  <c r="W147" i="19"/>
  <c r="V147" i="19"/>
  <c r="T147" i="19"/>
  <c r="Q147" i="19"/>
  <c r="X147" i="19" s="1"/>
  <c r="N147" i="19"/>
  <c r="U147" i="19" s="1"/>
  <c r="C147" i="19"/>
  <c r="W146" i="19"/>
  <c r="T146" i="19"/>
  <c r="R146" i="19"/>
  <c r="Y146" i="19" s="1"/>
  <c r="I146" i="19"/>
  <c r="C146" i="19"/>
  <c r="D146" i="19" s="1"/>
  <c r="Y145" i="19"/>
  <c r="W145" i="19"/>
  <c r="V145" i="19"/>
  <c r="T145" i="19"/>
  <c r="Q145" i="19"/>
  <c r="X145" i="19" s="1"/>
  <c r="N145" i="19"/>
  <c r="U145" i="19" s="1"/>
  <c r="I145" i="19"/>
  <c r="D145" i="19"/>
  <c r="C145" i="19"/>
  <c r="Y144" i="19"/>
  <c r="W144" i="19"/>
  <c r="V144" i="19"/>
  <c r="T144" i="19"/>
  <c r="Q144" i="19"/>
  <c r="X144" i="19" s="1"/>
  <c r="N144" i="19"/>
  <c r="U144" i="19" s="1"/>
  <c r="I144" i="19"/>
  <c r="C144" i="19"/>
  <c r="D144" i="19" s="1"/>
  <c r="Y143" i="19"/>
  <c r="W143" i="19"/>
  <c r="V143" i="19"/>
  <c r="T143" i="19"/>
  <c r="Q143" i="19"/>
  <c r="X143" i="19" s="1"/>
  <c r="N143" i="19"/>
  <c r="U143" i="19" s="1"/>
  <c r="I143" i="19"/>
  <c r="C143" i="19"/>
  <c r="D143" i="19" s="1"/>
  <c r="Y142" i="19"/>
  <c r="W142" i="19"/>
  <c r="V142" i="19"/>
  <c r="T142" i="19"/>
  <c r="Q142" i="19"/>
  <c r="X142" i="19" s="1"/>
  <c r="N142" i="19"/>
  <c r="U142" i="19" s="1"/>
  <c r="I142" i="19"/>
  <c r="C142" i="19"/>
  <c r="D142" i="19" s="1"/>
  <c r="W141" i="19"/>
  <c r="T141" i="19"/>
  <c r="R141" i="19"/>
  <c r="O141" i="19"/>
  <c r="C141" i="19"/>
  <c r="Y140" i="19"/>
  <c r="W140" i="19"/>
  <c r="V140" i="19"/>
  <c r="T140" i="19"/>
  <c r="Q140" i="19"/>
  <c r="X140" i="19" s="1"/>
  <c r="N140" i="19"/>
  <c r="U140" i="19" s="1"/>
  <c r="C140" i="19"/>
  <c r="W139" i="19"/>
  <c r="T139" i="19"/>
  <c r="R139" i="19"/>
  <c r="O139" i="19"/>
  <c r="I139" i="19"/>
  <c r="C139" i="19"/>
  <c r="D139" i="19" s="1"/>
  <c r="Y138" i="19"/>
  <c r="W138" i="19"/>
  <c r="V138" i="19"/>
  <c r="T138" i="19"/>
  <c r="Q138" i="19"/>
  <c r="X138" i="19" s="1"/>
  <c r="N138" i="19"/>
  <c r="U138" i="19" s="1"/>
  <c r="I138" i="19"/>
  <c r="C138" i="19"/>
  <c r="D138" i="19" s="1"/>
  <c r="Y137" i="19"/>
  <c r="W137" i="19"/>
  <c r="V137" i="19"/>
  <c r="T137" i="19"/>
  <c r="Q137" i="19"/>
  <c r="X137" i="19" s="1"/>
  <c r="N137" i="19"/>
  <c r="U137" i="19" s="1"/>
  <c r="I137" i="19"/>
  <c r="C137" i="19"/>
  <c r="D137" i="19" s="1"/>
  <c r="Y136" i="19"/>
  <c r="W136" i="19"/>
  <c r="V136" i="19"/>
  <c r="T136" i="19"/>
  <c r="Q136" i="19"/>
  <c r="X136" i="19" s="1"/>
  <c r="N136" i="19"/>
  <c r="U136" i="19" s="1"/>
  <c r="I136" i="19"/>
  <c r="C136" i="19"/>
  <c r="D136" i="19" s="1"/>
  <c r="Y135" i="19"/>
  <c r="W135" i="19"/>
  <c r="V135" i="19"/>
  <c r="T135" i="19"/>
  <c r="Q135" i="19"/>
  <c r="X135" i="19" s="1"/>
  <c r="N135" i="19"/>
  <c r="U135" i="19" s="1"/>
  <c r="I135" i="19"/>
  <c r="C135" i="19"/>
  <c r="D135" i="19" s="1"/>
  <c r="Y134" i="19"/>
  <c r="W134" i="19"/>
  <c r="V134" i="19"/>
  <c r="U134" i="19"/>
  <c r="T134" i="19"/>
  <c r="Q134" i="19"/>
  <c r="X134" i="19" s="1"/>
  <c r="N134" i="19"/>
  <c r="I134" i="19"/>
  <c r="C134" i="19"/>
  <c r="D134" i="19" s="1"/>
  <c r="Y133" i="19"/>
  <c r="W133" i="19"/>
  <c r="V133" i="19"/>
  <c r="T133" i="19"/>
  <c r="Q133" i="19"/>
  <c r="X133" i="19" s="1"/>
  <c r="N133" i="19"/>
  <c r="U133" i="19" s="1"/>
  <c r="I133" i="19"/>
  <c r="C133" i="19"/>
  <c r="D133" i="19" s="1"/>
  <c r="Y132" i="19"/>
  <c r="W132" i="19"/>
  <c r="V132" i="19"/>
  <c r="T132" i="19"/>
  <c r="Q132" i="19"/>
  <c r="X132" i="19" s="1"/>
  <c r="N132" i="19"/>
  <c r="U132" i="19" s="1"/>
  <c r="I132" i="19"/>
  <c r="C132" i="19"/>
  <c r="D132" i="19" s="1"/>
  <c r="Y131" i="19"/>
  <c r="W131" i="19"/>
  <c r="V131" i="19"/>
  <c r="U131" i="19"/>
  <c r="T131" i="19"/>
  <c r="Q131" i="19"/>
  <c r="X131" i="19" s="1"/>
  <c r="N131" i="19"/>
  <c r="I131" i="19"/>
  <c r="C131" i="19"/>
  <c r="D131" i="19" s="1"/>
  <c r="Y130" i="19"/>
  <c r="W130" i="19"/>
  <c r="V130" i="19"/>
  <c r="T130" i="19"/>
  <c r="Q130" i="19"/>
  <c r="X130" i="19" s="1"/>
  <c r="N130" i="19"/>
  <c r="U130" i="19" s="1"/>
  <c r="I130" i="19"/>
  <c r="D130" i="19"/>
  <c r="C130" i="19"/>
  <c r="Y129" i="19"/>
  <c r="W129" i="19"/>
  <c r="V129" i="19"/>
  <c r="T129" i="19"/>
  <c r="Q129" i="19"/>
  <c r="X129" i="19" s="1"/>
  <c r="N129" i="19"/>
  <c r="U129" i="19" s="1"/>
  <c r="I129" i="19"/>
  <c r="C129" i="19"/>
  <c r="D129" i="19" s="1"/>
  <c r="Y128" i="19"/>
  <c r="W128" i="19"/>
  <c r="V128" i="19"/>
  <c r="T128" i="19"/>
  <c r="Q128" i="19"/>
  <c r="X128" i="19" s="1"/>
  <c r="N128" i="19"/>
  <c r="U128" i="19" s="1"/>
  <c r="I128" i="19"/>
  <c r="C128" i="19"/>
  <c r="D128" i="19" s="1"/>
  <c r="Y127" i="19"/>
  <c r="W127" i="19"/>
  <c r="V127" i="19"/>
  <c r="T127" i="19"/>
  <c r="Q127" i="19"/>
  <c r="X127" i="19" s="1"/>
  <c r="N127" i="19"/>
  <c r="U127" i="19" s="1"/>
  <c r="I127" i="19"/>
  <c r="D127" i="19"/>
  <c r="C127" i="19"/>
  <c r="Y126" i="19"/>
  <c r="W126" i="19"/>
  <c r="V126" i="19"/>
  <c r="T126" i="19"/>
  <c r="Q126" i="19"/>
  <c r="X126" i="19" s="1"/>
  <c r="N126" i="19"/>
  <c r="U126" i="19" s="1"/>
  <c r="I126" i="19"/>
  <c r="C126" i="19"/>
  <c r="D126" i="19" s="1"/>
  <c r="Y125" i="19"/>
  <c r="W125" i="19"/>
  <c r="V125" i="19"/>
  <c r="T125" i="19"/>
  <c r="Q125" i="19"/>
  <c r="X125" i="19" s="1"/>
  <c r="N125" i="19"/>
  <c r="U125" i="19" s="1"/>
  <c r="I125" i="19"/>
  <c r="D125" i="19"/>
  <c r="C125" i="19"/>
  <c r="Y124" i="19"/>
  <c r="W124" i="19"/>
  <c r="V124" i="19"/>
  <c r="T124" i="19"/>
  <c r="Q124" i="19"/>
  <c r="X124" i="19" s="1"/>
  <c r="N124" i="19"/>
  <c r="U124" i="19" s="1"/>
  <c r="I124" i="19"/>
  <c r="C124" i="19"/>
  <c r="D124" i="19" s="1"/>
  <c r="Y123" i="19"/>
  <c r="W123" i="19"/>
  <c r="V123" i="19"/>
  <c r="U123" i="19"/>
  <c r="T123" i="19"/>
  <c r="Q123" i="19"/>
  <c r="X123" i="19" s="1"/>
  <c r="N123" i="19"/>
  <c r="I123" i="19"/>
  <c r="C123" i="19"/>
  <c r="D123" i="19" s="1"/>
  <c r="Y122" i="19"/>
  <c r="W122" i="19"/>
  <c r="V122" i="19"/>
  <c r="T122" i="19"/>
  <c r="Q122" i="19"/>
  <c r="X122" i="19" s="1"/>
  <c r="N122" i="19"/>
  <c r="U122" i="19" s="1"/>
  <c r="I122" i="19"/>
  <c r="C122" i="19"/>
  <c r="D122" i="19" s="1"/>
  <c r="Y121" i="19"/>
  <c r="W121" i="19"/>
  <c r="V121" i="19"/>
  <c r="T121" i="19"/>
  <c r="Q121" i="19"/>
  <c r="X121" i="19" s="1"/>
  <c r="N121" i="19"/>
  <c r="U121" i="19" s="1"/>
  <c r="I121" i="19"/>
  <c r="C121" i="19"/>
  <c r="D121" i="19" s="1"/>
  <c r="Y120" i="19"/>
  <c r="W120" i="19"/>
  <c r="V120" i="19"/>
  <c r="T120" i="19"/>
  <c r="Q120" i="19"/>
  <c r="X120" i="19" s="1"/>
  <c r="N120" i="19"/>
  <c r="U120" i="19" s="1"/>
  <c r="I120" i="19"/>
  <c r="C120" i="19"/>
  <c r="D120" i="19" s="1"/>
  <c r="Y119" i="19"/>
  <c r="W119" i="19"/>
  <c r="V119" i="19"/>
  <c r="T119" i="19"/>
  <c r="Q119" i="19"/>
  <c r="X119" i="19" s="1"/>
  <c r="N119" i="19"/>
  <c r="U119" i="19" s="1"/>
  <c r="I119" i="19"/>
  <c r="C119" i="19"/>
  <c r="D119" i="19" s="1"/>
  <c r="Y118" i="19"/>
  <c r="W118" i="19"/>
  <c r="V118" i="19"/>
  <c r="U118" i="19"/>
  <c r="T118" i="19"/>
  <c r="Q118" i="19"/>
  <c r="X118" i="19" s="1"/>
  <c r="N118" i="19"/>
  <c r="I118" i="19"/>
  <c r="C118" i="19"/>
  <c r="D118" i="19" s="1"/>
  <c r="Y117" i="19"/>
  <c r="W117" i="19"/>
  <c r="V117" i="19"/>
  <c r="T117" i="19"/>
  <c r="Q117" i="19"/>
  <c r="X117" i="19" s="1"/>
  <c r="N117" i="19"/>
  <c r="U117" i="19" s="1"/>
  <c r="I117" i="19"/>
  <c r="C117" i="19"/>
  <c r="D117" i="19" s="1"/>
  <c r="Y116" i="19"/>
  <c r="W116" i="19"/>
  <c r="V116" i="19"/>
  <c r="T116" i="19"/>
  <c r="Q116" i="19"/>
  <c r="X116" i="19" s="1"/>
  <c r="N116" i="19"/>
  <c r="U116" i="19" s="1"/>
  <c r="I116" i="19"/>
  <c r="C116" i="19"/>
  <c r="D116" i="19" s="1"/>
  <c r="Y115" i="19"/>
  <c r="W115" i="19"/>
  <c r="V115" i="19"/>
  <c r="U115" i="19"/>
  <c r="T115" i="19"/>
  <c r="Q115" i="19"/>
  <c r="X115" i="19" s="1"/>
  <c r="N115" i="19"/>
  <c r="I115" i="19"/>
  <c r="C115" i="19"/>
  <c r="D115" i="19" s="1"/>
  <c r="Y114" i="19"/>
  <c r="W114" i="19"/>
  <c r="V114" i="19"/>
  <c r="T114" i="19"/>
  <c r="Q114" i="19"/>
  <c r="X114" i="19" s="1"/>
  <c r="N114" i="19"/>
  <c r="U114" i="19" s="1"/>
  <c r="I114" i="19"/>
  <c r="D114" i="19"/>
  <c r="C114" i="19"/>
  <c r="Y113" i="19"/>
  <c r="W113" i="19"/>
  <c r="V113" i="19"/>
  <c r="T113" i="19"/>
  <c r="Q113" i="19"/>
  <c r="X113" i="19" s="1"/>
  <c r="N113" i="19"/>
  <c r="U113" i="19" s="1"/>
  <c r="I113" i="19"/>
  <c r="C113" i="19"/>
  <c r="D113" i="19" s="1"/>
  <c r="Y112" i="19"/>
  <c r="W112" i="19"/>
  <c r="V112" i="19"/>
  <c r="T112" i="19"/>
  <c r="Q112" i="19"/>
  <c r="X112" i="19" s="1"/>
  <c r="N112" i="19"/>
  <c r="U112" i="19" s="1"/>
  <c r="I112" i="19"/>
  <c r="C112" i="19"/>
  <c r="D112" i="19" s="1"/>
  <c r="W111" i="19"/>
  <c r="T111" i="19"/>
  <c r="R111" i="19"/>
  <c r="Y111" i="19" s="1"/>
  <c r="O111" i="19"/>
  <c r="N111" i="19" s="1"/>
  <c r="U111" i="19" s="1"/>
  <c r="C111" i="19"/>
  <c r="W110" i="19"/>
  <c r="T110" i="19"/>
  <c r="R110" i="19"/>
  <c r="O110" i="19"/>
  <c r="V110" i="19" s="1"/>
  <c r="N110" i="19"/>
  <c r="U110" i="19" s="1"/>
  <c r="C110" i="19"/>
  <c r="W109" i="19"/>
  <c r="T109" i="19"/>
  <c r="R109" i="19"/>
  <c r="O109" i="19"/>
  <c r="C109" i="19"/>
  <c r="W108" i="19"/>
  <c r="V108" i="19"/>
  <c r="T108" i="19"/>
  <c r="R108" i="19"/>
  <c r="O108" i="19"/>
  <c r="N108" i="19" s="1"/>
  <c r="U108" i="19" s="1"/>
  <c r="C108" i="19"/>
  <c r="W107" i="19"/>
  <c r="T107" i="19"/>
  <c r="R107" i="19"/>
  <c r="O107" i="19"/>
  <c r="C107" i="19"/>
  <c r="X106" i="19"/>
  <c r="W106" i="19"/>
  <c r="U106" i="19"/>
  <c r="T106" i="19"/>
  <c r="C106" i="19"/>
  <c r="Y105" i="19"/>
  <c r="X105" i="19"/>
  <c r="W105" i="19"/>
  <c r="V105" i="19"/>
  <c r="U105" i="19"/>
  <c r="T105" i="19"/>
  <c r="C105" i="19"/>
  <c r="W104" i="19"/>
  <c r="T104" i="19"/>
  <c r="I104" i="19"/>
  <c r="C104" i="19"/>
  <c r="D104" i="19" s="1"/>
  <c r="Y103" i="19"/>
  <c r="W103" i="19"/>
  <c r="V103" i="19"/>
  <c r="T103" i="19"/>
  <c r="Q103" i="19"/>
  <c r="X103" i="19" s="1"/>
  <c r="N103" i="19"/>
  <c r="U103" i="19" s="1"/>
  <c r="I103" i="19"/>
  <c r="C103" i="19"/>
  <c r="D103" i="19" s="1"/>
  <c r="Y102" i="19"/>
  <c r="W102" i="19"/>
  <c r="V102" i="19"/>
  <c r="T102" i="19"/>
  <c r="Q102" i="19"/>
  <c r="X102" i="19" s="1"/>
  <c r="N102" i="19"/>
  <c r="U102" i="19" s="1"/>
  <c r="I102" i="19"/>
  <c r="C102" i="19"/>
  <c r="D102" i="19" s="1"/>
  <c r="Y101" i="19"/>
  <c r="W101" i="19"/>
  <c r="V101" i="19"/>
  <c r="T101" i="19"/>
  <c r="Q101" i="19"/>
  <c r="X101" i="19" s="1"/>
  <c r="N101" i="19"/>
  <c r="U101" i="19" s="1"/>
  <c r="I101" i="19"/>
  <c r="C101" i="19"/>
  <c r="D101" i="19" s="1"/>
  <c r="Y100" i="19"/>
  <c r="W100" i="19"/>
  <c r="V100" i="19"/>
  <c r="T100" i="19"/>
  <c r="Q100" i="19"/>
  <c r="X100" i="19" s="1"/>
  <c r="N100" i="19"/>
  <c r="U100" i="19" s="1"/>
  <c r="I100" i="19"/>
  <c r="C100" i="19"/>
  <c r="D100" i="19" s="1"/>
  <c r="Y99" i="19"/>
  <c r="W99" i="19"/>
  <c r="V99" i="19"/>
  <c r="U99" i="19"/>
  <c r="T99" i="19"/>
  <c r="Q99" i="19"/>
  <c r="X99" i="19" s="1"/>
  <c r="N99" i="19"/>
  <c r="I99" i="19"/>
  <c r="C99" i="19"/>
  <c r="D99" i="19" s="1"/>
  <c r="Y98" i="19"/>
  <c r="W98" i="19"/>
  <c r="V98" i="19"/>
  <c r="T98" i="19"/>
  <c r="Q98" i="19"/>
  <c r="X98" i="19" s="1"/>
  <c r="N98" i="19"/>
  <c r="U98" i="19" s="1"/>
  <c r="I98" i="19"/>
  <c r="D98" i="19"/>
  <c r="C98" i="19"/>
  <c r="Y97" i="19"/>
  <c r="W97" i="19"/>
  <c r="V97" i="19"/>
  <c r="T97" i="19"/>
  <c r="Q97" i="19"/>
  <c r="X97" i="19" s="1"/>
  <c r="N97" i="19"/>
  <c r="U97" i="19" s="1"/>
  <c r="I97" i="19"/>
  <c r="C97" i="19"/>
  <c r="D97" i="19" s="1"/>
  <c r="Y96" i="19"/>
  <c r="W96" i="19"/>
  <c r="V96" i="19"/>
  <c r="T96" i="19"/>
  <c r="Q96" i="19"/>
  <c r="X96" i="19" s="1"/>
  <c r="N96" i="19"/>
  <c r="U96" i="19" s="1"/>
  <c r="I96" i="19"/>
  <c r="C96" i="19"/>
  <c r="D96" i="19" s="1"/>
  <c r="Y95" i="19"/>
  <c r="W95" i="19"/>
  <c r="V95" i="19"/>
  <c r="T95" i="19"/>
  <c r="Q95" i="19"/>
  <c r="X95" i="19" s="1"/>
  <c r="N95" i="19"/>
  <c r="U95" i="19" s="1"/>
  <c r="I95" i="19"/>
  <c r="C95" i="19"/>
  <c r="D95" i="19" s="1"/>
  <c r="Y94" i="19"/>
  <c r="W94" i="19"/>
  <c r="V94" i="19"/>
  <c r="T94" i="19"/>
  <c r="Q94" i="19"/>
  <c r="X94" i="19" s="1"/>
  <c r="N94" i="19"/>
  <c r="U94" i="19" s="1"/>
  <c r="I94" i="19"/>
  <c r="C94" i="19"/>
  <c r="D94" i="19" s="1"/>
  <c r="Y93" i="19"/>
  <c r="W93" i="19"/>
  <c r="V93" i="19"/>
  <c r="T93" i="19"/>
  <c r="Q93" i="19"/>
  <c r="X93" i="19" s="1"/>
  <c r="N93" i="19"/>
  <c r="U93" i="19" s="1"/>
  <c r="I93" i="19"/>
  <c r="C93" i="19"/>
  <c r="D93" i="19" s="1"/>
  <c r="Y92" i="19"/>
  <c r="W92" i="19"/>
  <c r="V92" i="19"/>
  <c r="T92" i="19"/>
  <c r="Q92" i="19"/>
  <c r="X92" i="19" s="1"/>
  <c r="N92" i="19"/>
  <c r="U92" i="19" s="1"/>
  <c r="I92" i="19"/>
  <c r="C92" i="19"/>
  <c r="D92" i="19" s="1"/>
  <c r="Y91" i="19"/>
  <c r="W91" i="19"/>
  <c r="V91" i="19"/>
  <c r="U91" i="19"/>
  <c r="T91" i="19"/>
  <c r="Q91" i="19"/>
  <c r="X91" i="19" s="1"/>
  <c r="N91" i="19"/>
  <c r="I91" i="19"/>
  <c r="C91" i="19"/>
  <c r="D91" i="19" s="1"/>
  <c r="Y90" i="19"/>
  <c r="W90" i="19"/>
  <c r="V90" i="19"/>
  <c r="T90" i="19"/>
  <c r="Q90" i="19"/>
  <c r="X90" i="19" s="1"/>
  <c r="N90" i="19"/>
  <c r="U90" i="19" s="1"/>
  <c r="I90" i="19"/>
  <c r="D90" i="19"/>
  <c r="C90" i="19"/>
  <c r="Y89" i="19"/>
  <c r="W89" i="19"/>
  <c r="V89" i="19"/>
  <c r="T89" i="19"/>
  <c r="Q89" i="19"/>
  <c r="X89" i="19" s="1"/>
  <c r="N89" i="19"/>
  <c r="U89" i="19" s="1"/>
  <c r="I89" i="19"/>
  <c r="C89" i="19"/>
  <c r="D89" i="19" s="1"/>
  <c r="Y88" i="19"/>
  <c r="W88" i="19"/>
  <c r="V88" i="19"/>
  <c r="T88" i="19"/>
  <c r="Q88" i="19"/>
  <c r="X88" i="19" s="1"/>
  <c r="N88" i="19"/>
  <c r="U88" i="19" s="1"/>
  <c r="I88" i="19"/>
  <c r="C88" i="19"/>
  <c r="D88" i="19" s="1"/>
  <c r="Y87" i="19"/>
  <c r="W87" i="19"/>
  <c r="V87" i="19"/>
  <c r="T87" i="19"/>
  <c r="Q87" i="19"/>
  <c r="X87" i="19" s="1"/>
  <c r="N87" i="19"/>
  <c r="U87" i="19" s="1"/>
  <c r="I87" i="19"/>
  <c r="C87" i="19"/>
  <c r="D87" i="19" s="1"/>
  <c r="Y86" i="19"/>
  <c r="W86" i="19"/>
  <c r="V86" i="19"/>
  <c r="T86" i="19"/>
  <c r="Q86" i="19"/>
  <c r="X86" i="19" s="1"/>
  <c r="N86" i="19"/>
  <c r="U86" i="19" s="1"/>
  <c r="I86" i="19"/>
  <c r="C86" i="19"/>
  <c r="D86" i="19" s="1"/>
  <c r="Y85" i="19"/>
  <c r="W85" i="19"/>
  <c r="V85" i="19"/>
  <c r="T85" i="19"/>
  <c r="Q85" i="19"/>
  <c r="X85" i="19" s="1"/>
  <c r="N85" i="19"/>
  <c r="U85" i="19" s="1"/>
  <c r="I85" i="19"/>
  <c r="C85" i="19"/>
  <c r="D85" i="19" s="1"/>
  <c r="Y84" i="19"/>
  <c r="W84" i="19"/>
  <c r="V84" i="19"/>
  <c r="T84" i="19"/>
  <c r="Q84" i="19"/>
  <c r="X84" i="19" s="1"/>
  <c r="N84" i="19"/>
  <c r="U84" i="19" s="1"/>
  <c r="I84" i="19"/>
  <c r="C84" i="19"/>
  <c r="D84" i="19" s="1"/>
  <c r="Y83" i="19"/>
  <c r="W83" i="19"/>
  <c r="V83" i="19"/>
  <c r="U83" i="19"/>
  <c r="T83" i="19"/>
  <c r="Q83" i="19"/>
  <c r="X83" i="19" s="1"/>
  <c r="N83" i="19"/>
  <c r="I83" i="19"/>
  <c r="C83" i="19"/>
  <c r="D83" i="19" s="1"/>
  <c r="Y82" i="19"/>
  <c r="W82" i="19"/>
  <c r="V82" i="19"/>
  <c r="T82" i="19"/>
  <c r="Q82" i="19"/>
  <c r="X82" i="19" s="1"/>
  <c r="N82" i="19"/>
  <c r="U82" i="19" s="1"/>
  <c r="I82" i="19"/>
  <c r="D82" i="19"/>
  <c r="C82" i="19"/>
  <c r="Y81" i="19"/>
  <c r="W81" i="19"/>
  <c r="V81" i="19"/>
  <c r="T81" i="19"/>
  <c r="Q81" i="19"/>
  <c r="X81" i="19" s="1"/>
  <c r="N81" i="19"/>
  <c r="U81" i="19" s="1"/>
  <c r="I81" i="19"/>
  <c r="C81" i="19"/>
  <c r="D81" i="19" s="1"/>
  <c r="Y80" i="19"/>
  <c r="W80" i="19"/>
  <c r="V80" i="19"/>
  <c r="T80" i="19"/>
  <c r="Q80" i="19"/>
  <c r="X80" i="19" s="1"/>
  <c r="N80" i="19"/>
  <c r="U80" i="19" s="1"/>
  <c r="I80" i="19"/>
  <c r="C80" i="19"/>
  <c r="D80" i="19" s="1"/>
  <c r="Y79" i="19"/>
  <c r="W79" i="19"/>
  <c r="V79" i="19"/>
  <c r="T79" i="19"/>
  <c r="Q79" i="19"/>
  <c r="X79" i="19" s="1"/>
  <c r="N79" i="19"/>
  <c r="U79" i="19" s="1"/>
  <c r="I79" i="19"/>
  <c r="C79" i="19"/>
  <c r="D79" i="19" s="1"/>
  <c r="W78" i="19"/>
  <c r="T78" i="19"/>
  <c r="R78" i="19"/>
  <c r="O78" i="19"/>
  <c r="V78" i="19" s="1"/>
  <c r="C78" i="19"/>
  <c r="Y77" i="19"/>
  <c r="W77" i="19"/>
  <c r="V77" i="19"/>
  <c r="T77" i="19"/>
  <c r="Q77" i="19"/>
  <c r="X77" i="19" s="1"/>
  <c r="N77" i="19"/>
  <c r="U77" i="19" s="1"/>
  <c r="C77" i="19"/>
  <c r="W76" i="19"/>
  <c r="T76" i="19"/>
  <c r="I76" i="19"/>
  <c r="C76" i="19"/>
  <c r="D76" i="19" s="1"/>
  <c r="Y75" i="19"/>
  <c r="W75" i="19"/>
  <c r="V75" i="19"/>
  <c r="T75" i="19"/>
  <c r="Q75" i="19"/>
  <c r="X75" i="19" s="1"/>
  <c r="N75" i="19"/>
  <c r="U75" i="19" s="1"/>
  <c r="I75" i="19"/>
  <c r="D75" i="19"/>
  <c r="C75" i="19"/>
  <c r="Y74" i="19"/>
  <c r="W74" i="19"/>
  <c r="T74" i="19"/>
  <c r="R74" i="19"/>
  <c r="Q74" i="19" s="1"/>
  <c r="X74" i="19" s="1"/>
  <c r="O74" i="19"/>
  <c r="C74" i="19"/>
  <c r="Y73" i="19"/>
  <c r="W73" i="19"/>
  <c r="V73" i="19"/>
  <c r="T73" i="19"/>
  <c r="Q73" i="19"/>
  <c r="X73" i="19" s="1"/>
  <c r="N73" i="19"/>
  <c r="U73" i="19" s="1"/>
  <c r="C73" i="19"/>
  <c r="W72" i="19"/>
  <c r="T72" i="19"/>
  <c r="R72" i="19"/>
  <c r="Q72" i="19" s="1"/>
  <c r="X72" i="19" s="1"/>
  <c r="I72" i="19"/>
  <c r="C72" i="19"/>
  <c r="D72" i="19" s="1"/>
  <c r="Y71" i="19"/>
  <c r="W71" i="19"/>
  <c r="V71" i="19"/>
  <c r="U71" i="19"/>
  <c r="T71" i="19"/>
  <c r="Q71" i="19"/>
  <c r="X71" i="19" s="1"/>
  <c r="N71" i="19"/>
  <c r="I71" i="19"/>
  <c r="C71" i="19"/>
  <c r="D71" i="19" s="1"/>
  <c r="Y70" i="19"/>
  <c r="W70" i="19"/>
  <c r="V70" i="19"/>
  <c r="T70" i="19"/>
  <c r="Q70" i="19"/>
  <c r="X70" i="19" s="1"/>
  <c r="N70" i="19"/>
  <c r="U70" i="19" s="1"/>
  <c r="I70" i="19"/>
  <c r="D70" i="19"/>
  <c r="C70" i="19"/>
  <c r="Y69" i="19"/>
  <c r="W69" i="19"/>
  <c r="V69" i="19"/>
  <c r="T69" i="19"/>
  <c r="Q69" i="19"/>
  <c r="X69" i="19" s="1"/>
  <c r="N69" i="19"/>
  <c r="U69" i="19" s="1"/>
  <c r="I69" i="19"/>
  <c r="C69" i="19"/>
  <c r="D69" i="19" s="1"/>
  <c r="Y68" i="19"/>
  <c r="W68" i="19"/>
  <c r="V68" i="19"/>
  <c r="T68" i="19"/>
  <c r="Q68" i="19"/>
  <c r="X68" i="19" s="1"/>
  <c r="N68" i="19"/>
  <c r="U68" i="19" s="1"/>
  <c r="I68" i="19"/>
  <c r="C68" i="19"/>
  <c r="D68" i="19" s="1"/>
  <c r="Y67" i="19"/>
  <c r="W67" i="19"/>
  <c r="V67" i="19"/>
  <c r="T67" i="19"/>
  <c r="Q67" i="19"/>
  <c r="X67" i="19" s="1"/>
  <c r="N67" i="19"/>
  <c r="U67" i="19" s="1"/>
  <c r="I67" i="19"/>
  <c r="C67" i="19"/>
  <c r="D67" i="19" s="1"/>
  <c r="Y66" i="19"/>
  <c r="W66" i="19"/>
  <c r="V66" i="19"/>
  <c r="T66" i="19"/>
  <c r="Q66" i="19"/>
  <c r="X66" i="19" s="1"/>
  <c r="N66" i="19"/>
  <c r="U66" i="19" s="1"/>
  <c r="I66" i="19"/>
  <c r="C66" i="19"/>
  <c r="D66" i="19" s="1"/>
  <c r="Y65" i="19"/>
  <c r="W65" i="19"/>
  <c r="V65" i="19"/>
  <c r="T65" i="19"/>
  <c r="Q65" i="19"/>
  <c r="X65" i="19" s="1"/>
  <c r="N65" i="19"/>
  <c r="U65" i="19" s="1"/>
  <c r="I65" i="19"/>
  <c r="C65" i="19"/>
  <c r="D65" i="19" s="1"/>
  <c r="Y64" i="19"/>
  <c r="W64" i="19"/>
  <c r="V64" i="19"/>
  <c r="T64" i="19"/>
  <c r="Q64" i="19"/>
  <c r="X64" i="19" s="1"/>
  <c r="N64" i="19"/>
  <c r="U64" i="19" s="1"/>
  <c r="I64" i="19"/>
  <c r="C64" i="19"/>
  <c r="D64" i="19" s="1"/>
  <c r="Y63" i="19"/>
  <c r="W63" i="19"/>
  <c r="V63" i="19"/>
  <c r="U63" i="19"/>
  <c r="T63" i="19"/>
  <c r="Q63" i="19"/>
  <c r="X63" i="19" s="1"/>
  <c r="N63" i="19"/>
  <c r="I63" i="19"/>
  <c r="C63" i="19"/>
  <c r="D63" i="19" s="1"/>
  <c r="Y62" i="19"/>
  <c r="W62" i="19"/>
  <c r="V62" i="19"/>
  <c r="T62" i="19"/>
  <c r="Q62" i="19"/>
  <c r="X62" i="19" s="1"/>
  <c r="N62" i="19"/>
  <c r="U62" i="19" s="1"/>
  <c r="I62" i="19"/>
  <c r="C62" i="19"/>
  <c r="D62" i="19" s="1"/>
  <c r="Y61" i="19"/>
  <c r="W61" i="19"/>
  <c r="V61" i="19"/>
  <c r="T61" i="19"/>
  <c r="Q61" i="19"/>
  <c r="X61" i="19" s="1"/>
  <c r="N61" i="19"/>
  <c r="U61" i="19" s="1"/>
  <c r="I61" i="19"/>
  <c r="C61" i="19"/>
  <c r="D61" i="19" s="1"/>
  <c r="Y60" i="19"/>
  <c r="W60" i="19"/>
  <c r="V60" i="19"/>
  <c r="T60" i="19"/>
  <c r="Q60" i="19"/>
  <c r="X60" i="19" s="1"/>
  <c r="N60" i="19"/>
  <c r="U60" i="19" s="1"/>
  <c r="I60" i="19"/>
  <c r="C60" i="19"/>
  <c r="D60" i="19" s="1"/>
  <c r="Y59" i="19"/>
  <c r="W59" i="19"/>
  <c r="V59" i="19"/>
  <c r="T59" i="19"/>
  <c r="Q59" i="19"/>
  <c r="X59" i="19" s="1"/>
  <c r="N59" i="19"/>
  <c r="U59" i="19" s="1"/>
  <c r="I59" i="19"/>
  <c r="C59" i="19"/>
  <c r="D59" i="19" s="1"/>
  <c r="Y58" i="19"/>
  <c r="W58" i="19"/>
  <c r="V58" i="19"/>
  <c r="T58" i="19"/>
  <c r="Q58" i="19"/>
  <c r="X58" i="19" s="1"/>
  <c r="N58" i="19"/>
  <c r="U58" i="19" s="1"/>
  <c r="I58" i="19"/>
  <c r="C58" i="19"/>
  <c r="D58" i="19" s="1"/>
  <c r="Y57" i="19"/>
  <c r="W57" i="19"/>
  <c r="V57" i="19"/>
  <c r="T57" i="19"/>
  <c r="Q57" i="19"/>
  <c r="X57" i="19" s="1"/>
  <c r="N57" i="19"/>
  <c r="U57" i="19" s="1"/>
  <c r="I57" i="19"/>
  <c r="C57" i="19"/>
  <c r="D57" i="19" s="1"/>
  <c r="Y56" i="19"/>
  <c r="W56" i="19"/>
  <c r="V56" i="19"/>
  <c r="T56" i="19"/>
  <c r="Q56" i="19"/>
  <c r="X56" i="19" s="1"/>
  <c r="N56" i="19"/>
  <c r="U56" i="19" s="1"/>
  <c r="I56" i="19"/>
  <c r="C56" i="19"/>
  <c r="D56" i="19" s="1"/>
  <c r="Y55" i="19"/>
  <c r="X55" i="19"/>
  <c r="W55" i="19"/>
  <c r="V55" i="19"/>
  <c r="U55" i="19"/>
  <c r="T55" i="19"/>
  <c r="Q55" i="19"/>
  <c r="N55" i="19"/>
  <c r="I55" i="19"/>
  <c r="C55" i="19"/>
  <c r="D55" i="19" s="1"/>
  <c r="Y54" i="19"/>
  <c r="W54" i="19"/>
  <c r="V54" i="19"/>
  <c r="U54" i="19"/>
  <c r="T54" i="19"/>
  <c r="Q54" i="19"/>
  <c r="X54" i="19" s="1"/>
  <c r="N54" i="19"/>
  <c r="I54" i="19"/>
  <c r="C54" i="19"/>
  <c r="D54" i="19" s="1"/>
  <c r="Y53" i="19"/>
  <c r="W53" i="19"/>
  <c r="V53" i="19"/>
  <c r="T53" i="19"/>
  <c r="Q53" i="19"/>
  <c r="X53" i="19" s="1"/>
  <c r="N53" i="19"/>
  <c r="U53" i="19" s="1"/>
  <c r="I53" i="19"/>
  <c r="C53" i="19"/>
  <c r="D53" i="19" s="1"/>
  <c r="Y52" i="19"/>
  <c r="W52" i="19"/>
  <c r="V52" i="19"/>
  <c r="T52" i="19"/>
  <c r="Q52" i="19"/>
  <c r="X52" i="19" s="1"/>
  <c r="N52" i="19"/>
  <c r="U52" i="19" s="1"/>
  <c r="I52" i="19"/>
  <c r="C52" i="19"/>
  <c r="D52" i="19" s="1"/>
  <c r="W51" i="19"/>
  <c r="T51" i="19"/>
  <c r="R51" i="19"/>
  <c r="Y51" i="19" s="1"/>
  <c r="O51" i="19"/>
  <c r="C51" i="19"/>
  <c r="Y50" i="19"/>
  <c r="W50" i="19"/>
  <c r="V50" i="19"/>
  <c r="U50" i="19"/>
  <c r="T50" i="19"/>
  <c r="Q50" i="19"/>
  <c r="X50" i="19" s="1"/>
  <c r="N50" i="19"/>
  <c r="C50" i="19"/>
  <c r="W49" i="19"/>
  <c r="T49" i="19"/>
  <c r="R49" i="19"/>
  <c r="Y49" i="19" s="1"/>
  <c r="O49" i="19"/>
  <c r="N49" i="19" s="1"/>
  <c r="U49" i="19" s="1"/>
  <c r="I49" i="19"/>
  <c r="C49" i="19"/>
  <c r="D49" i="19" s="1"/>
  <c r="Y48" i="19"/>
  <c r="W48" i="19"/>
  <c r="V48" i="19"/>
  <c r="T48" i="19"/>
  <c r="Q48" i="19"/>
  <c r="X48" i="19" s="1"/>
  <c r="N48" i="19"/>
  <c r="U48" i="19" s="1"/>
  <c r="I48" i="19"/>
  <c r="C48" i="19"/>
  <c r="D48" i="19" s="1"/>
  <c r="Y47" i="19"/>
  <c r="W47" i="19"/>
  <c r="V47" i="19"/>
  <c r="T47" i="19"/>
  <c r="Q47" i="19"/>
  <c r="X47" i="19" s="1"/>
  <c r="N47" i="19"/>
  <c r="U47" i="19" s="1"/>
  <c r="I47" i="19"/>
  <c r="C47" i="19"/>
  <c r="D47" i="19" s="1"/>
  <c r="Y46" i="19"/>
  <c r="W46" i="19"/>
  <c r="V46" i="19"/>
  <c r="U46" i="19"/>
  <c r="T46" i="19"/>
  <c r="Q46" i="19"/>
  <c r="X46" i="19" s="1"/>
  <c r="N46" i="19"/>
  <c r="I46" i="19"/>
  <c r="C46" i="19"/>
  <c r="D46" i="19" s="1"/>
  <c r="W45" i="19"/>
  <c r="T45" i="19"/>
  <c r="R45" i="19"/>
  <c r="O45" i="19"/>
  <c r="V45" i="19" s="1"/>
  <c r="C45" i="19"/>
  <c r="Y44" i="19"/>
  <c r="W44" i="19"/>
  <c r="V44" i="19"/>
  <c r="T44" i="19"/>
  <c r="Q44" i="19"/>
  <c r="X44" i="19" s="1"/>
  <c r="N44" i="19"/>
  <c r="U44" i="19" s="1"/>
  <c r="C44" i="19"/>
  <c r="W43" i="19"/>
  <c r="T43" i="19"/>
  <c r="O43" i="19"/>
  <c r="N43" i="19" s="1"/>
  <c r="U43" i="19" s="1"/>
  <c r="I43" i="19"/>
  <c r="C43" i="19"/>
  <c r="D43" i="19" s="1"/>
  <c r="Y42" i="19"/>
  <c r="W42" i="19"/>
  <c r="V42" i="19"/>
  <c r="T42" i="19"/>
  <c r="Q42" i="19"/>
  <c r="X42" i="19" s="1"/>
  <c r="N42" i="19"/>
  <c r="U42" i="19" s="1"/>
  <c r="I42" i="19"/>
  <c r="C42" i="19"/>
  <c r="D42" i="19" s="1"/>
  <c r="W41" i="19"/>
  <c r="T41" i="19"/>
  <c r="R41" i="19"/>
  <c r="O41" i="19"/>
  <c r="C41" i="19"/>
  <c r="Y40" i="19"/>
  <c r="W40" i="19"/>
  <c r="V40" i="19"/>
  <c r="T40" i="19"/>
  <c r="Q40" i="19"/>
  <c r="X40" i="19" s="1"/>
  <c r="N40" i="19"/>
  <c r="C40" i="19"/>
  <c r="W39" i="19"/>
  <c r="T39" i="19"/>
  <c r="I39" i="19"/>
  <c r="D39" i="19"/>
  <c r="C39" i="19"/>
  <c r="Y38" i="19"/>
  <c r="W38" i="19"/>
  <c r="V38" i="19"/>
  <c r="T38" i="19"/>
  <c r="Q38" i="19"/>
  <c r="X38" i="19" s="1"/>
  <c r="N38" i="19"/>
  <c r="U38" i="19" s="1"/>
  <c r="I38" i="19"/>
  <c r="C38" i="19"/>
  <c r="D38" i="19" s="1"/>
  <c r="Y37" i="19"/>
  <c r="W37" i="19"/>
  <c r="V37" i="19"/>
  <c r="T37" i="19"/>
  <c r="Q37" i="19"/>
  <c r="X37" i="19" s="1"/>
  <c r="N37" i="19"/>
  <c r="U37" i="19" s="1"/>
  <c r="I37" i="19"/>
  <c r="C37" i="19"/>
  <c r="D37" i="19" s="1"/>
  <c r="Y36" i="19"/>
  <c r="W36" i="19"/>
  <c r="V36" i="19"/>
  <c r="T36" i="19"/>
  <c r="Q36" i="19"/>
  <c r="X36" i="19" s="1"/>
  <c r="N36" i="19"/>
  <c r="U36" i="19" s="1"/>
  <c r="I36" i="19"/>
  <c r="C36" i="19"/>
  <c r="D36" i="19" s="1"/>
  <c r="Y35" i="19"/>
  <c r="W35" i="19"/>
  <c r="V35" i="19"/>
  <c r="T35" i="19"/>
  <c r="Q35" i="19"/>
  <c r="X35" i="19" s="1"/>
  <c r="N35" i="19"/>
  <c r="U35" i="19" s="1"/>
  <c r="I35" i="19"/>
  <c r="C35" i="19"/>
  <c r="D35" i="19" s="1"/>
  <c r="Y34" i="19"/>
  <c r="W34" i="19"/>
  <c r="V34" i="19"/>
  <c r="U34" i="19"/>
  <c r="T34" i="19"/>
  <c r="Q34" i="19"/>
  <c r="X34" i="19" s="1"/>
  <c r="N34" i="19"/>
  <c r="I34" i="19"/>
  <c r="C34" i="19"/>
  <c r="D34" i="19" s="1"/>
  <c r="Y33" i="19"/>
  <c r="W33" i="19"/>
  <c r="V33" i="19"/>
  <c r="T33" i="19"/>
  <c r="Q33" i="19"/>
  <c r="X33" i="19" s="1"/>
  <c r="N33" i="19"/>
  <c r="U33" i="19" s="1"/>
  <c r="I33" i="19"/>
  <c r="C33" i="19"/>
  <c r="D33" i="19" s="1"/>
  <c r="Y32" i="19"/>
  <c r="W32" i="19"/>
  <c r="V32" i="19"/>
  <c r="T32" i="19"/>
  <c r="Q32" i="19"/>
  <c r="X32" i="19" s="1"/>
  <c r="N32" i="19"/>
  <c r="U32" i="19" s="1"/>
  <c r="I32" i="19"/>
  <c r="C32" i="19"/>
  <c r="D32" i="19" s="1"/>
  <c r="Y31" i="19"/>
  <c r="W31" i="19"/>
  <c r="V31" i="19"/>
  <c r="U31" i="19"/>
  <c r="T31" i="19"/>
  <c r="Q31" i="19"/>
  <c r="X31" i="19" s="1"/>
  <c r="N31" i="19"/>
  <c r="I31" i="19"/>
  <c r="C31" i="19"/>
  <c r="D31" i="19" s="1"/>
  <c r="Y30" i="19"/>
  <c r="W30" i="19"/>
  <c r="V30" i="19"/>
  <c r="U30" i="19"/>
  <c r="T30" i="19"/>
  <c r="Q30" i="19"/>
  <c r="X30" i="19" s="1"/>
  <c r="N30" i="19"/>
  <c r="I30" i="19"/>
  <c r="C30" i="19"/>
  <c r="D30" i="19" s="1"/>
  <c r="Y29" i="19"/>
  <c r="W29" i="19"/>
  <c r="V29" i="19"/>
  <c r="T29" i="19"/>
  <c r="Q29" i="19"/>
  <c r="X29" i="19" s="1"/>
  <c r="N29" i="19"/>
  <c r="U29" i="19" s="1"/>
  <c r="I29" i="19"/>
  <c r="C29" i="19"/>
  <c r="D29" i="19" s="1"/>
  <c r="Y28" i="19"/>
  <c r="W28" i="19"/>
  <c r="V28" i="19"/>
  <c r="T28" i="19"/>
  <c r="Q28" i="19"/>
  <c r="X28" i="19" s="1"/>
  <c r="N28" i="19"/>
  <c r="U28" i="19" s="1"/>
  <c r="I28" i="19"/>
  <c r="C28" i="19"/>
  <c r="D28" i="19" s="1"/>
  <c r="Y27" i="19"/>
  <c r="W27" i="19"/>
  <c r="V27" i="19"/>
  <c r="T27" i="19"/>
  <c r="Q27" i="19"/>
  <c r="X27" i="19" s="1"/>
  <c r="N27" i="19"/>
  <c r="U27" i="19" s="1"/>
  <c r="I27" i="19"/>
  <c r="C27" i="19"/>
  <c r="D27" i="19" s="1"/>
  <c r="Y26" i="19"/>
  <c r="W26" i="19"/>
  <c r="V26" i="19"/>
  <c r="T26" i="19"/>
  <c r="Q26" i="19"/>
  <c r="X26" i="19" s="1"/>
  <c r="N26" i="19"/>
  <c r="U26" i="19" s="1"/>
  <c r="I26" i="19"/>
  <c r="C26" i="19"/>
  <c r="D26" i="19" s="1"/>
  <c r="Y25" i="19"/>
  <c r="W25" i="19"/>
  <c r="V25" i="19"/>
  <c r="T25" i="19"/>
  <c r="Q25" i="19"/>
  <c r="X25" i="19" s="1"/>
  <c r="N25" i="19"/>
  <c r="U25" i="19" s="1"/>
  <c r="I25" i="19"/>
  <c r="C25" i="19"/>
  <c r="D25" i="19" s="1"/>
  <c r="Y24" i="19"/>
  <c r="W24" i="19"/>
  <c r="V24" i="19"/>
  <c r="T24" i="19"/>
  <c r="Q24" i="19"/>
  <c r="X24" i="19" s="1"/>
  <c r="N24" i="19"/>
  <c r="U24" i="19" s="1"/>
  <c r="I24" i="19"/>
  <c r="C24" i="19"/>
  <c r="D24" i="19" s="1"/>
  <c r="Y23" i="19"/>
  <c r="X23" i="19"/>
  <c r="W23" i="19"/>
  <c r="V23" i="19"/>
  <c r="T23" i="19"/>
  <c r="Q23" i="19"/>
  <c r="N23" i="19"/>
  <c r="U23" i="19" s="1"/>
  <c r="I23" i="19"/>
  <c r="D23" i="19"/>
  <c r="C23" i="19"/>
  <c r="P22" i="19"/>
  <c r="J13" i="19"/>
  <c r="P13" i="19"/>
  <c r="M13" i="19"/>
  <c r="L13" i="19"/>
  <c r="K13" i="19"/>
  <c r="H13" i="19"/>
  <c r="G13" i="19"/>
  <c r="F13" i="19"/>
  <c r="I13" i="17"/>
  <c r="J13" i="17"/>
  <c r="K13" i="17"/>
  <c r="J13" i="18"/>
  <c r="K13" i="18"/>
  <c r="L13" i="18"/>
  <c r="N13" i="18"/>
  <c r="O13" i="18"/>
  <c r="I13" i="18"/>
  <c r="F13" i="17"/>
  <c r="G13" i="17"/>
  <c r="H13" i="17"/>
  <c r="Y72" i="19" l="1"/>
  <c r="Q148" i="19"/>
  <c r="X148" i="19" s="1"/>
  <c r="O146" i="19"/>
  <c r="N146" i="19" s="1"/>
  <c r="U146" i="19" s="1"/>
  <c r="R248" i="19"/>
  <c r="N45" i="19"/>
  <c r="U45" i="19" s="1"/>
  <c r="Q111" i="19"/>
  <c r="X111" i="19" s="1"/>
  <c r="Q146" i="19"/>
  <c r="X146" i="19" s="1"/>
  <c r="Q78" i="19"/>
  <c r="X78" i="19" s="1"/>
  <c r="Y78" i="19"/>
  <c r="R76" i="19"/>
  <c r="Y107" i="19"/>
  <c r="Q107" i="19"/>
  <c r="X107" i="19" s="1"/>
  <c r="V43" i="19"/>
  <c r="V109" i="19"/>
  <c r="N109" i="19"/>
  <c r="U109" i="19" s="1"/>
  <c r="U40" i="19"/>
  <c r="V74" i="19"/>
  <c r="N74" i="19"/>
  <c r="U74" i="19" s="1"/>
  <c r="Q110" i="19"/>
  <c r="X110" i="19" s="1"/>
  <c r="Y110" i="19"/>
  <c r="O39" i="19"/>
  <c r="N41" i="19"/>
  <c r="U41" i="19" s="1"/>
  <c r="V41" i="19"/>
  <c r="Q49" i="19"/>
  <c r="X49" i="19" s="1"/>
  <c r="Q51" i="19"/>
  <c r="X51" i="19" s="1"/>
  <c r="O72" i="19"/>
  <c r="V139" i="19"/>
  <c r="N139" i="19"/>
  <c r="U139" i="19" s="1"/>
  <c r="V141" i="19"/>
  <c r="N141" i="19"/>
  <c r="U141" i="19" s="1"/>
  <c r="V207" i="19"/>
  <c r="N207" i="19"/>
  <c r="U207" i="19" s="1"/>
  <c r="O205" i="19"/>
  <c r="V205" i="19" s="1"/>
  <c r="H12" i="20"/>
  <c r="H11" i="20" s="1"/>
  <c r="H10" i="20" s="1"/>
  <c r="V111" i="19"/>
  <c r="K18" i="20"/>
  <c r="K12" i="20" s="1"/>
  <c r="K11" i="20" s="1"/>
  <c r="K10" i="20" s="1"/>
  <c r="V146" i="19"/>
  <c r="V148" i="19"/>
  <c r="N161" i="19"/>
  <c r="U161" i="19" s="1"/>
  <c r="V161" i="19"/>
  <c r="V163" i="19"/>
  <c r="N163" i="19"/>
  <c r="U163" i="19" s="1"/>
  <c r="N107" i="19"/>
  <c r="U107" i="19" s="1"/>
  <c r="O106" i="19"/>
  <c r="N51" i="19"/>
  <c r="U51" i="19" s="1"/>
  <c r="V107" i="19"/>
  <c r="Y108" i="19"/>
  <c r="R106" i="19"/>
  <c r="Q139" i="19"/>
  <c r="X139" i="19" s="1"/>
  <c r="Y139" i="19"/>
  <c r="Q248" i="19"/>
  <c r="X248" i="19" s="1"/>
  <c r="Y248" i="19"/>
  <c r="V49" i="19"/>
  <c r="Q41" i="19"/>
  <c r="Y41" i="19"/>
  <c r="Q45" i="19"/>
  <c r="X45" i="19" s="1"/>
  <c r="Y45" i="19"/>
  <c r="R39" i="19"/>
  <c r="R43" i="19"/>
  <c r="V51" i="19"/>
  <c r="O76" i="19"/>
  <c r="N78" i="19"/>
  <c r="U78" i="19" s="1"/>
  <c r="Q108" i="19"/>
  <c r="X108" i="19" s="1"/>
  <c r="Q109" i="19"/>
  <c r="X109" i="19" s="1"/>
  <c r="Y109" i="19"/>
  <c r="Q141" i="19"/>
  <c r="X141" i="19" s="1"/>
  <c r="Y141" i="19"/>
  <c r="Q207" i="19"/>
  <c r="X207" i="19" s="1"/>
  <c r="Y207" i="19"/>
  <c r="R205" i="19"/>
  <c r="V251" i="19"/>
  <c r="O248" i="19"/>
  <c r="R161" i="19"/>
  <c r="Y163" i="19"/>
  <c r="Q250" i="19"/>
  <c r="X250" i="19" s="1"/>
  <c r="Y250" i="19"/>
  <c r="U206" i="19"/>
  <c r="O22" i="19" l="1"/>
  <c r="N205" i="19"/>
  <c r="U205" i="19" s="1"/>
  <c r="V39" i="19"/>
  <c r="N39" i="19"/>
  <c r="U39" i="19" s="1"/>
  <c r="Q76" i="19"/>
  <c r="X76" i="19" s="1"/>
  <c r="Y76" i="19"/>
  <c r="V72" i="19"/>
  <c r="N72" i="19"/>
  <c r="U72" i="19" s="1"/>
  <c r="Y161" i="19"/>
  <c r="Q161" i="19"/>
  <c r="X161" i="19" s="1"/>
  <c r="V76" i="19"/>
  <c r="N76" i="19"/>
  <c r="V248" i="19"/>
  <c r="N248" i="19"/>
  <c r="U248" i="19" s="1"/>
  <c r="Q43" i="19"/>
  <c r="X43" i="19" s="1"/>
  <c r="Y43" i="19"/>
  <c r="R104" i="19"/>
  <c r="R22" i="19" s="1"/>
  <c r="Y106" i="19"/>
  <c r="Y205" i="19"/>
  <c r="Q205" i="19"/>
  <c r="X205" i="19" s="1"/>
  <c r="Q39" i="19"/>
  <c r="X39" i="19" s="1"/>
  <c r="Y39" i="19"/>
  <c r="X41" i="19"/>
  <c r="V106" i="19"/>
  <c r="O104" i="19"/>
  <c r="N22" i="19" l="1"/>
  <c r="N13" i="19" s="1"/>
  <c r="N13" i="17"/>
  <c r="V104" i="19"/>
  <c r="N104" i="19"/>
  <c r="U104" i="19" s="1"/>
  <c r="U76" i="19"/>
  <c r="O13" i="19"/>
  <c r="Q104" i="19"/>
  <c r="X104" i="19" s="1"/>
  <c r="Y104" i="19"/>
  <c r="X1688" i="18"/>
  <c r="V1688" i="18"/>
  <c r="U1688" i="18"/>
  <c r="S1688" i="18"/>
  <c r="P1688" i="18"/>
  <c r="W1688" i="18" s="1"/>
  <c r="M1688" i="18"/>
  <c r="T1688" i="18" s="1"/>
  <c r="C1688" i="18"/>
  <c r="D1688" i="18" s="1"/>
  <c r="X1687" i="18"/>
  <c r="V1687" i="18"/>
  <c r="U1687" i="18"/>
  <c r="T1687" i="18"/>
  <c r="S1687" i="18"/>
  <c r="P1687" i="18"/>
  <c r="W1687" i="18" s="1"/>
  <c r="M1687" i="18"/>
  <c r="C1687" i="18"/>
  <c r="D1687" i="18" s="1"/>
  <c r="X1686" i="18"/>
  <c r="V1686" i="18"/>
  <c r="U1686" i="18"/>
  <c r="S1686" i="18"/>
  <c r="P1686" i="18"/>
  <c r="W1686" i="18" s="1"/>
  <c r="M1686" i="18"/>
  <c r="T1686" i="18" s="1"/>
  <c r="C1686" i="18"/>
  <c r="D1686" i="18" s="1"/>
  <c r="X1685" i="18"/>
  <c r="V1685" i="18"/>
  <c r="U1685" i="18"/>
  <c r="S1685" i="18"/>
  <c r="P1685" i="18"/>
  <c r="W1685" i="18" s="1"/>
  <c r="M1685" i="18"/>
  <c r="T1685" i="18" s="1"/>
  <c r="C1685" i="18"/>
  <c r="D1685" i="18" s="1"/>
  <c r="X1684" i="18"/>
  <c r="V1684" i="18"/>
  <c r="U1684" i="18"/>
  <c r="S1684" i="18"/>
  <c r="P1684" i="18"/>
  <c r="W1684" i="18" s="1"/>
  <c r="M1684" i="18"/>
  <c r="T1684" i="18" s="1"/>
  <c r="C1684" i="18"/>
  <c r="D1684" i="18" s="1"/>
  <c r="X1683" i="18"/>
  <c r="V1683" i="18"/>
  <c r="U1683" i="18"/>
  <c r="T1683" i="18"/>
  <c r="S1683" i="18"/>
  <c r="P1683" i="18"/>
  <c r="W1683" i="18" s="1"/>
  <c r="M1683" i="18"/>
  <c r="C1683" i="18"/>
  <c r="D1683" i="18" s="1"/>
  <c r="X1682" i="18"/>
  <c r="V1682" i="18"/>
  <c r="U1682" i="18"/>
  <c r="S1682" i="18"/>
  <c r="P1682" i="18"/>
  <c r="W1682" i="18" s="1"/>
  <c r="M1682" i="18"/>
  <c r="T1682" i="18" s="1"/>
  <c r="C1682" i="18"/>
  <c r="D1682" i="18" s="1"/>
  <c r="X1681" i="18"/>
  <c r="V1681" i="18"/>
  <c r="U1681" i="18"/>
  <c r="S1681" i="18"/>
  <c r="P1681" i="18"/>
  <c r="W1681" i="18" s="1"/>
  <c r="M1681" i="18"/>
  <c r="T1681" i="18" s="1"/>
  <c r="C1681" i="18"/>
  <c r="D1681" i="18" s="1"/>
  <c r="X1680" i="18"/>
  <c r="V1680" i="18"/>
  <c r="U1680" i="18"/>
  <c r="S1680" i="18"/>
  <c r="P1680" i="18"/>
  <c r="W1680" i="18" s="1"/>
  <c r="M1680" i="18"/>
  <c r="T1680" i="18" s="1"/>
  <c r="C1680" i="18"/>
  <c r="D1680" i="18" s="1"/>
  <c r="X1679" i="18"/>
  <c r="V1679" i="18"/>
  <c r="U1679" i="18"/>
  <c r="T1679" i="18"/>
  <c r="S1679" i="18"/>
  <c r="P1679" i="18"/>
  <c r="W1679" i="18" s="1"/>
  <c r="M1679" i="18"/>
  <c r="C1679" i="18"/>
  <c r="D1679" i="18" s="1"/>
  <c r="X1678" i="18"/>
  <c r="V1678" i="18"/>
  <c r="U1678" i="18"/>
  <c r="S1678" i="18"/>
  <c r="P1678" i="18"/>
  <c r="W1678" i="18" s="1"/>
  <c r="M1678" i="18"/>
  <c r="T1678" i="18" s="1"/>
  <c r="C1678" i="18"/>
  <c r="D1678" i="18" s="1"/>
  <c r="X1677" i="18"/>
  <c r="V1677" i="18"/>
  <c r="U1677" i="18"/>
  <c r="T1677" i="18"/>
  <c r="S1677" i="18"/>
  <c r="P1677" i="18"/>
  <c r="W1677" i="18" s="1"/>
  <c r="M1677" i="18"/>
  <c r="C1677" i="18"/>
  <c r="D1677" i="18" s="1"/>
  <c r="X1676" i="18"/>
  <c r="V1676" i="18"/>
  <c r="U1676" i="18"/>
  <c r="S1676" i="18"/>
  <c r="P1676" i="18"/>
  <c r="W1676" i="18" s="1"/>
  <c r="M1676" i="18"/>
  <c r="T1676" i="18" s="1"/>
  <c r="C1676" i="18"/>
  <c r="D1676" i="18" s="1"/>
  <c r="X1675" i="18"/>
  <c r="V1675" i="18"/>
  <c r="U1675" i="18"/>
  <c r="S1675" i="18"/>
  <c r="P1675" i="18"/>
  <c r="W1675" i="18" s="1"/>
  <c r="M1675" i="18"/>
  <c r="T1675" i="18" s="1"/>
  <c r="C1675" i="18"/>
  <c r="D1675" i="18" s="1"/>
  <c r="X1674" i="18"/>
  <c r="V1674" i="18"/>
  <c r="U1674" i="18"/>
  <c r="S1674" i="18"/>
  <c r="P1674" i="18"/>
  <c r="W1674" i="18" s="1"/>
  <c r="M1674" i="18"/>
  <c r="T1674" i="18" s="1"/>
  <c r="C1674" i="18"/>
  <c r="D1674" i="18" s="1"/>
  <c r="X1673" i="18"/>
  <c r="V1673" i="18"/>
  <c r="U1673" i="18"/>
  <c r="S1673" i="18"/>
  <c r="P1673" i="18"/>
  <c r="W1673" i="18" s="1"/>
  <c r="M1673" i="18"/>
  <c r="T1673" i="18" s="1"/>
  <c r="D1673" i="18"/>
  <c r="C1673" i="18"/>
  <c r="X1672" i="18"/>
  <c r="V1672" i="18"/>
  <c r="U1672" i="18"/>
  <c r="S1672" i="18"/>
  <c r="P1672" i="18"/>
  <c r="W1672" i="18" s="1"/>
  <c r="M1672" i="18"/>
  <c r="T1672" i="18" s="1"/>
  <c r="C1672" i="18"/>
  <c r="D1672" i="18" s="1"/>
  <c r="X1671" i="18"/>
  <c r="V1671" i="18"/>
  <c r="U1671" i="18"/>
  <c r="S1671" i="18"/>
  <c r="P1671" i="18"/>
  <c r="W1671" i="18" s="1"/>
  <c r="M1671" i="18"/>
  <c r="T1671" i="18" s="1"/>
  <c r="C1671" i="18"/>
  <c r="D1671" i="18" s="1"/>
  <c r="X1670" i="18"/>
  <c r="V1670" i="18"/>
  <c r="U1670" i="18"/>
  <c r="S1670" i="18"/>
  <c r="P1670" i="18"/>
  <c r="W1670" i="18" s="1"/>
  <c r="M1670" i="18"/>
  <c r="T1670" i="18" s="1"/>
  <c r="C1670" i="18"/>
  <c r="D1670" i="18" s="1"/>
  <c r="X1669" i="18"/>
  <c r="V1669" i="18"/>
  <c r="U1669" i="18"/>
  <c r="S1669" i="18"/>
  <c r="P1669" i="18"/>
  <c r="W1669" i="18" s="1"/>
  <c r="M1669" i="18"/>
  <c r="T1669" i="18" s="1"/>
  <c r="C1669" i="18"/>
  <c r="D1669" i="18" s="1"/>
  <c r="X1668" i="18"/>
  <c r="V1668" i="18"/>
  <c r="U1668" i="18"/>
  <c r="S1668" i="18"/>
  <c r="P1668" i="18"/>
  <c r="W1668" i="18" s="1"/>
  <c r="M1668" i="18"/>
  <c r="T1668" i="18" s="1"/>
  <c r="C1668" i="18"/>
  <c r="D1668" i="18" s="1"/>
  <c r="X1667" i="18"/>
  <c r="V1667" i="18"/>
  <c r="U1667" i="18"/>
  <c r="T1667" i="18"/>
  <c r="S1667" i="18"/>
  <c r="P1667" i="18"/>
  <c r="W1667" i="18" s="1"/>
  <c r="M1667" i="18"/>
  <c r="C1667" i="18"/>
  <c r="D1667" i="18" s="1"/>
  <c r="X1666" i="18"/>
  <c r="V1666" i="18"/>
  <c r="U1666" i="18"/>
  <c r="S1666" i="18"/>
  <c r="P1666" i="18"/>
  <c r="W1666" i="18" s="1"/>
  <c r="M1666" i="18"/>
  <c r="T1666" i="18" s="1"/>
  <c r="C1666" i="18"/>
  <c r="D1666" i="18" s="1"/>
  <c r="X1665" i="18"/>
  <c r="V1665" i="18"/>
  <c r="U1665" i="18"/>
  <c r="S1665" i="18"/>
  <c r="P1665" i="18"/>
  <c r="W1665" i="18" s="1"/>
  <c r="M1665" i="18"/>
  <c r="T1665" i="18" s="1"/>
  <c r="C1665" i="18"/>
  <c r="D1665" i="18" s="1"/>
  <c r="X1664" i="18"/>
  <c r="V1664" i="18"/>
  <c r="U1664" i="18"/>
  <c r="S1664" i="18"/>
  <c r="P1664" i="18"/>
  <c r="W1664" i="18" s="1"/>
  <c r="M1664" i="18"/>
  <c r="T1664" i="18" s="1"/>
  <c r="C1664" i="18"/>
  <c r="D1664" i="18" s="1"/>
  <c r="X1663" i="18"/>
  <c r="V1663" i="18"/>
  <c r="U1663" i="18"/>
  <c r="T1663" i="18"/>
  <c r="S1663" i="18"/>
  <c r="P1663" i="18"/>
  <c r="W1663" i="18" s="1"/>
  <c r="M1663" i="18"/>
  <c r="C1663" i="18"/>
  <c r="D1663" i="18" s="1"/>
  <c r="X1662" i="18"/>
  <c r="V1662" i="18"/>
  <c r="U1662" i="18"/>
  <c r="S1662" i="18"/>
  <c r="P1662" i="18"/>
  <c r="W1662" i="18" s="1"/>
  <c r="M1662" i="18"/>
  <c r="T1662" i="18" s="1"/>
  <c r="C1662" i="18"/>
  <c r="D1662" i="18" s="1"/>
  <c r="X1661" i="18"/>
  <c r="V1661" i="18"/>
  <c r="U1661" i="18"/>
  <c r="T1661" i="18"/>
  <c r="S1661" i="18"/>
  <c r="P1661" i="18"/>
  <c r="W1661" i="18" s="1"/>
  <c r="M1661" i="18"/>
  <c r="C1661" i="18"/>
  <c r="D1661" i="18" s="1"/>
  <c r="X1660" i="18"/>
  <c r="V1660" i="18"/>
  <c r="U1660" i="18"/>
  <c r="S1660" i="18"/>
  <c r="P1660" i="18"/>
  <c r="W1660" i="18" s="1"/>
  <c r="M1660" i="18"/>
  <c r="T1660" i="18" s="1"/>
  <c r="C1660" i="18"/>
  <c r="D1660" i="18" s="1"/>
  <c r="X1659" i="18"/>
  <c r="V1659" i="18"/>
  <c r="U1659" i="18"/>
  <c r="S1659" i="18"/>
  <c r="P1659" i="18"/>
  <c r="W1659" i="18" s="1"/>
  <c r="M1659" i="18"/>
  <c r="T1659" i="18" s="1"/>
  <c r="C1659" i="18"/>
  <c r="D1659" i="18" s="1"/>
  <c r="X1658" i="18"/>
  <c r="V1658" i="18"/>
  <c r="U1658" i="18"/>
  <c r="S1658" i="18"/>
  <c r="P1658" i="18"/>
  <c r="W1658" i="18" s="1"/>
  <c r="M1658" i="18"/>
  <c r="T1658" i="18" s="1"/>
  <c r="C1658" i="18"/>
  <c r="D1658" i="18" s="1"/>
  <c r="X1657" i="18"/>
  <c r="V1657" i="18"/>
  <c r="U1657" i="18"/>
  <c r="S1657" i="18"/>
  <c r="P1657" i="18"/>
  <c r="W1657" i="18" s="1"/>
  <c r="M1657" i="18"/>
  <c r="T1657" i="18" s="1"/>
  <c r="D1657" i="18"/>
  <c r="C1657" i="18"/>
  <c r="X1656" i="18"/>
  <c r="V1656" i="18"/>
  <c r="U1656" i="18"/>
  <c r="S1656" i="18"/>
  <c r="P1656" i="18"/>
  <c r="W1656" i="18" s="1"/>
  <c r="M1656" i="18"/>
  <c r="T1656" i="18" s="1"/>
  <c r="C1656" i="18"/>
  <c r="D1656" i="18" s="1"/>
  <c r="X1655" i="18"/>
  <c r="V1655" i="18"/>
  <c r="U1655" i="18"/>
  <c r="S1655" i="18"/>
  <c r="P1655" i="18"/>
  <c r="W1655" i="18" s="1"/>
  <c r="M1655" i="18"/>
  <c r="T1655" i="18" s="1"/>
  <c r="C1655" i="18"/>
  <c r="D1655" i="18" s="1"/>
  <c r="X1654" i="18"/>
  <c r="V1654" i="18"/>
  <c r="U1654" i="18"/>
  <c r="S1654" i="18"/>
  <c r="P1654" i="18"/>
  <c r="W1654" i="18" s="1"/>
  <c r="M1654" i="18"/>
  <c r="T1654" i="18" s="1"/>
  <c r="C1654" i="18"/>
  <c r="D1654" i="18" s="1"/>
  <c r="X1653" i="18"/>
  <c r="V1653" i="18"/>
  <c r="U1653" i="18"/>
  <c r="S1653" i="18"/>
  <c r="P1653" i="18"/>
  <c r="W1653" i="18" s="1"/>
  <c r="M1653" i="18"/>
  <c r="T1653" i="18" s="1"/>
  <c r="C1653" i="18"/>
  <c r="D1653" i="18" s="1"/>
  <c r="X1652" i="18"/>
  <c r="V1652" i="18"/>
  <c r="U1652" i="18"/>
  <c r="S1652" i="18"/>
  <c r="P1652" i="18"/>
  <c r="W1652" i="18" s="1"/>
  <c r="M1652" i="18"/>
  <c r="T1652" i="18" s="1"/>
  <c r="C1652" i="18"/>
  <c r="D1652" i="18" s="1"/>
  <c r="X1651" i="18"/>
  <c r="V1651" i="18"/>
  <c r="U1651" i="18"/>
  <c r="T1651" i="18"/>
  <c r="S1651" i="18"/>
  <c r="P1651" i="18"/>
  <c r="W1651" i="18" s="1"/>
  <c r="M1651" i="18"/>
  <c r="C1651" i="18"/>
  <c r="D1651" i="18" s="1"/>
  <c r="X1650" i="18"/>
  <c r="V1650" i="18"/>
  <c r="U1650" i="18"/>
  <c r="S1650" i="18"/>
  <c r="P1650" i="18"/>
  <c r="W1650" i="18" s="1"/>
  <c r="M1650" i="18"/>
  <c r="T1650" i="18" s="1"/>
  <c r="C1650" i="18"/>
  <c r="D1650" i="18" s="1"/>
  <c r="X1649" i="18"/>
  <c r="V1649" i="18"/>
  <c r="U1649" i="18"/>
  <c r="S1649" i="18"/>
  <c r="P1649" i="18"/>
  <c r="W1649" i="18" s="1"/>
  <c r="M1649" i="18"/>
  <c r="T1649" i="18" s="1"/>
  <c r="C1649" i="18"/>
  <c r="D1649" i="18" s="1"/>
  <c r="X1648" i="18"/>
  <c r="V1648" i="18"/>
  <c r="U1648" i="18"/>
  <c r="S1648" i="18"/>
  <c r="P1648" i="18"/>
  <c r="W1648" i="18" s="1"/>
  <c r="M1648" i="18"/>
  <c r="T1648" i="18" s="1"/>
  <c r="C1648" i="18"/>
  <c r="D1648" i="18" s="1"/>
  <c r="X1647" i="18"/>
  <c r="V1647" i="18"/>
  <c r="U1647" i="18"/>
  <c r="S1647" i="18"/>
  <c r="P1647" i="18"/>
  <c r="W1647" i="18" s="1"/>
  <c r="M1647" i="18"/>
  <c r="T1647" i="18" s="1"/>
  <c r="C1647" i="18"/>
  <c r="D1647" i="18" s="1"/>
  <c r="X1646" i="18"/>
  <c r="V1646" i="18"/>
  <c r="U1646" i="18"/>
  <c r="S1646" i="18"/>
  <c r="P1646" i="18"/>
  <c r="W1646" i="18" s="1"/>
  <c r="M1646" i="18"/>
  <c r="T1646" i="18" s="1"/>
  <c r="C1646" i="18"/>
  <c r="D1646" i="18" s="1"/>
  <c r="X1645" i="18"/>
  <c r="V1645" i="18"/>
  <c r="U1645" i="18"/>
  <c r="S1645" i="18"/>
  <c r="P1645" i="18"/>
  <c r="W1645" i="18" s="1"/>
  <c r="M1645" i="18"/>
  <c r="T1645" i="18" s="1"/>
  <c r="C1645" i="18"/>
  <c r="D1645" i="18" s="1"/>
  <c r="X1644" i="18"/>
  <c r="V1644" i="18"/>
  <c r="U1644" i="18"/>
  <c r="S1644" i="18"/>
  <c r="P1644" i="18"/>
  <c r="W1644" i="18" s="1"/>
  <c r="M1644" i="18"/>
  <c r="T1644" i="18" s="1"/>
  <c r="C1644" i="18"/>
  <c r="D1644" i="18" s="1"/>
  <c r="X1643" i="18"/>
  <c r="V1643" i="18"/>
  <c r="U1643" i="18"/>
  <c r="S1643" i="18"/>
  <c r="P1643" i="18"/>
  <c r="W1643" i="18" s="1"/>
  <c r="M1643" i="18"/>
  <c r="T1643" i="18" s="1"/>
  <c r="C1643" i="18"/>
  <c r="D1643" i="18" s="1"/>
  <c r="X1642" i="18"/>
  <c r="V1642" i="18"/>
  <c r="U1642" i="18"/>
  <c r="S1642" i="18"/>
  <c r="P1642" i="18"/>
  <c r="W1642" i="18" s="1"/>
  <c r="M1642" i="18"/>
  <c r="T1642" i="18" s="1"/>
  <c r="C1642" i="18"/>
  <c r="D1642" i="18" s="1"/>
  <c r="X1641" i="18"/>
  <c r="V1641" i="18"/>
  <c r="U1641" i="18"/>
  <c r="S1641" i="18"/>
  <c r="P1641" i="18"/>
  <c r="W1641" i="18" s="1"/>
  <c r="M1641" i="18"/>
  <c r="T1641" i="18" s="1"/>
  <c r="C1641" i="18"/>
  <c r="D1641" i="18" s="1"/>
  <c r="X1640" i="18"/>
  <c r="V1640" i="18"/>
  <c r="U1640" i="18"/>
  <c r="S1640" i="18"/>
  <c r="P1640" i="18"/>
  <c r="W1640" i="18" s="1"/>
  <c r="M1640" i="18"/>
  <c r="T1640" i="18" s="1"/>
  <c r="C1640" i="18"/>
  <c r="D1640" i="18" s="1"/>
  <c r="X1639" i="18"/>
  <c r="V1639" i="18"/>
  <c r="U1639" i="18"/>
  <c r="S1639" i="18"/>
  <c r="P1639" i="18"/>
  <c r="W1639" i="18" s="1"/>
  <c r="M1639" i="18"/>
  <c r="T1639" i="18" s="1"/>
  <c r="C1639" i="18"/>
  <c r="D1639" i="18" s="1"/>
  <c r="X1638" i="18"/>
  <c r="V1638" i="18"/>
  <c r="U1638" i="18"/>
  <c r="S1638" i="18"/>
  <c r="P1638" i="18"/>
  <c r="W1638" i="18" s="1"/>
  <c r="M1638" i="18"/>
  <c r="T1638" i="18" s="1"/>
  <c r="C1638" i="18"/>
  <c r="D1638" i="18" s="1"/>
  <c r="X1637" i="18"/>
  <c r="V1637" i="18"/>
  <c r="U1637" i="18"/>
  <c r="S1637" i="18"/>
  <c r="P1637" i="18"/>
  <c r="W1637" i="18" s="1"/>
  <c r="M1637" i="18"/>
  <c r="T1637" i="18" s="1"/>
  <c r="C1637" i="18"/>
  <c r="D1637" i="18" s="1"/>
  <c r="X1636" i="18"/>
  <c r="V1636" i="18"/>
  <c r="U1636" i="18"/>
  <c r="S1636" i="18"/>
  <c r="P1636" i="18"/>
  <c r="W1636" i="18" s="1"/>
  <c r="M1636" i="18"/>
  <c r="T1636" i="18" s="1"/>
  <c r="C1636" i="18"/>
  <c r="D1636" i="18" s="1"/>
  <c r="X1635" i="18"/>
  <c r="V1635" i="18"/>
  <c r="U1635" i="18"/>
  <c r="S1635" i="18"/>
  <c r="P1635" i="18"/>
  <c r="W1635" i="18" s="1"/>
  <c r="M1635" i="18"/>
  <c r="T1635" i="18" s="1"/>
  <c r="C1635" i="18"/>
  <c r="D1635" i="18" s="1"/>
  <c r="X1634" i="18"/>
  <c r="V1634" i="18"/>
  <c r="U1634" i="18"/>
  <c r="S1634" i="18"/>
  <c r="P1634" i="18"/>
  <c r="W1634" i="18" s="1"/>
  <c r="M1634" i="18"/>
  <c r="T1634" i="18" s="1"/>
  <c r="C1634" i="18"/>
  <c r="D1634" i="18" s="1"/>
  <c r="X1633" i="18"/>
  <c r="V1633" i="18"/>
  <c r="U1633" i="18"/>
  <c r="S1633" i="18"/>
  <c r="P1633" i="18"/>
  <c r="W1633" i="18" s="1"/>
  <c r="M1633" i="18"/>
  <c r="T1633" i="18" s="1"/>
  <c r="C1633" i="18"/>
  <c r="D1633" i="18" s="1"/>
  <c r="X1632" i="18"/>
  <c r="V1632" i="18"/>
  <c r="U1632" i="18"/>
  <c r="S1632" i="18"/>
  <c r="P1632" i="18"/>
  <c r="W1632" i="18" s="1"/>
  <c r="M1632" i="18"/>
  <c r="T1632" i="18" s="1"/>
  <c r="C1632" i="18"/>
  <c r="D1632" i="18" s="1"/>
  <c r="X1631" i="18"/>
  <c r="V1631" i="18"/>
  <c r="U1631" i="18"/>
  <c r="S1631" i="18"/>
  <c r="P1631" i="18"/>
  <c r="W1631" i="18" s="1"/>
  <c r="M1631" i="18"/>
  <c r="T1631" i="18" s="1"/>
  <c r="C1631" i="18"/>
  <c r="D1631" i="18" s="1"/>
  <c r="X1630" i="18"/>
  <c r="V1630" i="18"/>
  <c r="U1630" i="18"/>
  <c r="S1630" i="18"/>
  <c r="P1630" i="18"/>
  <c r="W1630" i="18" s="1"/>
  <c r="M1630" i="18"/>
  <c r="T1630" i="18" s="1"/>
  <c r="C1630" i="18"/>
  <c r="D1630" i="18" s="1"/>
  <c r="X1629" i="18"/>
  <c r="V1629" i="18"/>
  <c r="U1629" i="18"/>
  <c r="S1629" i="18"/>
  <c r="P1629" i="18"/>
  <c r="W1629" i="18" s="1"/>
  <c r="M1629" i="18"/>
  <c r="T1629" i="18" s="1"/>
  <c r="C1629" i="18"/>
  <c r="D1629" i="18" s="1"/>
  <c r="X1628" i="18"/>
  <c r="V1628" i="18"/>
  <c r="U1628" i="18"/>
  <c r="S1628" i="18"/>
  <c r="P1628" i="18"/>
  <c r="W1628" i="18" s="1"/>
  <c r="M1628" i="18"/>
  <c r="T1628" i="18" s="1"/>
  <c r="C1628" i="18"/>
  <c r="D1628" i="18" s="1"/>
  <c r="X1627" i="18"/>
  <c r="V1627" i="18"/>
  <c r="U1627" i="18"/>
  <c r="S1627" i="18"/>
  <c r="P1627" i="18"/>
  <c r="W1627" i="18" s="1"/>
  <c r="M1627" i="18"/>
  <c r="T1627" i="18" s="1"/>
  <c r="C1627" i="18"/>
  <c r="D1627" i="18" s="1"/>
  <c r="X1626" i="18"/>
  <c r="V1626" i="18"/>
  <c r="U1626" i="18"/>
  <c r="S1626" i="18"/>
  <c r="P1626" i="18"/>
  <c r="W1626" i="18" s="1"/>
  <c r="M1626" i="18"/>
  <c r="T1626" i="18" s="1"/>
  <c r="C1626" i="18"/>
  <c r="D1626" i="18" s="1"/>
  <c r="X1625" i="18"/>
  <c r="V1625" i="18"/>
  <c r="U1625" i="18"/>
  <c r="T1625" i="18"/>
  <c r="S1625" i="18"/>
  <c r="P1625" i="18"/>
  <c r="W1625" i="18" s="1"/>
  <c r="M1625" i="18"/>
  <c r="D1625" i="18"/>
  <c r="C1625" i="18"/>
  <c r="X1624" i="18"/>
  <c r="V1624" i="18"/>
  <c r="U1624" i="18"/>
  <c r="S1624" i="18"/>
  <c r="P1624" i="18"/>
  <c r="W1624" i="18" s="1"/>
  <c r="M1624" i="18"/>
  <c r="T1624" i="18" s="1"/>
  <c r="C1624" i="18"/>
  <c r="D1624" i="18" s="1"/>
  <c r="X1623" i="18"/>
  <c r="V1623" i="18"/>
  <c r="U1623" i="18"/>
  <c r="S1623" i="18"/>
  <c r="P1623" i="18"/>
  <c r="W1623" i="18" s="1"/>
  <c r="M1623" i="18"/>
  <c r="T1623" i="18" s="1"/>
  <c r="C1623" i="18"/>
  <c r="D1623" i="18" s="1"/>
  <c r="X1622" i="18"/>
  <c r="V1622" i="18"/>
  <c r="U1622" i="18"/>
  <c r="S1622" i="18"/>
  <c r="P1622" i="18"/>
  <c r="W1622" i="18" s="1"/>
  <c r="M1622" i="18"/>
  <c r="T1622" i="18" s="1"/>
  <c r="C1622" i="18"/>
  <c r="D1622" i="18" s="1"/>
  <c r="X1621" i="18"/>
  <c r="V1621" i="18"/>
  <c r="U1621" i="18"/>
  <c r="S1621" i="18"/>
  <c r="P1621" i="18"/>
  <c r="W1621" i="18" s="1"/>
  <c r="M1621" i="18"/>
  <c r="T1621" i="18" s="1"/>
  <c r="D1621" i="18"/>
  <c r="C1621" i="18"/>
  <c r="X1620" i="18"/>
  <c r="V1620" i="18"/>
  <c r="U1620" i="18"/>
  <c r="S1620" i="18"/>
  <c r="P1620" i="18"/>
  <c r="W1620" i="18" s="1"/>
  <c r="M1620" i="18"/>
  <c r="T1620" i="18" s="1"/>
  <c r="C1620" i="18"/>
  <c r="D1620" i="18" s="1"/>
  <c r="X1619" i="18"/>
  <c r="V1619" i="18"/>
  <c r="U1619" i="18"/>
  <c r="S1619" i="18"/>
  <c r="P1619" i="18"/>
  <c r="W1619" i="18" s="1"/>
  <c r="M1619" i="18"/>
  <c r="T1619" i="18" s="1"/>
  <c r="C1619" i="18"/>
  <c r="D1619" i="18" s="1"/>
  <c r="X1618" i="18"/>
  <c r="V1618" i="18"/>
  <c r="U1618" i="18"/>
  <c r="S1618" i="18"/>
  <c r="P1618" i="18"/>
  <c r="W1618" i="18" s="1"/>
  <c r="M1618" i="18"/>
  <c r="T1618" i="18" s="1"/>
  <c r="C1618" i="18"/>
  <c r="D1618" i="18" s="1"/>
  <c r="X1617" i="18"/>
  <c r="V1617" i="18"/>
  <c r="U1617" i="18"/>
  <c r="S1617" i="18"/>
  <c r="P1617" i="18"/>
  <c r="W1617" i="18" s="1"/>
  <c r="M1617" i="18"/>
  <c r="T1617" i="18" s="1"/>
  <c r="C1617" i="18"/>
  <c r="D1617" i="18" s="1"/>
  <c r="X1616" i="18"/>
  <c r="V1616" i="18"/>
  <c r="U1616" i="18"/>
  <c r="S1616" i="18"/>
  <c r="P1616" i="18"/>
  <c r="W1616" i="18" s="1"/>
  <c r="M1616" i="18"/>
  <c r="T1616" i="18" s="1"/>
  <c r="C1616" i="18"/>
  <c r="D1616" i="18" s="1"/>
  <c r="X1615" i="18"/>
  <c r="V1615" i="18"/>
  <c r="U1615" i="18"/>
  <c r="S1615" i="18"/>
  <c r="P1615" i="18"/>
  <c r="W1615" i="18" s="1"/>
  <c r="M1615" i="18"/>
  <c r="T1615" i="18" s="1"/>
  <c r="C1615" i="18"/>
  <c r="D1615" i="18" s="1"/>
  <c r="X1614" i="18"/>
  <c r="V1614" i="18"/>
  <c r="U1614" i="18"/>
  <c r="S1614" i="18"/>
  <c r="P1614" i="18"/>
  <c r="W1614" i="18" s="1"/>
  <c r="M1614" i="18"/>
  <c r="T1614" i="18" s="1"/>
  <c r="C1614" i="18"/>
  <c r="D1614" i="18" s="1"/>
  <c r="X1613" i="18"/>
  <c r="V1613" i="18"/>
  <c r="U1613" i="18"/>
  <c r="S1613" i="18"/>
  <c r="P1613" i="18"/>
  <c r="W1613" i="18" s="1"/>
  <c r="M1613" i="18"/>
  <c r="T1613" i="18" s="1"/>
  <c r="C1613" i="18"/>
  <c r="D1613" i="18" s="1"/>
  <c r="X1612" i="18"/>
  <c r="V1612" i="18"/>
  <c r="U1612" i="18"/>
  <c r="S1612" i="18"/>
  <c r="P1612" i="18"/>
  <c r="W1612" i="18" s="1"/>
  <c r="M1612" i="18"/>
  <c r="T1612" i="18" s="1"/>
  <c r="C1612" i="18"/>
  <c r="D1612" i="18" s="1"/>
  <c r="X1611" i="18"/>
  <c r="V1611" i="18"/>
  <c r="U1611" i="18"/>
  <c r="S1611" i="18"/>
  <c r="P1611" i="18"/>
  <c r="W1611" i="18" s="1"/>
  <c r="M1611" i="18"/>
  <c r="T1611" i="18" s="1"/>
  <c r="C1611" i="18"/>
  <c r="D1611" i="18" s="1"/>
  <c r="X1610" i="18"/>
  <c r="V1610" i="18"/>
  <c r="U1610" i="18"/>
  <c r="S1610" i="18"/>
  <c r="P1610" i="18"/>
  <c r="W1610" i="18" s="1"/>
  <c r="M1610" i="18"/>
  <c r="T1610" i="18" s="1"/>
  <c r="C1610" i="18"/>
  <c r="D1610" i="18" s="1"/>
  <c r="X1609" i="18"/>
  <c r="V1609" i="18"/>
  <c r="U1609" i="18"/>
  <c r="S1609" i="18"/>
  <c r="P1609" i="18"/>
  <c r="W1609" i="18" s="1"/>
  <c r="M1609" i="18"/>
  <c r="T1609" i="18" s="1"/>
  <c r="C1609" i="18"/>
  <c r="D1609" i="18" s="1"/>
  <c r="X1608" i="18"/>
  <c r="V1608" i="18"/>
  <c r="U1608" i="18"/>
  <c r="S1608" i="18"/>
  <c r="P1608" i="18"/>
  <c r="W1608" i="18" s="1"/>
  <c r="M1608" i="18"/>
  <c r="T1608" i="18" s="1"/>
  <c r="C1608" i="18"/>
  <c r="D1608" i="18" s="1"/>
  <c r="X1607" i="18"/>
  <c r="V1607" i="18"/>
  <c r="U1607" i="18"/>
  <c r="S1607" i="18"/>
  <c r="P1607" i="18"/>
  <c r="W1607" i="18" s="1"/>
  <c r="M1607" i="18"/>
  <c r="T1607" i="18" s="1"/>
  <c r="C1607" i="18"/>
  <c r="D1607" i="18" s="1"/>
  <c r="X1606" i="18"/>
  <c r="V1606" i="18"/>
  <c r="U1606" i="18"/>
  <c r="S1606" i="18"/>
  <c r="P1606" i="18"/>
  <c r="W1606" i="18" s="1"/>
  <c r="M1606" i="18"/>
  <c r="T1606" i="18" s="1"/>
  <c r="C1606" i="18"/>
  <c r="D1606" i="18" s="1"/>
  <c r="X1605" i="18"/>
  <c r="V1605" i="18"/>
  <c r="U1605" i="18"/>
  <c r="S1605" i="18"/>
  <c r="P1605" i="18"/>
  <c r="W1605" i="18" s="1"/>
  <c r="M1605" i="18"/>
  <c r="T1605" i="18" s="1"/>
  <c r="C1605" i="18"/>
  <c r="D1605" i="18" s="1"/>
  <c r="X1604" i="18"/>
  <c r="V1604" i="18"/>
  <c r="U1604" i="18"/>
  <c r="S1604" i="18"/>
  <c r="P1604" i="18"/>
  <c r="W1604" i="18" s="1"/>
  <c r="M1604" i="18"/>
  <c r="T1604" i="18" s="1"/>
  <c r="C1604" i="18"/>
  <c r="D1604" i="18" s="1"/>
  <c r="X1603" i="18"/>
  <c r="V1603" i="18"/>
  <c r="U1603" i="18"/>
  <c r="S1603" i="18"/>
  <c r="P1603" i="18"/>
  <c r="W1603" i="18" s="1"/>
  <c r="M1603" i="18"/>
  <c r="T1603" i="18" s="1"/>
  <c r="C1603" i="18"/>
  <c r="D1603" i="18" s="1"/>
  <c r="X1602" i="18"/>
  <c r="V1602" i="18"/>
  <c r="U1602" i="18"/>
  <c r="T1602" i="18"/>
  <c r="S1602" i="18"/>
  <c r="P1602" i="18"/>
  <c r="W1602" i="18" s="1"/>
  <c r="M1602" i="18"/>
  <c r="D1602" i="18"/>
  <c r="C1602" i="18"/>
  <c r="X1601" i="18"/>
  <c r="V1601" i="18"/>
  <c r="U1601" i="18"/>
  <c r="S1601" i="18"/>
  <c r="P1601" i="18"/>
  <c r="W1601" i="18" s="1"/>
  <c r="M1601" i="18"/>
  <c r="T1601" i="18" s="1"/>
  <c r="C1601" i="18"/>
  <c r="D1601" i="18" s="1"/>
  <c r="X1600" i="18"/>
  <c r="V1600" i="18"/>
  <c r="U1600" i="18"/>
  <c r="S1600" i="18"/>
  <c r="P1600" i="18"/>
  <c r="W1600" i="18" s="1"/>
  <c r="M1600" i="18"/>
  <c r="T1600" i="18" s="1"/>
  <c r="C1600" i="18"/>
  <c r="D1600" i="18" s="1"/>
  <c r="X1599" i="18"/>
  <c r="V1599" i="18"/>
  <c r="U1599" i="18"/>
  <c r="S1599" i="18"/>
  <c r="P1599" i="18"/>
  <c r="W1599" i="18" s="1"/>
  <c r="M1599" i="18"/>
  <c r="T1599" i="18" s="1"/>
  <c r="C1599" i="18"/>
  <c r="D1599" i="18" s="1"/>
  <c r="X1598" i="18"/>
  <c r="V1598" i="18"/>
  <c r="U1598" i="18"/>
  <c r="S1598" i="18"/>
  <c r="P1598" i="18"/>
  <c r="W1598" i="18" s="1"/>
  <c r="M1598" i="18"/>
  <c r="T1598" i="18" s="1"/>
  <c r="C1598" i="18"/>
  <c r="D1598" i="18" s="1"/>
  <c r="X1597" i="18"/>
  <c r="V1597" i="18"/>
  <c r="U1597" i="18"/>
  <c r="S1597" i="18"/>
  <c r="P1597" i="18"/>
  <c r="W1597" i="18" s="1"/>
  <c r="M1597" i="18"/>
  <c r="T1597" i="18" s="1"/>
  <c r="C1597" i="18"/>
  <c r="D1597" i="18" s="1"/>
  <c r="X1596" i="18"/>
  <c r="V1596" i="18"/>
  <c r="U1596" i="18"/>
  <c r="T1596" i="18"/>
  <c r="S1596" i="18"/>
  <c r="P1596" i="18"/>
  <c r="W1596" i="18" s="1"/>
  <c r="M1596" i="18"/>
  <c r="C1596" i="18"/>
  <c r="D1596" i="18" s="1"/>
  <c r="X1595" i="18"/>
  <c r="V1595" i="18"/>
  <c r="U1595" i="18"/>
  <c r="S1595" i="18"/>
  <c r="P1595" i="18"/>
  <c r="W1595" i="18" s="1"/>
  <c r="M1595" i="18"/>
  <c r="T1595" i="18" s="1"/>
  <c r="C1595" i="18"/>
  <c r="D1595" i="18" s="1"/>
  <c r="X1594" i="18"/>
  <c r="V1594" i="18"/>
  <c r="U1594" i="18"/>
  <c r="S1594" i="18"/>
  <c r="P1594" i="18"/>
  <c r="W1594" i="18" s="1"/>
  <c r="M1594" i="18"/>
  <c r="T1594" i="18" s="1"/>
  <c r="C1594" i="18"/>
  <c r="D1594" i="18" s="1"/>
  <c r="X1593" i="18"/>
  <c r="V1593" i="18"/>
  <c r="U1593" i="18"/>
  <c r="S1593" i="18"/>
  <c r="P1593" i="18"/>
  <c r="W1593" i="18" s="1"/>
  <c r="M1593" i="18"/>
  <c r="T1593" i="18" s="1"/>
  <c r="C1593" i="18"/>
  <c r="D1593" i="18" s="1"/>
  <c r="X1592" i="18"/>
  <c r="V1592" i="18"/>
  <c r="U1592" i="18"/>
  <c r="S1592" i="18"/>
  <c r="P1592" i="18"/>
  <c r="W1592" i="18" s="1"/>
  <c r="M1592" i="18"/>
  <c r="T1592" i="18" s="1"/>
  <c r="C1592" i="18"/>
  <c r="D1592" i="18" s="1"/>
  <c r="X1591" i="18"/>
  <c r="V1591" i="18"/>
  <c r="U1591" i="18"/>
  <c r="S1591" i="18"/>
  <c r="P1591" i="18"/>
  <c r="W1591" i="18" s="1"/>
  <c r="M1591" i="18"/>
  <c r="T1591" i="18" s="1"/>
  <c r="C1591" i="18"/>
  <c r="D1591" i="18" s="1"/>
  <c r="X1590" i="18"/>
  <c r="V1590" i="18"/>
  <c r="U1590" i="18"/>
  <c r="S1590" i="18"/>
  <c r="P1590" i="18"/>
  <c r="W1590" i="18" s="1"/>
  <c r="M1590" i="18"/>
  <c r="T1590" i="18" s="1"/>
  <c r="C1590" i="18"/>
  <c r="D1590" i="18" s="1"/>
  <c r="X1589" i="18"/>
  <c r="V1589" i="18"/>
  <c r="U1589" i="18"/>
  <c r="S1589" i="18"/>
  <c r="P1589" i="18"/>
  <c r="W1589" i="18" s="1"/>
  <c r="M1589" i="18"/>
  <c r="T1589" i="18" s="1"/>
  <c r="C1589" i="18"/>
  <c r="D1589" i="18" s="1"/>
  <c r="X1588" i="18"/>
  <c r="V1588" i="18"/>
  <c r="U1588" i="18"/>
  <c r="S1588" i="18"/>
  <c r="P1588" i="18"/>
  <c r="W1588" i="18" s="1"/>
  <c r="M1588" i="18"/>
  <c r="T1588" i="18" s="1"/>
  <c r="C1588" i="18"/>
  <c r="D1588" i="18" s="1"/>
  <c r="X1587" i="18"/>
  <c r="V1587" i="18"/>
  <c r="U1587" i="18"/>
  <c r="S1587" i="18"/>
  <c r="P1587" i="18"/>
  <c r="W1587" i="18" s="1"/>
  <c r="M1587" i="18"/>
  <c r="T1587" i="18" s="1"/>
  <c r="C1587" i="18"/>
  <c r="D1587" i="18" s="1"/>
  <c r="X1586" i="18"/>
  <c r="V1586" i="18"/>
  <c r="U1586" i="18"/>
  <c r="T1586" i="18"/>
  <c r="S1586" i="18"/>
  <c r="P1586" i="18"/>
  <c r="W1586" i="18" s="1"/>
  <c r="M1586" i="18"/>
  <c r="D1586" i="18"/>
  <c r="C1586" i="18"/>
  <c r="X1585" i="18"/>
  <c r="V1585" i="18"/>
  <c r="U1585" i="18"/>
  <c r="S1585" i="18"/>
  <c r="P1585" i="18"/>
  <c r="W1585" i="18" s="1"/>
  <c r="M1585" i="18"/>
  <c r="T1585" i="18" s="1"/>
  <c r="C1585" i="18"/>
  <c r="D1585" i="18" s="1"/>
  <c r="X1584" i="18"/>
  <c r="V1584" i="18"/>
  <c r="U1584" i="18"/>
  <c r="S1584" i="18"/>
  <c r="P1584" i="18"/>
  <c r="W1584" i="18" s="1"/>
  <c r="M1584" i="18"/>
  <c r="T1584" i="18" s="1"/>
  <c r="C1584" i="18"/>
  <c r="D1584" i="18" s="1"/>
  <c r="X1583" i="18"/>
  <c r="V1583" i="18"/>
  <c r="U1583" i="18"/>
  <c r="S1583" i="18"/>
  <c r="P1583" i="18"/>
  <c r="W1583" i="18" s="1"/>
  <c r="M1583" i="18"/>
  <c r="T1583" i="18" s="1"/>
  <c r="C1583" i="18"/>
  <c r="D1583" i="18" s="1"/>
  <c r="X1582" i="18"/>
  <c r="V1582" i="18"/>
  <c r="U1582" i="18"/>
  <c r="S1582" i="18"/>
  <c r="P1582" i="18"/>
  <c r="W1582" i="18" s="1"/>
  <c r="M1582" i="18"/>
  <c r="T1582" i="18" s="1"/>
  <c r="C1582" i="18"/>
  <c r="D1582" i="18" s="1"/>
  <c r="X1581" i="18"/>
  <c r="V1581" i="18"/>
  <c r="U1581" i="18"/>
  <c r="S1581" i="18"/>
  <c r="P1581" i="18"/>
  <c r="W1581" i="18" s="1"/>
  <c r="M1581" i="18"/>
  <c r="T1581" i="18" s="1"/>
  <c r="C1581" i="18"/>
  <c r="D1581" i="18" s="1"/>
  <c r="X1580" i="18"/>
  <c r="V1580" i="18"/>
  <c r="U1580" i="18"/>
  <c r="S1580" i="18"/>
  <c r="P1580" i="18"/>
  <c r="W1580" i="18" s="1"/>
  <c r="M1580" i="18"/>
  <c r="T1580" i="18" s="1"/>
  <c r="C1580" i="18"/>
  <c r="D1580" i="18" s="1"/>
  <c r="X1579" i="18"/>
  <c r="V1579" i="18"/>
  <c r="U1579" i="18"/>
  <c r="S1579" i="18"/>
  <c r="P1579" i="18"/>
  <c r="W1579" i="18" s="1"/>
  <c r="M1579" i="18"/>
  <c r="T1579" i="18" s="1"/>
  <c r="C1579" i="18"/>
  <c r="D1579" i="18" s="1"/>
  <c r="X1578" i="18"/>
  <c r="V1578" i="18"/>
  <c r="U1578" i="18"/>
  <c r="T1578" i="18"/>
  <c r="S1578" i="18"/>
  <c r="P1578" i="18"/>
  <c r="W1578" i="18" s="1"/>
  <c r="M1578" i="18"/>
  <c r="C1578" i="18"/>
  <c r="D1578" i="18" s="1"/>
  <c r="X1577" i="18"/>
  <c r="V1577" i="18"/>
  <c r="U1577" i="18"/>
  <c r="S1577" i="18"/>
  <c r="P1577" i="18"/>
  <c r="W1577" i="18" s="1"/>
  <c r="M1577" i="18"/>
  <c r="T1577" i="18" s="1"/>
  <c r="C1577" i="18"/>
  <c r="D1577" i="18" s="1"/>
  <c r="X1576" i="18"/>
  <c r="V1576" i="18"/>
  <c r="U1576" i="18"/>
  <c r="S1576" i="18"/>
  <c r="P1576" i="18"/>
  <c r="W1576" i="18" s="1"/>
  <c r="M1576" i="18"/>
  <c r="T1576" i="18" s="1"/>
  <c r="C1576" i="18"/>
  <c r="D1576" i="18" s="1"/>
  <c r="X1575" i="18"/>
  <c r="V1575" i="18"/>
  <c r="U1575" i="18"/>
  <c r="S1575" i="18"/>
  <c r="P1575" i="18"/>
  <c r="W1575" i="18" s="1"/>
  <c r="M1575" i="18"/>
  <c r="T1575" i="18" s="1"/>
  <c r="C1575" i="18"/>
  <c r="D1575" i="18" s="1"/>
  <c r="X1574" i="18"/>
  <c r="V1574" i="18"/>
  <c r="U1574" i="18"/>
  <c r="S1574" i="18"/>
  <c r="P1574" i="18"/>
  <c r="W1574" i="18" s="1"/>
  <c r="M1574" i="18"/>
  <c r="T1574" i="18" s="1"/>
  <c r="C1574" i="18"/>
  <c r="D1574" i="18" s="1"/>
  <c r="X1573" i="18"/>
  <c r="V1573" i="18"/>
  <c r="U1573" i="18"/>
  <c r="S1573" i="18"/>
  <c r="P1573" i="18"/>
  <c r="W1573" i="18" s="1"/>
  <c r="M1573" i="18"/>
  <c r="T1573" i="18" s="1"/>
  <c r="C1573" i="18"/>
  <c r="D1573" i="18" s="1"/>
  <c r="X1572" i="18"/>
  <c r="V1572" i="18"/>
  <c r="U1572" i="18"/>
  <c r="S1572" i="18"/>
  <c r="P1572" i="18"/>
  <c r="W1572" i="18" s="1"/>
  <c r="M1572" i="18"/>
  <c r="T1572" i="18" s="1"/>
  <c r="D1572" i="18"/>
  <c r="C1572" i="18"/>
  <c r="X1571" i="18"/>
  <c r="V1571" i="18"/>
  <c r="U1571" i="18"/>
  <c r="S1571" i="18"/>
  <c r="P1571" i="18"/>
  <c r="W1571" i="18" s="1"/>
  <c r="M1571" i="18"/>
  <c r="T1571" i="18" s="1"/>
  <c r="C1571" i="18"/>
  <c r="D1571" i="18" s="1"/>
  <c r="X1570" i="18"/>
  <c r="V1570" i="18"/>
  <c r="U1570" i="18"/>
  <c r="S1570" i="18"/>
  <c r="P1570" i="18"/>
  <c r="W1570" i="18" s="1"/>
  <c r="M1570" i="18"/>
  <c r="T1570" i="18" s="1"/>
  <c r="C1570" i="18"/>
  <c r="D1570" i="18" s="1"/>
  <c r="X1569" i="18"/>
  <c r="V1569" i="18"/>
  <c r="U1569" i="18"/>
  <c r="S1569" i="18"/>
  <c r="P1569" i="18"/>
  <c r="W1569" i="18" s="1"/>
  <c r="M1569" i="18"/>
  <c r="T1569" i="18" s="1"/>
  <c r="C1569" i="18"/>
  <c r="D1569" i="18" s="1"/>
  <c r="X1568" i="18"/>
  <c r="V1568" i="18"/>
  <c r="U1568" i="18"/>
  <c r="S1568" i="18"/>
  <c r="P1568" i="18"/>
  <c r="W1568" i="18" s="1"/>
  <c r="M1568" i="18"/>
  <c r="T1568" i="18" s="1"/>
  <c r="C1568" i="18"/>
  <c r="D1568" i="18" s="1"/>
  <c r="X1567" i="18"/>
  <c r="V1567" i="18"/>
  <c r="U1567" i="18"/>
  <c r="S1567" i="18"/>
  <c r="P1567" i="18"/>
  <c r="W1567" i="18" s="1"/>
  <c r="M1567" i="18"/>
  <c r="T1567" i="18" s="1"/>
  <c r="C1567" i="18"/>
  <c r="D1567" i="18" s="1"/>
  <c r="X1566" i="18"/>
  <c r="V1566" i="18"/>
  <c r="U1566" i="18"/>
  <c r="T1566" i="18"/>
  <c r="S1566" i="18"/>
  <c r="P1566" i="18"/>
  <c r="W1566" i="18" s="1"/>
  <c r="M1566" i="18"/>
  <c r="C1566" i="18"/>
  <c r="D1566" i="18" s="1"/>
  <c r="X1565" i="18"/>
  <c r="V1565" i="18"/>
  <c r="U1565" i="18"/>
  <c r="S1565" i="18"/>
  <c r="P1565" i="18"/>
  <c r="W1565" i="18" s="1"/>
  <c r="M1565" i="18"/>
  <c r="T1565" i="18" s="1"/>
  <c r="C1565" i="18"/>
  <c r="D1565" i="18" s="1"/>
  <c r="X1564" i="18"/>
  <c r="V1564" i="18"/>
  <c r="U1564" i="18"/>
  <c r="S1564" i="18"/>
  <c r="P1564" i="18"/>
  <c r="W1564" i="18" s="1"/>
  <c r="M1564" i="18"/>
  <c r="T1564" i="18" s="1"/>
  <c r="C1564" i="18"/>
  <c r="D1564" i="18" s="1"/>
  <c r="X1563" i="18"/>
  <c r="V1563" i="18"/>
  <c r="U1563" i="18"/>
  <c r="S1563" i="18"/>
  <c r="P1563" i="18"/>
  <c r="W1563" i="18" s="1"/>
  <c r="M1563" i="18"/>
  <c r="T1563" i="18" s="1"/>
  <c r="C1563" i="18"/>
  <c r="D1563" i="18" s="1"/>
  <c r="X1562" i="18"/>
  <c r="V1562" i="18"/>
  <c r="U1562" i="18"/>
  <c r="S1562" i="18"/>
  <c r="P1562" i="18"/>
  <c r="W1562" i="18" s="1"/>
  <c r="M1562" i="18"/>
  <c r="T1562" i="18" s="1"/>
  <c r="C1562" i="18"/>
  <c r="D1562" i="18" s="1"/>
  <c r="X1561" i="18"/>
  <c r="V1561" i="18"/>
  <c r="U1561" i="18"/>
  <c r="S1561" i="18"/>
  <c r="P1561" i="18"/>
  <c r="W1561" i="18" s="1"/>
  <c r="M1561" i="18"/>
  <c r="T1561" i="18" s="1"/>
  <c r="C1561" i="18"/>
  <c r="D1561" i="18" s="1"/>
  <c r="X1560" i="18"/>
  <c r="V1560" i="18"/>
  <c r="U1560" i="18"/>
  <c r="T1560" i="18"/>
  <c r="S1560" i="18"/>
  <c r="P1560" i="18"/>
  <c r="W1560" i="18" s="1"/>
  <c r="M1560" i="18"/>
  <c r="D1560" i="18"/>
  <c r="C1560" i="18"/>
  <c r="X1559" i="18"/>
  <c r="V1559" i="18"/>
  <c r="U1559" i="18"/>
  <c r="S1559" i="18"/>
  <c r="P1559" i="18"/>
  <c r="W1559" i="18" s="1"/>
  <c r="M1559" i="18"/>
  <c r="T1559" i="18" s="1"/>
  <c r="C1559" i="18"/>
  <c r="D1559" i="18" s="1"/>
  <c r="X1558" i="18"/>
  <c r="V1558" i="18"/>
  <c r="U1558" i="18"/>
  <c r="S1558" i="18"/>
  <c r="P1558" i="18"/>
  <c r="W1558" i="18" s="1"/>
  <c r="M1558" i="18"/>
  <c r="T1558" i="18" s="1"/>
  <c r="C1558" i="18"/>
  <c r="D1558" i="18" s="1"/>
  <c r="X1557" i="18"/>
  <c r="V1557" i="18"/>
  <c r="U1557" i="18"/>
  <c r="S1557" i="18"/>
  <c r="P1557" i="18"/>
  <c r="W1557" i="18" s="1"/>
  <c r="M1557" i="18"/>
  <c r="T1557" i="18" s="1"/>
  <c r="C1557" i="18"/>
  <c r="D1557" i="18" s="1"/>
  <c r="X1556" i="18"/>
  <c r="V1556" i="18"/>
  <c r="U1556" i="18"/>
  <c r="S1556" i="18"/>
  <c r="P1556" i="18"/>
  <c r="W1556" i="18" s="1"/>
  <c r="M1556" i="18"/>
  <c r="T1556" i="18" s="1"/>
  <c r="D1556" i="18"/>
  <c r="C1556" i="18"/>
  <c r="X1555" i="18"/>
  <c r="V1555" i="18"/>
  <c r="U1555" i="18"/>
  <c r="S1555" i="18"/>
  <c r="P1555" i="18"/>
  <c r="W1555" i="18" s="1"/>
  <c r="M1555" i="18"/>
  <c r="T1555" i="18" s="1"/>
  <c r="C1555" i="18"/>
  <c r="D1555" i="18" s="1"/>
  <c r="X1554" i="18"/>
  <c r="V1554" i="18"/>
  <c r="U1554" i="18"/>
  <c r="S1554" i="18"/>
  <c r="P1554" i="18"/>
  <c r="W1554" i="18" s="1"/>
  <c r="M1554" i="18"/>
  <c r="T1554" i="18" s="1"/>
  <c r="C1554" i="18"/>
  <c r="D1554" i="18" s="1"/>
  <c r="X1553" i="18"/>
  <c r="V1553" i="18"/>
  <c r="U1553" i="18"/>
  <c r="S1553" i="18"/>
  <c r="P1553" i="18"/>
  <c r="W1553" i="18" s="1"/>
  <c r="M1553" i="18"/>
  <c r="T1553" i="18" s="1"/>
  <c r="C1553" i="18"/>
  <c r="D1553" i="18" s="1"/>
  <c r="X1552" i="18"/>
  <c r="V1552" i="18"/>
  <c r="U1552" i="18"/>
  <c r="S1552" i="18"/>
  <c r="P1552" i="18"/>
  <c r="W1552" i="18" s="1"/>
  <c r="M1552" i="18"/>
  <c r="T1552" i="18" s="1"/>
  <c r="C1552" i="18"/>
  <c r="D1552" i="18" s="1"/>
  <c r="X1551" i="18"/>
  <c r="V1551" i="18"/>
  <c r="U1551" i="18"/>
  <c r="S1551" i="18"/>
  <c r="P1551" i="18"/>
  <c r="W1551" i="18" s="1"/>
  <c r="M1551" i="18"/>
  <c r="T1551" i="18" s="1"/>
  <c r="C1551" i="18"/>
  <c r="D1551" i="18" s="1"/>
  <c r="X1550" i="18"/>
  <c r="V1550" i="18"/>
  <c r="U1550" i="18"/>
  <c r="T1550" i="18"/>
  <c r="S1550" i="18"/>
  <c r="P1550" i="18"/>
  <c r="W1550" i="18" s="1"/>
  <c r="M1550" i="18"/>
  <c r="C1550" i="18"/>
  <c r="D1550" i="18" s="1"/>
  <c r="X1549" i="18"/>
  <c r="V1549" i="18"/>
  <c r="U1549" i="18"/>
  <c r="S1549" i="18"/>
  <c r="P1549" i="18"/>
  <c r="W1549" i="18" s="1"/>
  <c r="M1549" i="18"/>
  <c r="T1549" i="18" s="1"/>
  <c r="C1549" i="18"/>
  <c r="D1549" i="18" s="1"/>
  <c r="X1548" i="18"/>
  <c r="V1548" i="18"/>
  <c r="U1548" i="18"/>
  <c r="S1548" i="18"/>
  <c r="P1548" i="18"/>
  <c r="W1548" i="18" s="1"/>
  <c r="M1548" i="18"/>
  <c r="T1548" i="18" s="1"/>
  <c r="C1548" i="18"/>
  <c r="D1548" i="18" s="1"/>
  <c r="X1547" i="18"/>
  <c r="V1547" i="18"/>
  <c r="U1547" i="18"/>
  <c r="S1547" i="18"/>
  <c r="P1547" i="18"/>
  <c r="W1547" i="18" s="1"/>
  <c r="M1547" i="18"/>
  <c r="T1547" i="18" s="1"/>
  <c r="C1547" i="18"/>
  <c r="D1547" i="18" s="1"/>
  <c r="X1546" i="18"/>
  <c r="V1546" i="18"/>
  <c r="U1546" i="18"/>
  <c r="S1546" i="18"/>
  <c r="P1546" i="18"/>
  <c r="W1546" i="18" s="1"/>
  <c r="M1546" i="18"/>
  <c r="T1546" i="18" s="1"/>
  <c r="C1546" i="18"/>
  <c r="D1546" i="18" s="1"/>
  <c r="X1545" i="18"/>
  <c r="V1545" i="18"/>
  <c r="U1545" i="18"/>
  <c r="S1545" i="18"/>
  <c r="P1545" i="18"/>
  <c r="W1545" i="18" s="1"/>
  <c r="M1545" i="18"/>
  <c r="T1545" i="18" s="1"/>
  <c r="C1545" i="18"/>
  <c r="D1545" i="18" s="1"/>
  <c r="X1544" i="18"/>
  <c r="V1544" i="18"/>
  <c r="U1544" i="18"/>
  <c r="T1544" i="18"/>
  <c r="S1544" i="18"/>
  <c r="P1544" i="18"/>
  <c r="W1544" i="18" s="1"/>
  <c r="M1544" i="18"/>
  <c r="D1544" i="18"/>
  <c r="C1544" i="18"/>
  <c r="X1543" i="18"/>
  <c r="V1543" i="18"/>
  <c r="U1543" i="18"/>
  <c r="S1543" i="18"/>
  <c r="P1543" i="18"/>
  <c r="W1543" i="18" s="1"/>
  <c r="M1543" i="18"/>
  <c r="T1543" i="18" s="1"/>
  <c r="C1543" i="18"/>
  <c r="D1543" i="18" s="1"/>
  <c r="X1542" i="18"/>
  <c r="V1542" i="18"/>
  <c r="U1542" i="18"/>
  <c r="S1542" i="18"/>
  <c r="P1542" i="18"/>
  <c r="W1542" i="18" s="1"/>
  <c r="M1542" i="18"/>
  <c r="T1542" i="18" s="1"/>
  <c r="C1542" i="18"/>
  <c r="D1542" i="18" s="1"/>
  <c r="X1541" i="18"/>
  <c r="V1541" i="18"/>
  <c r="U1541" i="18"/>
  <c r="S1541" i="18"/>
  <c r="P1541" i="18"/>
  <c r="W1541" i="18" s="1"/>
  <c r="M1541" i="18"/>
  <c r="T1541" i="18" s="1"/>
  <c r="C1541" i="18"/>
  <c r="D1541" i="18" s="1"/>
  <c r="X1540" i="18"/>
  <c r="V1540" i="18"/>
  <c r="U1540" i="18"/>
  <c r="S1540" i="18"/>
  <c r="P1540" i="18"/>
  <c r="W1540" i="18" s="1"/>
  <c r="M1540" i="18"/>
  <c r="T1540" i="18" s="1"/>
  <c r="D1540" i="18"/>
  <c r="C1540" i="18"/>
  <c r="X1539" i="18"/>
  <c r="V1539" i="18"/>
  <c r="U1539" i="18"/>
  <c r="S1539" i="18"/>
  <c r="P1539" i="18"/>
  <c r="W1539" i="18" s="1"/>
  <c r="M1539" i="18"/>
  <c r="T1539" i="18" s="1"/>
  <c r="C1539" i="18"/>
  <c r="D1539" i="18" s="1"/>
  <c r="X1538" i="18"/>
  <c r="V1538" i="18"/>
  <c r="U1538" i="18"/>
  <c r="S1538" i="18"/>
  <c r="P1538" i="18"/>
  <c r="W1538" i="18" s="1"/>
  <c r="M1538" i="18"/>
  <c r="T1538" i="18" s="1"/>
  <c r="C1538" i="18"/>
  <c r="D1538" i="18" s="1"/>
  <c r="X1537" i="18"/>
  <c r="V1537" i="18"/>
  <c r="U1537" i="18"/>
  <c r="S1537" i="18"/>
  <c r="P1537" i="18"/>
  <c r="W1537" i="18" s="1"/>
  <c r="M1537" i="18"/>
  <c r="T1537" i="18" s="1"/>
  <c r="C1537" i="18"/>
  <c r="D1537" i="18" s="1"/>
  <c r="X1536" i="18"/>
  <c r="V1536" i="18"/>
  <c r="U1536" i="18"/>
  <c r="S1536" i="18"/>
  <c r="P1536" i="18"/>
  <c r="W1536" i="18" s="1"/>
  <c r="M1536" i="18"/>
  <c r="T1536" i="18" s="1"/>
  <c r="C1536" i="18"/>
  <c r="D1536" i="18" s="1"/>
  <c r="X1535" i="18"/>
  <c r="V1535" i="18"/>
  <c r="U1535" i="18"/>
  <c r="S1535" i="18"/>
  <c r="P1535" i="18"/>
  <c r="W1535" i="18" s="1"/>
  <c r="M1535" i="18"/>
  <c r="T1535" i="18" s="1"/>
  <c r="C1535" i="18"/>
  <c r="D1535" i="18" s="1"/>
  <c r="X1534" i="18"/>
  <c r="V1534" i="18"/>
  <c r="U1534" i="18"/>
  <c r="T1534" i="18"/>
  <c r="S1534" i="18"/>
  <c r="P1534" i="18"/>
  <c r="W1534" i="18" s="1"/>
  <c r="M1534" i="18"/>
  <c r="C1534" i="18"/>
  <c r="D1534" i="18" s="1"/>
  <c r="X1533" i="18"/>
  <c r="V1533" i="18"/>
  <c r="U1533" i="18"/>
  <c r="S1533" i="18"/>
  <c r="P1533" i="18"/>
  <c r="W1533" i="18" s="1"/>
  <c r="M1533" i="18"/>
  <c r="T1533" i="18" s="1"/>
  <c r="C1533" i="18"/>
  <c r="D1533" i="18" s="1"/>
  <c r="X1532" i="18"/>
  <c r="V1532" i="18"/>
  <c r="U1532" i="18"/>
  <c r="S1532" i="18"/>
  <c r="P1532" i="18"/>
  <c r="W1532" i="18" s="1"/>
  <c r="M1532" i="18"/>
  <c r="T1532" i="18" s="1"/>
  <c r="C1532" i="18"/>
  <c r="D1532" i="18" s="1"/>
  <c r="X1531" i="18"/>
  <c r="V1531" i="18"/>
  <c r="U1531" i="18"/>
  <c r="S1531" i="18"/>
  <c r="P1531" i="18"/>
  <c r="W1531" i="18" s="1"/>
  <c r="M1531" i="18"/>
  <c r="T1531" i="18" s="1"/>
  <c r="C1531" i="18"/>
  <c r="D1531" i="18" s="1"/>
  <c r="X1530" i="18"/>
  <c r="V1530" i="18"/>
  <c r="U1530" i="18"/>
  <c r="S1530" i="18"/>
  <c r="P1530" i="18"/>
  <c r="W1530" i="18" s="1"/>
  <c r="M1530" i="18"/>
  <c r="T1530" i="18" s="1"/>
  <c r="C1530" i="18"/>
  <c r="D1530" i="18" s="1"/>
  <c r="X1529" i="18"/>
  <c r="V1529" i="18"/>
  <c r="U1529" i="18"/>
  <c r="S1529" i="18"/>
  <c r="P1529" i="18"/>
  <c r="W1529" i="18" s="1"/>
  <c r="M1529" i="18"/>
  <c r="T1529" i="18" s="1"/>
  <c r="C1529" i="18"/>
  <c r="D1529" i="18" s="1"/>
  <c r="X1528" i="18"/>
  <c r="V1528" i="18"/>
  <c r="U1528" i="18"/>
  <c r="T1528" i="18"/>
  <c r="S1528" i="18"/>
  <c r="P1528" i="18"/>
  <c r="W1528" i="18" s="1"/>
  <c r="M1528" i="18"/>
  <c r="D1528" i="18"/>
  <c r="C1528" i="18"/>
  <c r="X1527" i="18"/>
  <c r="V1527" i="18"/>
  <c r="U1527" i="18"/>
  <c r="S1527" i="18"/>
  <c r="P1527" i="18"/>
  <c r="W1527" i="18" s="1"/>
  <c r="M1527" i="18"/>
  <c r="T1527" i="18" s="1"/>
  <c r="C1527" i="18"/>
  <c r="D1527" i="18" s="1"/>
  <c r="X1526" i="18"/>
  <c r="V1526" i="18"/>
  <c r="U1526" i="18"/>
  <c r="S1526" i="18"/>
  <c r="P1526" i="18"/>
  <c r="W1526" i="18" s="1"/>
  <c r="M1526" i="18"/>
  <c r="T1526" i="18" s="1"/>
  <c r="C1526" i="18"/>
  <c r="D1526" i="18" s="1"/>
  <c r="X1525" i="18"/>
  <c r="V1525" i="18"/>
  <c r="U1525" i="18"/>
  <c r="S1525" i="18"/>
  <c r="P1525" i="18"/>
  <c r="W1525" i="18" s="1"/>
  <c r="M1525" i="18"/>
  <c r="T1525" i="18" s="1"/>
  <c r="C1525" i="18"/>
  <c r="D1525" i="18" s="1"/>
  <c r="X1524" i="18"/>
  <c r="V1524" i="18"/>
  <c r="U1524" i="18"/>
  <c r="S1524" i="18"/>
  <c r="P1524" i="18"/>
  <c r="W1524" i="18" s="1"/>
  <c r="M1524" i="18"/>
  <c r="T1524" i="18" s="1"/>
  <c r="D1524" i="18"/>
  <c r="C1524" i="18"/>
  <c r="X1523" i="18"/>
  <c r="V1523" i="18"/>
  <c r="U1523" i="18"/>
  <c r="S1523" i="18"/>
  <c r="P1523" i="18"/>
  <c r="W1523" i="18" s="1"/>
  <c r="M1523" i="18"/>
  <c r="T1523" i="18" s="1"/>
  <c r="C1523" i="18"/>
  <c r="D1523" i="18" s="1"/>
  <c r="X1522" i="18"/>
  <c r="V1522" i="18"/>
  <c r="U1522" i="18"/>
  <c r="S1522" i="18"/>
  <c r="P1522" i="18"/>
  <c r="W1522" i="18" s="1"/>
  <c r="M1522" i="18"/>
  <c r="T1522" i="18" s="1"/>
  <c r="C1522" i="18"/>
  <c r="D1522" i="18" s="1"/>
  <c r="X1521" i="18"/>
  <c r="V1521" i="18"/>
  <c r="U1521" i="18"/>
  <c r="S1521" i="18"/>
  <c r="P1521" i="18"/>
  <c r="W1521" i="18" s="1"/>
  <c r="M1521" i="18"/>
  <c r="T1521" i="18" s="1"/>
  <c r="C1521" i="18"/>
  <c r="D1521" i="18" s="1"/>
  <c r="X1520" i="18"/>
  <c r="V1520" i="18"/>
  <c r="U1520" i="18"/>
  <c r="S1520" i="18"/>
  <c r="P1520" i="18"/>
  <c r="W1520" i="18" s="1"/>
  <c r="M1520" i="18"/>
  <c r="T1520" i="18" s="1"/>
  <c r="C1520" i="18"/>
  <c r="D1520" i="18" s="1"/>
  <c r="X1519" i="18"/>
  <c r="V1519" i="18"/>
  <c r="U1519" i="18"/>
  <c r="S1519" i="18"/>
  <c r="P1519" i="18"/>
  <c r="W1519" i="18" s="1"/>
  <c r="M1519" i="18"/>
  <c r="T1519" i="18" s="1"/>
  <c r="C1519" i="18"/>
  <c r="D1519" i="18" s="1"/>
  <c r="X1518" i="18"/>
  <c r="V1518" i="18"/>
  <c r="U1518" i="18"/>
  <c r="T1518" i="18"/>
  <c r="S1518" i="18"/>
  <c r="P1518" i="18"/>
  <c r="W1518" i="18" s="1"/>
  <c r="M1518" i="18"/>
  <c r="C1518" i="18"/>
  <c r="D1518" i="18" s="1"/>
  <c r="X1517" i="18"/>
  <c r="V1517" i="18"/>
  <c r="U1517" i="18"/>
  <c r="S1517" i="18"/>
  <c r="P1517" i="18"/>
  <c r="W1517" i="18" s="1"/>
  <c r="M1517" i="18"/>
  <c r="T1517" i="18" s="1"/>
  <c r="C1517" i="18"/>
  <c r="D1517" i="18" s="1"/>
  <c r="X1516" i="18"/>
  <c r="V1516" i="18"/>
  <c r="U1516" i="18"/>
  <c r="S1516" i="18"/>
  <c r="P1516" i="18"/>
  <c r="W1516" i="18" s="1"/>
  <c r="M1516" i="18"/>
  <c r="T1516" i="18" s="1"/>
  <c r="C1516" i="18"/>
  <c r="D1516" i="18" s="1"/>
  <c r="X1515" i="18"/>
  <c r="V1515" i="18"/>
  <c r="U1515" i="18"/>
  <c r="S1515" i="18"/>
  <c r="P1515" i="18"/>
  <c r="W1515" i="18" s="1"/>
  <c r="M1515" i="18"/>
  <c r="T1515" i="18" s="1"/>
  <c r="C1515" i="18"/>
  <c r="D1515" i="18" s="1"/>
  <c r="X1514" i="18"/>
  <c r="V1514" i="18"/>
  <c r="U1514" i="18"/>
  <c r="S1514" i="18"/>
  <c r="P1514" i="18"/>
  <c r="W1514" i="18" s="1"/>
  <c r="M1514" i="18"/>
  <c r="T1514" i="18" s="1"/>
  <c r="C1514" i="18"/>
  <c r="D1514" i="18" s="1"/>
  <c r="X1513" i="18"/>
  <c r="V1513" i="18"/>
  <c r="U1513" i="18"/>
  <c r="S1513" i="18"/>
  <c r="P1513" i="18"/>
  <c r="W1513" i="18" s="1"/>
  <c r="M1513" i="18"/>
  <c r="T1513" i="18" s="1"/>
  <c r="C1513" i="18"/>
  <c r="D1513" i="18" s="1"/>
  <c r="X1512" i="18"/>
  <c r="V1512" i="18"/>
  <c r="U1512" i="18"/>
  <c r="T1512" i="18"/>
  <c r="S1512" i="18"/>
  <c r="P1512" i="18"/>
  <c r="W1512" i="18" s="1"/>
  <c r="M1512" i="18"/>
  <c r="D1512" i="18"/>
  <c r="C1512" i="18"/>
  <c r="X1511" i="18"/>
  <c r="V1511" i="18"/>
  <c r="U1511" i="18"/>
  <c r="S1511" i="18"/>
  <c r="P1511" i="18"/>
  <c r="W1511" i="18" s="1"/>
  <c r="M1511" i="18"/>
  <c r="T1511" i="18" s="1"/>
  <c r="C1511" i="18"/>
  <c r="D1511" i="18" s="1"/>
  <c r="X1510" i="18"/>
  <c r="V1510" i="18"/>
  <c r="U1510" i="18"/>
  <c r="S1510" i="18"/>
  <c r="P1510" i="18"/>
  <c r="W1510" i="18" s="1"/>
  <c r="M1510" i="18"/>
  <c r="T1510" i="18" s="1"/>
  <c r="C1510" i="18"/>
  <c r="D1510" i="18" s="1"/>
  <c r="X1509" i="18"/>
  <c r="V1509" i="18"/>
  <c r="U1509" i="18"/>
  <c r="S1509" i="18"/>
  <c r="P1509" i="18"/>
  <c r="W1509" i="18" s="1"/>
  <c r="M1509" i="18"/>
  <c r="T1509" i="18" s="1"/>
  <c r="C1509" i="18"/>
  <c r="D1509" i="18" s="1"/>
  <c r="X1508" i="18"/>
  <c r="V1508" i="18"/>
  <c r="U1508" i="18"/>
  <c r="S1508" i="18"/>
  <c r="P1508" i="18"/>
  <c r="W1508" i="18" s="1"/>
  <c r="M1508" i="18"/>
  <c r="T1508" i="18" s="1"/>
  <c r="D1508" i="18"/>
  <c r="C1508" i="18"/>
  <c r="X1507" i="18"/>
  <c r="V1507" i="18"/>
  <c r="U1507" i="18"/>
  <c r="S1507" i="18"/>
  <c r="P1507" i="18"/>
  <c r="W1507" i="18" s="1"/>
  <c r="M1507" i="18"/>
  <c r="T1507" i="18" s="1"/>
  <c r="C1507" i="18"/>
  <c r="D1507" i="18" s="1"/>
  <c r="X1506" i="18"/>
  <c r="V1506" i="18"/>
  <c r="U1506" i="18"/>
  <c r="S1506" i="18"/>
  <c r="P1506" i="18"/>
  <c r="W1506" i="18" s="1"/>
  <c r="M1506" i="18"/>
  <c r="T1506" i="18" s="1"/>
  <c r="C1506" i="18"/>
  <c r="D1506" i="18" s="1"/>
  <c r="X1505" i="18"/>
  <c r="V1505" i="18"/>
  <c r="U1505" i="18"/>
  <c r="S1505" i="18"/>
  <c r="P1505" i="18"/>
  <c r="W1505" i="18" s="1"/>
  <c r="M1505" i="18"/>
  <c r="T1505" i="18" s="1"/>
  <c r="C1505" i="18"/>
  <c r="D1505" i="18" s="1"/>
  <c r="X1504" i="18"/>
  <c r="V1504" i="18"/>
  <c r="U1504" i="18"/>
  <c r="S1504" i="18"/>
  <c r="P1504" i="18"/>
  <c r="W1504" i="18" s="1"/>
  <c r="M1504" i="18"/>
  <c r="T1504" i="18" s="1"/>
  <c r="C1504" i="18"/>
  <c r="D1504" i="18" s="1"/>
  <c r="X1503" i="18"/>
  <c r="V1503" i="18"/>
  <c r="U1503" i="18"/>
  <c r="S1503" i="18"/>
  <c r="P1503" i="18"/>
  <c r="W1503" i="18" s="1"/>
  <c r="M1503" i="18"/>
  <c r="T1503" i="18" s="1"/>
  <c r="C1503" i="18"/>
  <c r="D1503" i="18" s="1"/>
  <c r="X1502" i="18"/>
  <c r="V1502" i="18"/>
  <c r="U1502" i="18"/>
  <c r="S1502" i="18"/>
  <c r="P1502" i="18"/>
  <c r="W1502" i="18" s="1"/>
  <c r="M1502" i="18"/>
  <c r="T1502" i="18" s="1"/>
  <c r="C1502" i="18"/>
  <c r="D1502" i="18" s="1"/>
  <c r="X1501" i="18"/>
  <c r="V1501" i="18"/>
  <c r="U1501" i="18"/>
  <c r="S1501" i="18"/>
  <c r="P1501" i="18"/>
  <c r="W1501" i="18" s="1"/>
  <c r="M1501" i="18"/>
  <c r="T1501" i="18" s="1"/>
  <c r="C1501" i="18"/>
  <c r="D1501" i="18" s="1"/>
  <c r="X1500" i="18"/>
  <c r="V1500" i="18"/>
  <c r="U1500" i="18"/>
  <c r="S1500" i="18"/>
  <c r="P1500" i="18"/>
  <c r="W1500" i="18" s="1"/>
  <c r="M1500" i="18"/>
  <c r="T1500" i="18" s="1"/>
  <c r="C1500" i="18"/>
  <c r="D1500" i="18" s="1"/>
  <c r="X1499" i="18"/>
  <c r="V1499" i="18"/>
  <c r="U1499" i="18"/>
  <c r="S1499" i="18"/>
  <c r="P1499" i="18"/>
  <c r="W1499" i="18" s="1"/>
  <c r="M1499" i="18"/>
  <c r="T1499" i="18" s="1"/>
  <c r="C1499" i="18"/>
  <c r="D1499" i="18" s="1"/>
  <c r="X1498" i="18"/>
  <c r="V1498" i="18"/>
  <c r="U1498" i="18"/>
  <c r="S1498" i="18"/>
  <c r="P1498" i="18"/>
  <c r="W1498" i="18" s="1"/>
  <c r="M1498" i="18"/>
  <c r="T1498" i="18" s="1"/>
  <c r="C1498" i="18"/>
  <c r="D1498" i="18" s="1"/>
  <c r="X1497" i="18"/>
  <c r="V1497" i="18"/>
  <c r="U1497" i="18"/>
  <c r="S1497" i="18"/>
  <c r="P1497" i="18"/>
  <c r="W1497" i="18" s="1"/>
  <c r="M1497" i="18"/>
  <c r="T1497" i="18" s="1"/>
  <c r="C1497" i="18"/>
  <c r="D1497" i="18" s="1"/>
  <c r="X1496" i="18"/>
  <c r="V1496" i="18"/>
  <c r="U1496" i="18"/>
  <c r="S1496" i="18"/>
  <c r="P1496" i="18"/>
  <c r="W1496" i="18" s="1"/>
  <c r="M1496" i="18"/>
  <c r="T1496" i="18" s="1"/>
  <c r="D1496" i="18"/>
  <c r="C1496" i="18"/>
  <c r="X1495" i="18"/>
  <c r="V1495" i="18"/>
  <c r="U1495" i="18"/>
  <c r="S1495" i="18"/>
  <c r="P1495" i="18"/>
  <c r="W1495" i="18" s="1"/>
  <c r="M1495" i="18"/>
  <c r="T1495" i="18" s="1"/>
  <c r="C1495" i="18"/>
  <c r="D1495" i="18" s="1"/>
  <c r="X1494" i="18"/>
  <c r="V1494" i="18"/>
  <c r="U1494" i="18"/>
  <c r="S1494" i="18"/>
  <c r="P1494" i="18"/>
  <c r="W1494" i="18" s="1"/>
  <c r="M1494" i="18"/>
  <c r="T1494" i="18" s="1"/>
  <c r="C1494" i="18"/>
  <c r="D1494" i="18" s="1"/>
  <c r="X1493" i="18"/>
  <c r="V1493" i="18"/>
  <c r="U1493" i="18"/>
  <c r="S1493" i="18"/>
  <c r="P1493" i="18"/>
  <c r="W1493" i="18" s="1"/>
  <c r="M1493" i="18"/>
  <c r="T1493" i="18" s="1"/>
  <c r="C1493" i="18"/>
  <c r="D1493" i="18" s="1"/>
  <c r="X1492" i="18"/>
  <c r="V1492" i="18"/>
  <c r="U1492" i="18"/>
  <c r="T1492" i="18"/>
  <c r="S1492" i="18"/>
  <c r="P1492" i="18"/>
  <c r="W1492" i="18" s="1"/>
  <c r="M1492" i="18"/>
  <c r="D1492" i="18"/>
  <c r="C1492" i="18"/>
  <c r="X1491" i="18"/>
  <c r="V1491" i="18"/>
  <c r="U1491" i="18"/>
  <c r="S1491" i="18"/>
  <c r="P1491" i="18"/>
  <c r="W1491" i="18" s="1"/>
  <c r="M1491" i="18"/>
  <c r="T1491" i="18" s="1"/>
  <c r="C1491" i="18"/>
  <c r="D1491" i="18" s="1"/>
  <c r="X1490" i="18"/>
  <c r="V1490" i="18"/>
  <c r="U1490" i="18"/>
  <c r="S1490" i="18"/>
  <c r="P1490" i="18"/>
  <c r="W1490" i="18" s="1"/>
  <c r="M1490" i="18"/>
  <c r="T1490" i="18" s="1"/>
  <c r="C1490" i="18"/>
  <c r="D1490" i="18" s="1"/>
  <c r="X1489" i="18"/>
  <c r="V1489" i="18"/>
  <c r="U1489" i="18"/>
  <c r="S1489" i="18"/>
  <c r="P1489" i="18"/>
  <c r="W1489" i="18" s="1"/>
  <c r="M1489" i="18"/>
  <c r="T1489" i="18" s="1"/>
  <c r="C1489" i="18"/>
  <c r="D1489" i="18" s="1"/>
  <c r="X1488" i="18"/>
  <c r="V1488" i="18"/>
  <c r="U1488" i="18"/>
  <c r="T1488" i="18"/>
  <c r="S1488" i="18"/>
  <c r="P1488" i="18"/>
  <c r="W1488" i="18" s="1"/>
  <c r="M1488" i="18"/>
  <c r="D1488" i="18"/>
  <c r="C1488" i="18"/>
  <c r="X1487" i="18"/>
  <c r="V1487" i="18"/>
  <c r="U1487" i="18"/>
  <c r="S1487" i="18"/>
  <c r="P1487" i="18"/>
  <c r="W1487" i="18" s="1"/>
  <c r="M1487" i="18"/>
  <c r="T1487" i="18" s="1"/>
  <c r="C1487" i="18"/>
  <c r="D1487" i="18" s="1"/>
  <c r="X1486" i="18"/>
  <c r="V1486" i="18"/>
  <c r="U1486" i="18"/>
  <c r="S1486" i="18"/>
  <c r="P1486" i="18"/>
  <c r="W1486" i="18" s="1"/>
  <c r="M1486" i="18"/>
  <c r="T1486" i="18" s="1"/>
  <c r="C1486" i="18"/>
  <c r="D1486" i="18" s="1"/>
  <c r="X1485" i="18"/>
  <c r="V1485" i="18"/>
  <c r="U1485" i="18"/>
  <c r="S1485" i="18"/>
  <c r="P1485" i="18"/>
  <c r="W1485" i="18" s="1"/>
  <c r="M1485" i="18"/>
  <c r="T1485" i="18" s="1"/>
  <c r="C1485" i="18"/>
  <c r="D1485" i="18" s="1"/>
  <c r="X1484" i="18"/>
  <c r="V1484" i="18"/>
  <c r="U1484" i="18"/>
  <c r="T1484" i="18"/>
  <c r="S1484" i="18"/>
  <c r="P1484" i="18"/>
  <c r="W1484" i="18" s="1"/>
  <c r="M1484" i="18"/>
  <c r="D1484" i="18"/>
  <c r="C1484" i="18"/>
  <c r="X1483" i="18"/>
  <c r="V1483" i="18"/>
  <c r="U1483" i="18"/>
  <c r="S1483" i="18"/>
  <c r="P1483" i="18"/>
  <c r="W1483" i="18" s="1"/>
  <c r="M1483" i="18"/>
  <c r="T1483" i="18" s="1"/>
  <c r="C1483" i="18"/>
  <c r="D1483" i="18" s="1"/>
  <c r="X1482" i="18"/>
  <c r="V1482" i="18"/>
  <c r="U1482" i="18"/>
  <c r="S1482" i="18"/>
  <c r="P1482" i="18"/>
  <c r="W1482" i="18" s="1"/>
  <c r="M1482" i="18"/>
  <c r="T1482" i="18" s="1"/>
  <c r="C1482" i="18"/>
  <c r="D1482" i="18" s="1"/>
  <c r="X1481" i="18"/>
  <c r="V1481" i="18"/>
  <c r="U1481" i="18"/>
  <c r="S1481" i="18"/>
  <c r="P1481" i="18"/>
  <c r="W1481" i="18" s="1"/>
  <c r="M1481" i="18"/>
  <c r="T1481" i="18" s="1"/>
  <c r="C1481" i="18"/>
  <c r="D1481" i="18" s="1"/>
  <c r="X1480" i="18"/>
  <c r="V1480" i="18"/>
  <c r="U1480" i="18"/>
  <c r="S1480" i="18"/>
  <c r="P1480" i="18"/>
  <c r="W1480" i="18" s="1"/>
  <c r="M1480" i="18"/>
  <c r="T1480" i="18" s="1"/>
  <c r="C1480" i="18"/>
  <c r="D1480" i="18" s="1"/>
  <c r="X1479" i="18"/>
  <c r="V1479" i="18"/>
  <c r="U1479" i="18"/>
  <c r="S1479" i="18"/>
  <c r="P1479" i="18"/>
  <c r="W1479" i="18" s="1"/>
  <c r="M1479" i="18"/>
  <c r="T1479" i="18" s="1"/>
  <c r="C1479" i="18"/>
  <c r="D1479" i="18" s="1"/>
  <c r="X1478" i="18"/>
  <c r="V1478" i="18"/>
  <c r="U1478" i="18"/>
  <c r="S1478" i="18"/>
  <c r="P1478" i="18"/>
  <c r="W1478" i="18" s="1"/>
  <c r="M1478" i="18"/>
  <c r="T1478" i="18" s="1"/>
  <c r="C1478" i="18"/>
  <c r="D1478" i="18" s="1"/>
  <c r="X1477" i="18"/>
  <c r="V1477" i="18"/>
  <c r="U1477" i="18"/>
  <c r="S1477" i="18"/>
  <c r="P1477" i="18"/>
  <c r="W1477" i="18" s="1"/>
  <c r="M1477" i="18"/>
  <c r="T1477" i="18" s="1"/>
  <c r="C1477" i="18"/>
  <c r="D1477" i="18" s="1"/>
  <c r="X1476" i="18"/>
  <c r="V1476" i="18"/>
  <c r="U1476" i="18"/>
  <c r="S1476" i="18"/>
  <c r="P1476" i="18"/>
  <c r="W1476" i="18" s="1"/>
  <c r="M1476" i="18"/>
  <c r="T1476" i="18" s="1"/>
  <c r="C1476" i="18"/>
  <c r="D1476" i="18" s="1"/>
  <c r="X1475" i="18"/>
  <c r="V1475" i="18"/>
  <c r="U1475" i="18"/>
  <c r="S1475" i="18"/>
  <c r="P1475" i="18"/>
  <c r="W1475" i="18" s="1"/>
  <c r="M1475" i="18"/>
  <c r="T1475" i="18" s="1"/>
  <c r="C1475" i="18"/>
  <c r="D1475" i="18" s="1"/>
  <c r="X1474" i="18"/>
  <c r="V1474" i="18"/>
  <c r="U1474" i="18"/>
  <c r="S1474" i="18"/>
  <c r="P1474" i="18"/>
  <c r="W1474" i="18" s="1"/>
  <c r="M1474" i="18"/>
  <c r="T1474" i="18" s="1"/>
  <c r="C1474" i="18"/>
  <c r="D1474" i="18" s="1"/>
  <c r="X1473" i="18"/>
  <c r="V1473" i="18"/>
  <c r="U1473" i="18"/>
  <c r="S1473" i="18"/>
  <c r="P1473" i="18"/>
  <c r="W1473" i="18" s="1"/>
  <c r="M1473" i="18"/>
  <c r="T1473" i="18" s="1"/>
  <c r="C1473" i="18"/>
  <c r="D1473" i="18" s="1"/>
  <c r="X1472" i="18"/>
  <c r="V1472" i="18"/>
  <c r="U1472" i="18"/>
  <c r="S1472" i="18"/>
  <c r="P1472" i="18"/>
  <c r="W1472" i="18" s="1"/>
  <c r="M1472" i="18"/>
  <c r="T1472" i="18" s="1"/>
  <c r="C1472" i="18"/>
  <c r="D1472" i="18" s="1"/>
  <c r="X1471" i="18"/>
  <c r="V1471" i="18"/>
  <c r="U1471" i="18"/>
  <c r="S1471" i="18"/>
  <c r="P1471" i="18"/>
  <c r="W1471" i="18" s="1"/>
  <c r="M1471" i="18"/>
  <c r="T1471" i="18" s="1"/>
  <c r="C1471" i="18"/>
  <c r="D1471" i="18" s="1"/>
  <c r="X1470" i="18"/>
  <c r="V1470" i="18"/>
  <c r="U1470" i="18"/>
  <c r="S1470" i="18"/>
  <c r="P1470" i="18"/>
  <c r="W1470" i="18" s="1"/>
  <c r="M1470" i="18"/>
  <c r="T1470" i="18" s="1"/>
  <c r="C1470" i="18"/>
  <c r="D1470" i="18" s="1"/>
  <c r="X1469" i="18"/>
  <c r="V1469" i="18"/>
  <c r="U1469" i="18"/>
  <c r="S1469" i="18"/>
  <c r="P1469" i="18"/>
  <c r="W1469" i="18" s="1"/>
  <c r="M1469" i="18"/>
  <c r="T1469" i="18" s="1"/>
  <c r="C1469" i="18"/>
  <c r="D1469" i="18" s="1"/>
  <c r="X1468" i="18"/>
  <c r="V1468" i="18"/>
  <c r="U1468" i="18"/>
  <c r="S1468" i="18"/>
  <c r="P1468" i="18"/>
  <c r="W1468" i="18" s="1"/>
  <c r="M1468" i="18"/>
  <c r="T1468" i="18" s="1"/>
  <c r="C1468" i="18"/>
  <c r="D1468" i="18" s="1"/>
  <c r="X1467" i="18"/>
  <c r="V1467" i="18"/>
  <c r="U1467" i="18"/>
  <c r="S1467" i="18"/>
  <c r="P1467" i="18"/>
  <c r="W1467" i="18" s="1"/>
  <c r="M1467" i="18"/>
  <c r="T1467" i="18" s="1"/>
  <c r="C1467" i="18"/>
  <c r="D1467" i="18" s="1"/>
  <c r="X1466" i="18"/>
  <c r="V1466" i="18"/>
  <c r="U1466" i="18"/>
  <c r="S1466" i="18"/>
  <c r="P1466" i="18"/>
  <c r="W1466" i="18" s="1"/>
  <c r="M1466" i="18"/>
  <c r="T1466" i="18" s="1"/>
  <c r="C1466" i="18"/>
  <c r="D1466" i="18" s="1"/>
  <c r="X1465" i="18"/>
  <c r="V1465" i="18"/>
  <c r="U1465" i="18"/>
  <c r="S1465" i="18"/>
  <c r="P1465" i="18"/>
  <c r="W1465" i="18" s="1"/>
  <c r="M1465" i="18"/>
  <c r="T1465" i="18" s="1"/>
  <c r="C1465" i="18"/>
  <c r="D1465" i="18" s="1"/>
  <c r="X1464" i="18"/>
  <c r="V1464" i="18"/>
  <c r="U1464" i="18"/>
  <c r="S1464" i="18"/>
  <c r="P1464" i="18"/>
  <c r="W1464" i="18" s="1"/>
  <c r="M1464" i="18"/>
  <c r="T1464" i="18" s="1"/>
  <c r="C1464" i="18"/>
  <c r="D1464" i="18" s="1"/>
  <c r="X1463" i="18"/>
  <c r="V1463" i="18"/>
  <c r="U1463" i="18"/>
  <c r="S1463" i="18"/>
  <c r="P1463" i="18"/>
  <c r="W1463" i="18" s="1"/>
  <c r="M1463" i="18"/>
  <c r="T1463" i="18" s="1"/>
  <c r="C1463" i="18"/>
  <c r="D1463" i="18" s="1"/>
  <c r="X1462" i="18"/>
  <c r="V1462" i="18"/>
  <c r="U1462" i="18"/>
  <c r="S1462" i="18"/>
  <c r="P1462" i="18"/>
  <c r="W1462" i="18" s="1"/>
  <c r="M1462" i="18"/>
  <c r="T1462" i="18" s="1"/>
  <c r="C1462" i="18"/>
  <c r="D1462" i="18" s="1"/>
  <c r="X1461" i="18"/>
  <c r="V1461" i="18"/>
  <c r="U1461" i="18"/>
  <c r="T1461" i="18"/>
  <c r="S1461" i="18"/>
  <c r="P1461" i="18"/>
  <c r="W1461" i="18" s="1"/>
  <c r="M1461" i="18"/>
  <c r="D1461" i="18"/>
  <c r="C1461" i="18"/>
  <c r="X1460" i="18"/>
  <c r="V1460" i="18"/>
  <c r="U1460" i="18"/>
  <c r="S1460" i="18"/>
  <c r="P1460" i="18"/>
  <c r="W1460" i="18" s="1"/>
  <c r="M1460" i="18"/>
  <c r="T1460" i="18" s="1"/>
  <c r="D1460" i="18"/>
  <c r="C1460" i="18"/>
  <c r="X1459" i="18"/>
  <c r="V1459" i="18"/>
  <c r="U1459" i="18"/>
  <c r="S1459" i="18"/>
  <c r="P1459" i="18"/>
  <c r="W1459" i="18" s="1"/>
  <c r="M1459" i="18"/>
  <c r="T1459" i="18" s="1"/>
  <c r="C1459" i="18"/>
  <c r="D1459" i="18" s="1"/>
  <c r="X1458" i="18"/>
  <c r="V1458" i="18"/>
  <c r="U1458" i="18"/>
  <c r="S1458" i="18"/>
  <c r="P1458" i="18"/>
  <c r="W1458" i="18" s="1"/>
  <c r="M1458" i="18"/>
  <c r="T1458" i="18" s="1"/>
  <c r="C1458" i="18"/>
  <c r="D1458" i="18" s="1"/>
  <c r="X1457" i="18"/>
  <c r="V1457" i="18"/>
  <c r="U1457" i="18"/>
  <c r="S1457" i="18"/>
  <c r="P1457" i="18"/>
  <c r="W1457" i="18" s="1"/>
  <c r="M1457" i="18"/>
  <c r="T1457" i="18" s="1"/>
  <c r="C1457" i="18"/>
  <c r="D1457" i="18" s="1"/>
  <c r="X1456" i="18"/>
  <c r="V1456" i="18"/>
  <c r="U1456" i="18"/>
  <c r="S1456" i="18"/>
  <c r="P1456" i="18"/>
  <c r="W1456" i="18" s="1"/>
  <c r="M1456" i="18"/>
  <c r="T1456" i="18" s="1"/>
  <c r="C1456" i="18"/>
  <c r="D1456" i="18" s="1"/>
  <c r="X1455" i="18"/>
  <c r="V1455" i="18"/>
  <c r="U1455" i="18"/>
  <c r="S1455" i="18"/>
  <c r="P1455" i="18"/>
  <c r="W1455" i="18" s="1"/>
  <c r="M1455" i="18"/>
  <c r="T1455" i="18" s="1"/>
  <c r="C1455" i="18"/>
  <c r="D1455" i="18" s="1"/>
  <c r="X1454" i="18"/>
  <c r="V1454" i="18"/>
  <c r="U1454" i="18"/>
  <c r="S1454" i="18"/>
  <c r="P1454" i="18"/>
  <c r="W1454" i="18" s="1"/>
  <c r="M1454" i="18"/>
  <c r="T1454" i="18" s="1"/>
  <c r="D1454" i="18"/>
  <c r="C1454" i="18"/>
  <c r="X1453" i="18"/>
  <c r="V1453" i="18"/>
  <c r="U1453" i="18"/>
  <c r="S1453" i="18"/>
  <c r="P1453" i="18"/>
  <c r="W1453" i="18" s="1"/>
  <c r="M1453" i="18"/>
  <c r="T1453" i="18" s="1"/>
  <c r="C1453" i="18"/>
  <c r="D1453" i="18" s="1"/>
  <c r="X1452" i="18"/>
  <c r="V1452" i="18"/>
  <c r="U1452" i="18"/>
  <c r="S1452" i="18"/>
  <c r="P1452" i="18"/>
  <c r="W1452" i="18" s="1"/>
  <c r="M1452" i="18"/>
  <c r="T1452" i="18" s="1"/>
  <c r="C1452" i="18"/>
  <c r="D1452" i="18" s="1"/>
  <c r="X1451" i="18"/>
  <c r="V1451" i="18"/>
  <c r="U1451" i="18"/>
  <c r="T1451" i="18"/>
  <c r="S1451" i="18"/>
  <c r="P1451" i="18"/>
  <c r="W1451" i="18" s="1"/>
  <c r="M1451" i="18"/>
  <c r="C1451" i="18"/>
  <c r="D1451" i="18" s="1"/>
  <c r="X1450" i="18"/>
  <c r="V1450" i="18"/>
  <c r="U1450" i="18"/>
  <c r="S1450" i="18"/>
  <c r="P1450" i="18"/>
  <c r="W1450" i="18" s="1"/>
  <c r="M1450" i="18"/>
  <c r="T1450" i="18" s="1"/>
  <c r="C1450" i="18"/>
  <c r="D1450" i="18" s="1"/>
  <c r="X1449" i="18"/>
  <c r="V1449" i="18"/>
  <c r="U1449" i="18"/>
  <c r="S1449" i="18"/>
  <c r="P1449" i="18"/>
  <c r="W1449" i="18" s="1"/>
  <c r="M1449" i="18"/>
  <c r="T1449" i="18" s="1"/>
  <c r="C1449" i="18"/>
  <c r="D1449" i="18" s="1"/>
  <c r="X1448" i="18"/>
  <c r="V1448" i="18"/>
  <c r="U1448" i="18"/>
  <c r="S1448" i="18"/>
  <c r="P1448" i="18"/>
  <c r="W1448" i="18" s="1"/>
  <c r="M1448" i="18"/>
  <c r="T1448" i="18" s="1"/>
  <c r="C1448" i="18"/>
  <c r="D1448" i="18" s="1"/>
  <c r="X1447" i="18"/>
  <c r="V1447" i="18"/>
  <c r="U1447" i="18"/>
  <c r="S1447" i="18"/>
  <c r="P1447" i="18"/>
  <c r="W1447" i="18" s="1"/>
  <c r="M1447" i="18"/>
  <c r="T1447" i="18" s="1"/>
  <c r="C1447" i="18"/>
  <c r="D1447" i="18" s="1"/>
  <c r="X1446" i="18"/>
  <c r="V1446" i="18"/>
  <c r="U1446" i="18"/>
  <c r="S1446" i="18"/>
  <c r="P1446" i="18"/>
  <c r="W1446" i="18" s="1"/>
  <c r="M1446" i="18"/>
  <c r="T1446" i="18" s="1"/>
  <c r="C1446" i="18"/>
  <c r="D1446" i="18" s="1"/>
  <c r="X1445" i="18"/>
  <c r="V1445" i="18"/>
  <c r="U1445" i="18"/>
  <c r="T1445" i="18"/>
  <c r="S1445" i="18"/>
  <c r="P1445" i="18"/>
  <c r="W1445" i="18" s="1"/>
  <c r="M1445" i="18"/>
  <c r="D1445" i="18"/>
  <c r="C1445" i="18"/>
  <c r="X1444" i="18"/>
  <c r="V1444" i="18"/>
  <c r="U1444" i="18"/>
  <c r="S1444" i="18"/>
  <c r="P1444" i="18"/>
  <c r="W1444" i="18" s="1"/>
  <c r="M1444" i="18"/>
  <c r="T1444" i="18" s="1"/>
  <c r="D1444" i="18"/>
  <c r="C1444" i="18"/>
  <c r="X1443" i="18"/>
  <c r="V1443" i="18"/>
  <c r="U1443" i="18"/>
  <c r="S1443" i="18"/>
  <c r="P1443" i="18"/>
  <c r="W1443" i="18" s="1"/>
  <c r="M1443" i="18"/>
  <c r="T1443" i="18" s="1"/>
  <c r="C1443" i="18"/>
  <c r="D1443" i="18" s="1"/>
  <c r="X1442" i="18"/>
  <c r="V1442" i="18"/>
  <c r="U1442" i="18"/>
  <c r="S1442" i="18"/>
  <c r="P1442" i="18"/>
  <c r="W1442" i="18" s="1"/>
  <c r="M1442" i="18"/>
  <c r="T1442" i="18" s="1"/>
  <c r="C1442" i="18"/>
  <c r="D1442" i="18" s="1"/>
  <c r="X1441" i="18"/>
  <c r="V1441" i="18"/>
  <c r="U1441" i="18"/>
  <c r="S1441" i="18"/>
  <c r="P1441" i="18"/>
  <c r="W1441" i="18" s="1"/>
  <c r="M1441" i="18"/>
  <c r="T1441" i="18" s="1"/>
  <c r="C1441" i="18"/>
  <c r="D1441" i="18" s="1"/>
  <c r="X1440" i="18"/>
  <c r="V1440" i="18"/>
  <c r="U1440" i="18"/>
  <c r="S1440" i="18"/>
  <c r="P1440" i="18"/>
  <c r="W1440" i="18" s="1"/>
  <c r="M1440" i="18"/>
  <c r="T1440" i="18" s="1"/>
  <c r="C1440" i="18"/>
  <c r="D1440" i="18" s="1"/>
  <c r="X1439" i="18"/>
  <c r="V1439" i="18"/>
  <c r="U1439" i="18"/>
  <c r="S1439" i="18"/>
  <c r="P1439" i="18"/>
  <c r="W1439" i="18" s="1"/>
  <c r="M1439" i="18"/>
  <c r="T1439" i="18" s="1"/>
  <c r="C1439" i="18"/>
  <c r="D1439" i="18" s="1"/>
  <c r="X1438" i="18"/>
  <c r="V1438" i="18"/>
  <c r="U1438" i="18"/>
  <c r="S1438" i="18"/>
  <c r="P1438" i="18"/>
  <c r="W1438" i="18" s="1"/>
  <c r="M1438" i="18"/>
  <c r="T1438" i="18" s="1"/>
  <c r="D1438" i="18"/>
  <c r="C1438" i="18"/>
  <c r="X1437" i="18"/>
  <c r="V1437" i="18"/>
  <c r="U1437" i="18"/>
  <c r="S1437" i="18"/>
  <c r="P1437" i="18"/>
  <c r="W1437" i="18" s="1"/>
  <c r="M1437" i="18"/>
  <c r="T1437" i="18" s="1"/>
  <c r="C1437" i="18"/>
  <c r="D1437" i="18" s="1"/>
  <c r="X1436" i="18"/>
  <c r="V1436" i="18"/>
  <c r="U1436" i="18"/>
  <c r="S1436" i="18"/>
  <c r="P1436" i="18"/>
  <c r="W1436" i="18" s="1"/>
  <c r="M1436" i="18"/>
  <c r="T1436" i="18" s="1"/>
  <c r="C1436" i="18"/>
  <c r="D1436" i="18" s="1"/>
  <c r="X1435" i="18"/>
  <c r="V1435" i="18"/>
  <c r="U1435" i="18"/>
  <c r="T1435" i="18"/>
  <c r="S1435" i="18"/>
  <c r="P1435" i="18"/>
  <c r="W1435" i="18" s="1"/>
  <c r="M1435" i="18"/>
  <c r="C1435" i="18"/>
  <c r="D1435" i="18" s="1"/>
  <c r="X1434" i="18"/>
  <c r="V1434" i="18"/>
  <c r="U1434" i="18"/>
  <c r="S1434" i="18"/>
  <c r="P1434" i="18"/>
  <c r="W1434" i="18" s="1"/>
  <c r="M1434" i="18"/>
  <c r="T1434" i="18" s="1"/>
  <c r="C1434" i="18"/>
  <c r="D1434" i="18" s="1"/>
  <c r="X1433" i="18"/>
  <c r="V1433" i="18"/>
  <c r="U1433" i="18"/>
  <c r="S1433" i="18"/>
  <c r="P1433" i="18"/>
  <c r="W1433" i="18" s="1"/>
  <c r="M1433" i="18"/>
  <c r="T1433" i="18" s="1"/>
  <c r="C1433" i="18"/>
  <c r="D1433" i="18" s="1"/>
  <c r="X1432" i="18"/>
  <c r="V1432" i="18"/>
  <c r="U1432" i="18"/>
  <c r="S1432" i="18"/>
  <c r="P1432" i="18"/>
  <c r="W1432" i="18" s="1"/>
  <c r="M1432" i="18"/>
  <c r="T1432" i="18" s="1"/>
  <c r="C1432" i="18"/>
  <c r="D1432" i="18" s="1"/>
  <c r="X1431" i="18"/>
  <c r="V1431" i="18"/>
  <c r="U1431" i="18"/>
  <c r="S1431" i="18"/>
  <c r="P1431" i="18"/>
  <c r="W1431" i="18" s="1"/>
  <c r="M1431" i="18"/>
  <c r="T1431" i="18" s="1"/>
  <c r="C1431" i="18"/>
  <c r="D1431" i="18" s="1"/>
  <c r="X1430" i="18"/>
  <c r="V1430" i="18"/>
  <c r="U1430" i="18"/>
  <c r="S1430" i="18"/>
  <c r="P1430" i="18"/>
  <c r="W1430" i="18" s="1"/>
  <c r="M1430" i="18"/>
  <c r="T1430" i="18" s="1"/>
  <c r="C1430" i="18"/>
  <c r="D1430" i="18" s="1"/>
  <c r="X1429" i="18"/>
  <c r="V1429" i="18"/>
  <c r="U1429" i="18"/>
  <c r="T1429" i="18"/>
  <c r="S1429" i="18"/>
  <c r="P1429" i="18"/>
  <c r="W1429" i="18" s="1"/>
  <c r="M1429" i="18"/>
  <c r="D1429" i="18"/>
  <c r="C1429" i="18"/>
  <c r="X1428" i="18"/>
  <c r="V1428" i="18"/>
  <c r="U1428" i="18"/>
  <c r="S1428" i="18"/>
  <c r="P1428" i="18"/>
  <c r="W1428" i="18" s="1"/>
  <c r="M1428" i="18"/>
  <c r="T1428" i="18" s="1"/>
  <c r="D1428" i="18"/>
  <c r="C1428" i="18"/>
  <c r="X1427" i="18"/>
  <c r="V1427" i="18"/>
  <c r="U1427" i="18"/>
  <c r="S1427" i="18"/>
  <c r="P1427" i="18"/>
  <c r="W1427" i="18" s="1"/>
  <c r="M1427" i="18"/>
  <c r="T1427" i="18" s="1"/>
  <c r="C1427" i="18"/>
  <c r="D1427" i="18" s="1"/>
  <c r="X1426" i="18"/>
  <c r="V1426" i="18"/>
  <c r="U1426" i="18"/>
  <c r="S1426" i="18"/>
  <c r="P1426" i="18"/>
  <c r="W1426" i="18" s="1"/>
  <c r="M1426" i="18"/>
  <c r="T1426" i="18" s="1"/>
  <c r="C1426" i="18"/>
  <c r="D1426" i="18" s="1"/>
  <c r="X1425" i="18"/>
  <c r="V1425" i="18"/>
  <c r="U1425" i="18"/>
  <c r="S1425" i="18"/>
  <c r="P1425" i="18"/>
  <c r="W1425" i="18" s="1"/>
  <c r="M1425" i="18"/>
  <c r="T1425" i="18" s="1"/>
  <c r="C1425" i="18"/>
  <c r="D1425" i="18" s="1"/>
  <c r="X1424" i="18"/>
  <c r="V1424" i="18"/>
  <c r="U1424" i="18"/>
  <c r="S1424" i="18"/>
  <c r="P1424" i="18"/>
  <c r="W1424" i="18" s="1"/>
  <c r="M1424" i="18"/>
  <c r="T1424" i="18" s="1"/>
  <c r="C1424" i="18"/>
  <c r="D1424" i="18" s="1"/>
  <c r="X1423" i="18"/>
  <c r="V1423" i="18"/>
  <c r="U1423" i="18"/>
  <c r="S1423" i="18"/>
  <c r="P1423" i="18"/>
  <c r="W1423" i="18" s="1"/>
  <c r="M1423" i="18"/>
  <c r="T1423" i="18" s="1"/>
  <c r="C1423" i="18"/>
  <c r="D1423" i="18" s="1"/>
  <c r="X1422" i="18"/>
  <c r="V1422" i="18"/>
  <c r="U1422" i="18"/>
  <c r="S1422" i="18"/>
  <c r="P1422" i="18"/>
  <c r="W1422" i="18" s="1"/>
  <c r="M1422" i="18"/>
  <c r="T1422" i="18" s="1"/>
  <c r="D1422" i="18"/>
  <c r="C1422" i="18"/>
  <c r="X1421" i="18"/>
  <c r="V1421" i="18"/>
  <c r="U1421" i="18"/>
  <c r="S1421" i="18"/>
  <c r="P1421" i="18"/>
  <c r="W1421" i="18" s="1"/>
  <c r="M1421" i="18"/>
  <c r="T1421" i="18" s="1"/>
  <c r="C1421" i="18"/>
  <c r="D1421" i="18" s="1"/>
  <c r="X1420" i="18"/>
  <c r="V1420" i="18"/>
  <c r="U1420" i="18"/>
  <c r="S1420" i="18"/>
  <c r="P1420" i="18"/>
  <c r="W1420" i="18" s="1"/>
  <c r="M1420" i="18"/>
  <c r="T1420" i="18" s="1"/>
  <c r="C1420" i="18"/>
  <c r="D1420" i="18" s="1"/>
  <c r="X1419" i="18"/>
  <c r="V1419" i="18"/>
  <c r="U1419" i="18"/>
  <c r="T1419" i="18"/>
  <c r="S1419" i="18"/>
  <c r="P1419" i="18"/>
  <c r="W1419" i="18" s="1"/>
  <c r="M1419" i="18"/>
  <c r="C1419" i="18"/>
  <c r="D1419" i="18" s="1"/>
  <c r="X1418" i="18"/>
  <c r="V1418" i="18"/>
  <c r="U1418" i="18"/>
  <c r="S1418" i="18"/>
  <c r="P1418" i="18"/>
  <c r="W1418" i="18" s="1"/>
  <c r="M1418" i="18"/>
  <c r="T1418" i="18" s="1"/>
  <c r="C1418" i="18"/>
  <c r="D1418" i="18" s="1"/>
  <c r="X1417" i="18"/>
  <c r="V1417" i="18"/>
  <c r="U1417" i="18"/>
  <c r="S1417" i="18"/>
  <c r="P1417" i="18"/>
  <c r="W1417" i="18" s="1"/>
  <c r="M1417" i="18"/>
  <c r="T1417" i="18" s="1"/>
  <c r="C1417" i="18"/>
  <c r="D1417" i="18" s="1"/>
  <c r="X1416" i="18"/>
  <c r="V1416" i="18"/>
  <c r="U1416" i="18"/>
  <c r="S1416" i="18"/>
  <c r="P1416" i="18"/>
  <c r="W1416" i="18" s="1"/>
  <c r="M1416" i="18"/>
  <c r="T1416" i="18" s="1"/>
  <c r="C1416" i="18"/>
  <c r="D1416" i="18" s="1"/>
  <c r="X1415" i="18"/>
  <c r="V1415" i="18"/>
  <c r="U1415" i="18"/>
  <c r="S1415" i="18"/>
  <c r="P1415" i="18"/>
  <c r="W1415" i="18" s="1"/>
  <c r="M1415" i="18"/>
  <c r="T1415" i="18" s="1"/>
  <c r="C1415" i="18"/>
  <c r="D1415" i="18" s="1"/>
  <c r="X1414" i="18"/>
  <c r="V1414" i="18"/>
  <c r="U1414" i="18"/>
  <c r="S1414" i="18"/>
  <c r="P1414" i="18"/>
  <c r="W1414" i="18" s="1"/>
  <c r="M1414" i="18"/>
  <c r="T1414" i="18" s="1"/>
  <c r="C1414" i="18"/>
  <c r="D1414" i="18" s="1"/>
  <c r="X1413" i="18"/>
  <c r="V1413" i="18"/>
  <c r="U1413" i="18"/>
  <c r="T1413" i="18"/>
  <c r="S1413" i="18"/>
  <c r="P1413" i="18"/>
  <c r="W1413" i="18" s="1"/>
  <c r="M1413" i="18"/>
  <c r="D1413" i="18"/>
  <c r="C1413" i="18"/>
  <c r="X1412" i="18"/>
  <c r="V1412" i="18"/>
  <c r="U1412" i="18"/>
  <c r="S1412" i="18"/>
  <c r="P1412" i="18"/>
  <c r="W1412" i="18" s="1"/>
  <c r="M1412" i="18"/>
  <c r="T1412" i="18" s="1"/>
  <c r="D1412" i="18"/>
  <c r="C1412" i="18"/>
  <c r="X1411" i="18"/>
  <c r="V1411" i="18"/>
  <c r="U1411" i="18"/>
  <c r="S1411" i="18"/>
  <c r="P1411" i="18"/>
  <c r="W1411" i="18" s="1"/>
  <c r="M1411" i="18"/>
  <c r="T1411" i="18" s="1"/>
  <c r="C1411" i="18"/>
  <c r="D1411" i="18" s="1"/>
  <c r="X1410" i="18"/>
  <c r="V1410" i="18"/>
  <c r="U1410" i="18"/>
  <c r="S1410" i="18"/>
  <c r="P1410" i="18"/>
  <c r="W1410" i="18" s="1"/>
  <c r="M1410" i="18"/>
  <c r="T1410" i="18" s="1"/>
  <c r="C1410" i="18"/>
  <c r="D1410" i="18" s="1"/>
  <c r="X1409" i="18"/>
  <c r="V1409" i="18"/>
  <c r="U1409" i="18"/>
  <c r="S1409" i="18"/>
  <c r="P1409" i="18"/>
  <c r="W1409" i="18" s="1"/>
  <c r="M1409" i="18"/>
  <c r="T1409" i="18" s="1"/>
  <c r="D1409" i="18"/>
  <c r="C1409" i="18"/>
  <c r="X1408" i="18"/>
  <c r="V1408" i="18"/>
  <c r="U1408" i="18"/>
  <c r="S1408" i="18"/>
  <c r="P1408" i="18"/>
  <c r="W1408" i="18" s="1"/>
  <c r="M1408" i="18"/>
  <c r="T1408" i="18" s="1"/>
  <c r="D1408" i="18"/>
  <c r="C1408" i="18"/>
  <c r="X1407" i="18"/>
  <c r="V1407" i="18"/>
  <c r="U1407" i="18"/>
  <c r="S1407" i="18"/>
  <c r="P1407" i="18"/>
  <c r="W1407" i="18" s="1"/>
  <c r="M1407" i="18"/>
  <c r="T1407" i="18" s="1"/>
  <c r="C1407" i="18"/>
  <c r="D1407" i="18" s="1"/>
  <c r="X1406" i="18"/>
  <c r="V1406" i="18"/>
  <c r="U1406" i="18"/>
  <c r="S1406" i="18"/>
  <c r="P1406" i="18"/>
  <c r="W1406" i="18" s="1"/>
  <c r="M1406" i="18"/>
  <c r="T1406" i="18" s="1"/>
  <c r="C1406" i="18"/>
  <c r="D1406" i="18" s="1"/>
  <c r="X1405" i="18"/>
  <c r="V1405" i="18"/>
  <c r="U1405" i="18"/>
  <c r="T1405" i="18"/>
  <c r="S1405" i="18"/>
  <c r="P1405" i="18"/>
  <c r="W1405" i="18" s="1"/>
  <c r="M1405" i="18"/>
  <c r="D1405" i="18"/>
  <c r="C1405" i="18"/>
  <c r="X1404" i="18"/>
  <c r="V1404" i="18"/>
  <c r="U1404" i="18"/>
  <c r="S1404" i="18"/>
  <c r="P1404" i="18"/>
  <c r="W1404" i="18" s="1"/>
  <c r="M1404" i="18"/>
  <c r="T1404" i="18" s="1"/>
  <c r="D1404" i="18"/>
  <c r="C1404" i="18"/>
  <c r="X1403" i="18"/>
  <c r="V1403" i="18"/>
  <c r="U1403" i="18"/>
  <c r="S1403" i="18"/>
  <c r="P1403" i="18"/>
  <c r="W1403" i="18" s="1"/>
  <c r="M1403" i="18"/>
  <c r="T1403" i="18" s="1"/>
  <c r="C1403" i="18"/>
  <c r="D1403" i="18" s="1"/>
  <c r="X1402" i="18"/>
  <c r="V1402" i="18"/>
  <c r="U1402" i="18"/>
  <c r="S1402" i="18"/>
  <c r="P1402" i="18"/>
  <c r="W1402" i="18" s="1"/>
  <c r="M1402" i="18"/>
  <c r="T1402" i="18" s="1"/>
  <c r="C1402" i="18"/>
  <c r="D1402" i="18" s="1"/>
  <c r="X1401" i="18"/>
  <c r="V1401" i="18"/>
  <c r="U1401" i="18"/>
  <c r="S1401" i="18"/>
  <c r="P1401" i="18"/>
  <c r="W1401" i="18" s="1"/>
  <c r="M1401" i="18"/>
  <c r="T1401" i="18" s="1"/>
  <c r="C1401" i="18"/>
  <c r="D1401" i="18" s="1"/>
  <c r="X1400" i="18"/>
  <c r="V1400" i="18"/>
  <c r="U1400" i="18"/>
  <c r="S1400" i="18"/>
  <c r="P1400" i="18"/>
  <c r="W1400" i="18" s="1"/>
  <c r="M1400" i="18"/>
  <c r="T1400" i="18" s="1"/>
  <c r="C1400" i="18"/>
  <c r="D1400" i="18" s="1"/>
  <c r="X1399" i="18"/>
  <c r="V1399" i="18"/>
  <c r="U1399" i="18"/>
  <c r="S1399" i="18"/>
  <c r="P1399" i="18"/>
  <c r="W1399" i="18" s="1"/>
  <c r="M1399" i="18"/>
  <c r="T1399" i="18" s="1"/>
  <c r="C1399" i="18"/>
  <c r="D1399" i="18" s="1"/>
  <c r="X1398" i="18"/>
  <c r="V1398" i="18"/>
  <c r="U1398" i="18"/>
  <c r="S1398" i="18"/>
  <c r="P1398" i="18"/>
  <c r="W1398" i="18" s="1"/>
  <c r="M1398" i="18"/>
  <c r="T1398" i="18" s="1"/>
  <c r="D1398" i="18"/>
  <c r="C1398" i="18"/>
  <c r="X1397" i="18"/>
  <c r="V1397" i="18"/>
  <c r="U1397" i="18"/>
  <c r="S1397" i="18"/>
  <c r="P1397" i="18"/>
  <c r="W1397" i="18" s="1"/>
  <c r="M1397" i="18"/>
  <c r="T1397" i="18" s="1"/>
  <c r="C1397" i="18"/>
  <c r="D1397" i="18" s="1"/>
  <c r="X1396" i="18"/>
  <c r="V1396" i="18"/>
  <c r="U1396" i="18"/>
  <c r="S1396" i="18"/>
  <c r="P1396" i="18"/>
  <c r="W1396" i="18" s="1"/>
  <c r="M1396" i="18"/>
  <c r="T1396" i="18" s="1"/>
  <c r="C1396" i="18"/>
  <c r="D1396" i="18" s="1"/>
  <c r="X1395" i="18"/>
  <c r="V1395" i="18"/>
  <c r="U1395" i="18"/>
  <c r="T1395" i="18"/>
  <c r="S1395" i="18"/>
  <c r="P1395" i="18"/>
  <c r="W1395" i="18" s="1"/>
  <c r="M1395" i="18"/>
  <c r="C1395" i="18"/>
  <c r="D1395" i="18" s="1"/>
  <c r="X1394" i="18"/>
  <c r="V1394" i="18"/>
  <c r="U1394" i="18"/>
  <c r="S1394" i="18"/>
  <c r="P1394" i="18"/>
  <c r="W1394" i="18" s="1"/>
  <c r="M1394" i="18"/>
  <c r="T1394" i="18" s="1"/>
  <c r="C1394" i="18"/>
  <c r="D1394" i="18" s="1"/>
  <c r="X1393" i="18"/>
  <c r="V1393" i="18"/>
  <c r="U1393" i="18"/>
  <c r="S1393" i="18"/>
  <c r="P1393" i="18"/>
  <c r="W1393" i="18" s="1"/>
  <c r="M1393" i="18"/>
  <c r="T1393" i="18" s="1"/>
  <c r="C1393" i="18"/>
  <c r="D1393" i="18" s="1"/>
  <c r="X1392" i="18"/>
  <c r="V1392" i="18"/>
  <c r="U1392" i="18"/>
  <c r="S1392" i="18"/>
  <c r="P1392" i="18"/>
  <c r="W1392" i="18" s="1"/>
  <c r="M1392" i="18"/>
  <c r="T1392" i="18" s="1"/>
  <c r="C1392" i="18"/>
  <c r="D1392" i="18" s="1"/>
  <c r="X1391" i="18"/>
  <c r="V1391" i="18"/>
  <c r="U1391" i="18"/>
  <c r="S1391" i="18"/>
  <c r="P1391" i="18"/>
  <c r="W1391" i="18" s="1"/>
  <c r="M1391" i="18"/>
  <c r="T1391" i="18" s="1"/>
  <c r="C1391" i="18"/>
  <c r="D1391" i="18" s="1"/>
  <c r="X1390" i="18"/>
  <c r="V1390" i="18"/>
  <c r="U1390" i="18"/>
  <c r="S1390" i="18"/>
  <c r="P1390" i="18"/>
  <c r="W1390" i="18" s="1"/>
  <c r="M1390" i="18"/>
  <c r="T1390" i="18" s="1"/>
  <c r="C1390" i="18"/>
  <c r="D1390" i="18" s="1"/>
  <c r="X1389" i="18"/>
  <c r="V1389" i="18"/>
  <c r="U1389" i="18"/>
  <c r="T1389" i="18"/>
  <c r="S1389" i="18"/>
  <c r="P1389" i="18"/>
  <c r="W1389" i="18" s="1"/>
  <c r="M1389" i="18"/>
  <c r="D1389" i="18"/>
  <c r="C1389" i="18"/>
  <c r="X1388" i="18"/>
  <c r="V1388" i="18"/>
  <c r="U1388" i="18"/>
  <c r="S1388" i="18"/>
  <c r="P1388" i="18"/>
  <c r="W1388" i="18" s="1"/>
  <c r="M1388" i="18"/>
  <c r="T1388" i="18" s="1"/>
  <c r="D1388" i="18"/>
  <c r="C1388" i="18"/>
  <c r="X1387" i="18"/>
  <c r="V1387" i="18"/>
  <c r="U1387" i="18"/>
  <c r="S1387" i="18"/>
  <c r="P1387" i="18"/>
  <c r="W1387" i="18" s="1"/>
  <c r="M1387" i="18"/>
  <c r="T1387" i="18" s="1"/>
  <c r="C1387" i="18"/>
  <c r="D1387" i="18" s="1"/>
  <c r="X1386" i="18"/>
  <c r="V1386" i="18"/>
  <c r="U1386" i="18"/>
  <c r="S1386" i="18"/>
  <c r="P1386" i="18"/>
  <c r="W1386" i="18" s="1"/>
  <c r="M1386" i="18"/>
  <c r="T1386" i="18" s="1"/>
  <c r="C1386" i="18"/>
  <c r="D1386" i="18" s="1"/>
  <c r="X1385" i="18"/>
  <c r="V1385" i="18"/>
  <c r="U1385" i="18"/>
  <c r="S1385" i="18"/>
  <c r="P1385" i="18"/>
  <c r="W1385" i="18" s="1"/>
  <c r="M1385" i="18"/>
  <c r="T1385" i="18" s="1"/>
  <c r="C1385" i="18"/>
  <c r="D1385" i="18" s="1"/>
  <c r="X1384" i="18"/>
  <c r="V1384" i="18"/>
  <c r="U1384" i="18"/>
  <c r="S1384" i="18"/>
  <c r="P1384" i="18"/>
  <c r="W1384" i="18" s="1"/>
  <c r="M1384" i="18"/>
  <c r="T1384" i="18" s="1"/>
  <c r="C1384" i="18"/>
  <c r="D1384" i="18" s="1"/>
  <c r="X1383" i="18"/>
  <c r="V1383" i="18"/>
  <c r="U1383" i="18"/>
  <c r="S1383" i="18"/>
  <c r="P1383" i="18"/>
  <c r="W1383" i="18" s="1"/>
  <c r="M1383" i="18"/>
  <c r="T1383" i="18" s="1"/>
  <c r="C1383" i="18"/>
  <c r="D1383" i="18" s="1"/>
  <c r="X1382" i="18"/>
  <c r="V1382" i="18"/>
  <c r="U1382" i="18"/>
  <c r="S1382" i="18"/>
  <c r="P1382" i="18"/>
  <c r="W1382" i="18" s="1"/>
  <c r="M1382" i="18"/>
  <c r="T1382" i="18" s="1"/>
  <c r="C1382" i="18"/>
  <c r="D1382" i="18" s="1"/>
  <c r="X1381" i="18"/>
  <c r="V1381" i="18"/>
  <c r="U1381" i="18"/>
  <c r="T1381" i="18"/>
  <c r="S1381" i="18"/>
  <c r="P1381" i="18"/>
  <c r="W1381" i="18" s="1"/>
  <c r="M1381" i="18"/>
  <c r="D1381" i="18"/>
  <c r="C1381" i="18"/>
  <c r="X1380" i="18"/>
  <c r="V1380" i="18"/>
  <c r="U1380" i="18"/>
  <c r="S1380" i="18"/>
  <c r="P1380" i="18"/>
  <c r="W1380" i="18" s="1"/>
  <c r="M1380" i="18"/>
  <c r="T1380" i="18" s="1"/>
  <c r="C1380" i="18"/>
  <c r="D1380" i="18" s="1"/>
  <c r="X1379" i="18"/>
  <c r="V1379" i="18"/>
  <c r="U1379" i="18"/>
  <c r="S1379" i="18"/>
  <c r="P1379" i="18"/>
  <c r="W1379" i="18" s="1"/>
  <c r="M1379" i="18"/>
  <c r="T1379" i="18" s="1"/>
  <c r="C1379" i="18"/>
  <c r="D1379" i="18" s="1"/>
  <c r="X1378" i="18"/>
  <c r="V1378" i="18"/>
  <c r="U1378" i="18"/>
  <c r="S1378" i="18"/>
  <c r="P1378" i="18"/>
  <c r="W1378" i="18" s="1"/>
  <c r="M1378" i="18"/>
  <c r="T1378" i="18" s="1"/>
  <c r="C1378" i="18"/>
  <c r="D1378" i="18" s="1"/>
  <c r="X1377" i="18"/>
  <c r="V1377" i="18"/>
  <c r="U1377" i="18"/>
  <c r="S1377" i="18"/>
  <c r="P1377" i="18"/>
  <c r="W1377" i="18" s="1"/>
  <c r="M1377" i="18"/>
  <c r="T1377" i="18" s="1"/>
  <c r="C1377" i="18"/>
  <c r="D1377" i="18" s="1"/>
  <c r="X1376" i="18"/>
  <c r="V1376" i="18"/>
  <c r="U1376" i="18"/>
  <c r="S1376" i="18"/>
  <c r="P1376" i="18"/>
  <c r="W1376" i="18" s="1"/>
  <c r="M1376" i="18"/>
  <c r="T1376" i="18" s="1"/>
  <c r="C1376" i="18"/>
  <c r="D1376" i="18" s="1"/>
  <c r="X1375" i="18"/>
  <c r="V1375" i="18"/>
  <c r="U1375" i="18"/>
  <c r="T1375" i="18"/>
  <c r="S1375" i="18"/>
  <c r="P1375" i="18"/>
  <c r="W1375" i="18" s="1"/>
  <c r="M1375" i="18"/>
  <c r="C1375" i="18"/>
  <c r="D1375" i="18" s="1"/>
  <c r="X1374" i="18"/>
  <c r="V1374" i="18"/>
  <c r="U1374" i="18"/>
  <c r="S1374" i="18"/>
  <c r="P1374" i="18"/>
  <c r="W1374" i="18" s="1"/>
  <c r="M1374" i="18"/>
  <c r="T1374" i="18" s="1"/>
  <c r="C1374" i="18"/>
  <c r="D1374" i="18" s="1"/>
  <c r="X1373" i="18"/>
  <c r="V1373" i="18"/>
  <c r="U1373" i="18"/>
  <c r="S1373" i="18"/>
  <c r="P1373" i="18"/>
  <c r="W1373" i="18" s="1"/>
  <c r="M1373" i="18"/>
  <c r="T1373" i="18" s="1"/>
  <c r="C1373" i="18"/>
  <c r="D1373" i="18" s="1"/>
  <c r="X1372" i="18"/>
  <c r="V1372" i="18"/>
  <c r="U1372" i="18"/>
  <c r="S1372" i="18"/>
  <c r="P1372" i="18"/>
  <c r="W1372" i="18" s="1"/>
  <c r="M1372" i="18"/>
  <c r="T1372" i="18" s="1"/>
  <c r="C1372" i="18"/>
  <c r="D1372" i="18" s="1"/>
  <c r="X1371" i="18"/>
  <c r="V1371" i="18"/>
  <c r="U1371" i="18"/>
  <c r="S1371" i="18"/>
  <c r="P1371" i="18"/>
  <c r="W1371" i="18" s="1"/>
  <c r="M1371" i="18"/>
  <c r="T1371" i="18" s="1"/>
  <c r="C1371" i="18"/>
  <c r="D1371" i="18" s="1"/>
  <c r="X1370" i="18"/>
  <c r="V1370" i="18"/>
  <c r="U1370" i="18"/>
  <c r="S1370" i="18"/>
  <c r="P1370" i="18"/>
  <c r="W1370" i="18" s="1"/>
  <c r="M1370" i="18"/>
  <c r="T1370" i="18" s="1"/>
  <c r="C1370" i="18"/>
  <c r="D1370" i="18" s="1"/>
  <c r="X1369" i="18"/>
  <c r="V1369" i="18"/>
  <c r="U1369" i="18"/>
  <c r="S1369" i="18"/>
  <c r="P1369" i="18"/>
  <c r="W1369" i="18" s="1"/>
  <c r="M1369" i="18"/>
  <c r="T1369" i="18" s="1"/>
  <c r="C1369" i="18"/>
  <c r="D1369" i="18" s="1"/>
  <c r="X1368" i="18"/>
  <c r="V1368" i="18"/>
  <c r="U1368" i="18"/>
  <c r="S1368" i="18"/>
  <c r="P1368" i="18"/>
  <c r="W1368" i="18" s="1"/>
  <c r="M1368" i="18"/>
  <c r="T1368" i="18" s="1"/>
  <c r="C1368" i="18"/>
  <c r="D1368" i="18" s="1"/>
  <c r="X1367" i="18"/>
  <c r="V1367" i="18"/>
  <c r="U1367" i="18"/>
  <c r="S1367" i="18"/>
  <c r="P1367" i="18"/>
  <c r="W1367" i="18" s="1"/>
  <c r="M1367" i="18"/>
  <c r="T1367" i="18" s="1"/>
  <c r="C1367" i="18"/>
  <c r="D1367" i="18" s="1"/>
  <c r="X1366" i="18"/>
  <c r="V1366" i="18"/>
  <c r="U1366" i="18"/>
  <c r="S1366" i="18"/>
  <c r="P1366" i="18"/>
  <c r="W1366" i="18" s="1"/>
  <c r="M1366" i="18"/>
  <c r="T1366" i="18" s="1"/>
  <c r="C1366" i="18"/>
  <c r="D1366" i="18" s="1"/>
  <c r="X1365" i="18"/>
  <c r="V1365" i="18"/>
  <c r="U1365" i="18"/>
  <c r="T1365" i="18"/>
  <c r="S1365" i="18"/>
  <c r="P1365" i="18"/>
  <c r="W1365" i="18" s="1"/>
  <c r="M1365" i="18"/>
  <c r="D1365" i="18"/>
  <c r="C1365" i="18"/>
  <c r="X1364" i="18"/>
  <c r="V1364" i="18"/>
  <c r="U1364" i="18"/>
  <c r="S1364" i="18"/>
  <c r="P1364" i="18"/>
  <c r="W1364" i="18" s="1"/>
  <c r="M1364" i="18"/>
  <c r="T1364" i="18" s="1"/>
  <c r="C1364" i="18"/>
  <c r="D1364" i="18" s="1"/>
  <c r="X1363" i="18"/>
  <c r="V1363" i="18"/>
  <c r="U1363" i="18"/>
  <c r="S1363" i="18"/>
  <c r="P1363" i="18"/>
  <c r="W1363" i="18" s="1"/>
  <c r="M1363" i="18"/>
  <c r="T1363" i="18" s="1"/>
  <c r="C1363" i="18"/>
  <c r="D1363" i="18" s="1"/>
  <c r="X1362" i="18"/>
  <c r="V1362" i="18"/>
  <c r="U1362" i="18"/>
  <c r="S1362" i="18"/>
  <c r="P1362" i="18"/>
  <c r="W1362" i="18" s="1"/>
  <c r="M1362" i="18"/>
  <c r="T1362" i="18" s="1"/>
  <c r="C1362" i="18"/>
  <c r="D1362" i="18" s="1"/>
  <c r="X1361" i="18"/>
  <c r="V1361" i="18"/>
  <c r="U1361" i="18"/>
  <c r="S1361" i="18"/>
  <c r="P1361" i="18"/>
  <c r="W1361" i="18" s="1"/>
  <c r="M1361" i="18"/>
  <c r="T1361" i="18" s="1"/>
  <c r="C1361" i="18"/>
  <c r="D1361" i="18" s="1"/>
  <c r="X1360" i="18"/>
  <c r="V1360" i="18"/>
  <c r="U1360" i="18"/>
  <c r="S1360" i="18"/>
  <c r="P1360" i="18"/>
  <c r="W1360" i="18" s="1"/>
  <c r="M1360" i="18"/>
  <c r="T1360" i="18" s="1"/>
  <c r="C1360" i="18"/>
  <c r="D1360" i="18" s="1"/>
  <c r="X1359" i="18"/>
  <c r="V1359" i="18"/>
  <c r="U1359" i="18"/>
  <c r="S1359" i="18"/>
  <c r="P1359" i="18"/>
  <c r="W1359" i="18" s="1"/>
  <c r="M1359" i="18"/>
  <c r="T1359" i="18" s="1"/>
  <c r="C1359" i="18"/>
  <c r="D1359" i="18" s="1"/>
  <c r="X1358" i="18"/>
  <c r="V1358" i="18"/>
  <c r="U1358" i="18"/>
  <c r="S1358" i="18"/>
  <c r="P1358" i="18"/>
  <c r="W1358" i="18" s="1"/>
  <c r="M1358" i="18"/>
  <c r="T1358" i="18" s="1"/>
  <c r="C1358" i="18"/>
  <c r="D1358" i="18" s="1"/>
  <c r="X1357" i="18"/>
  <c r="V1357" i="18"/>
  <c r="U1357" i="18"/>
  <c r="S1357" i="18"/>
  <c r="P1357" i="18"/>
  <c r="W1357" i="18" s="1"/>
  <c r="M1357" i="18"/>
  <c r="T1357" i="18" s="1"/>
  <c r="C1357" i="18"/>
  <c r="D1357" i="18" s="1"/>
  <c r="X1356" i="18"/>
  <c r="V1356" i="18"/>
  <c r="U1356" i="18"/>
  <c r="S1356" i="18"/>
  <c r="P1356" i="18"/>
  <c r="W1356" i="18" s="1"/>
  <c r="M1356" i="18"/>
  <c r="T1356" i="18" s="1"/>
  <c r="C1356" i="18"/>
  <c r="D1356" i="18" s="1"/>
  <c r="X1355" i="18"/>
  <c r="V1355" i="18"/>
  <c r="U1355" i="18"/>
  <c r="S1355" i="18"/>
  <c r="P1355" i="18"/>
  <c r="W1355" i="18" s="1"/>
  <c r="M1355" i="18"/>
  <c r="T1355" i="18" s="1"/>
  <c r="C1355" i="18"/>
  <c r="D1355" i="18" s="1"/>
  <c r="X1354" i="18"/>
  <c r="V1354" i="18"/>
  <c r="U1354" i="18"/>
  <c r="S1354" i="18"/>
  <c r="P1354" i="18"/>
  <c r="W1354" i="18" s="1"/>
  <c r="M1354" i="18"/>
  <c r="T1354" i="18" s="1"/>
  <c r="C1354" i="18"/>
  <c r="D1354" i="18" s="1"/>
  <c r="X1353" i="18"/>
  <c r="V1353" i="18"/>
  <c r="U1353" i="18"/>
  <c r="S1353" i="18"/>
  <c r="P1353" i="18"/>
  <c r="W1353" i="18" s="1"/>
  <c r="M1353" i="18"/>
  <c r="T1353" i="18" s="1"/>
  <c r="C1353" i="18"/>
  <c r="D1353" i="18" s="1"/>
  <c r="X1352" i="18"/>
  <c r="V1352" i="18"/>
  <c r="U1352" i="18"/>
  <c r="S1352" i="18"/>
  <c r="P1352" i="18"/>
  <c r="W1352" i="18" s="1"/>
  <c r="M1352" i="18"/>
  <c r="T1352" i="18" s="1"/>
  <c r="C1352" i="18"/>
  <c r="D1352" i="18" s="1"/>
  <c r="X1351" i="18"/>
  <c r="V1351" i="18"/>
  <c r="U1351" i="18"/>
  <c r="S1351" i="18"/>
  <c r="P1351" i="18"/>
  <c r="W1351" i="18" s="1"/>
  <c r="M1351" i="18"/>
  <c r="T1351" i="18" s="1"/>
  <c r="C1351" i="18"/>
  <c r="D1351" i="18" s="1"/>
  <c r="X1350" i="18"/>
  <c r="V1350" i="18"/>
  <c r="U1350" i="18"/>
  <c r="S1350" i="18"/>
  <c r="P1350" i="18"/>
  <c r="W1350" i="18" s="1"/>
  <c r="M1350" i="18"/>
  <c r="T1350" i="18" s="1"/>
  <c r="C1350" i="18"/>
  <c r="D1350" i="18" s="1"/>
  <c r="X1349" i="18"/>
  <c r="V1349" i="18"/>
  <c r="U1349" i="18"/>
  <c r="S1349" i="18"/>
  <c r="P1349" i="18"/>
  <c r="W1349" i="18" s="1"/>
  <c r="M1349" i="18"/>
  <c r="T1349" i="18" s="1"/>
  <c r="C1349" i="18"/>
  <c r="D1349" i="18" s="1"/>
  <c r="X1348" i="18"/>
  <c r="V1348" i="18"/>
  <c r="U1348" i="18"/>
  <c r="S1348" i="18"/>
  <c r="P1348" i="18"/>
  <c r="W1348" i="18" s="1"/>
  <c r="M1348" i="18"/>
  <c r="T1348" i="18" s="1"/>
  <c r="C1348" i="18"/>
  <c r="D1348" i="18" s="1"/>
  <c r="X1347" i="18"/>
  <c r="V1347" i="18"/>
  <c r="U1347" i="18"/>
  <c r="S1347" i="18"/>
  <c r="P1347" i="18"/>
  <c r="W1347" i="18" s="1"/>
  <c r="M1347" i="18"/>
  <c r="T1347" i="18" s="1"/>
  <c r="C1347" i="18"/>
  <c r="D1347" i="18" s="1"/>
  <c r="X1346" i="18"/>
  <c r="V1346" i="18"/>
  <c r="U1346" i="18"/>
  <c r="S1346" i="18"/>
  <c r="P1346" i="18"/>
  <c r="W1346" i="18" s="1"/>
  <c r="M1346" i="18"/>
  <c r="T1346" i="18" s="1"/>
  <c r="C1346" i="18"/>
  <c r="D1346" i="18" s="1"/>
  <c r="X1345" i="18"/>
  <c r="V1345" i="18"/>
  <c r="U1345" i="18"/>
  <c r="S1345" i="18"/>
  <c r="P1345" i="18"/>
  <c r="W1345" i="18" s="1"/>
  <c r="M1345" i="18"/>
  <c r="T1345" i="18" s="1"/>
  <c r="C1345" i="18"/>
  <c r="D1345" i="18" s="1"/>
  <c r="X1344" i="18"/>
  <c r="V1344" i="18"/>
  <c r="U1344" i="18"/>
  <c r="S1344" i="18"/>
  <c r="P1344" i="18"/>
  <c r="W1344" i="18" s="1"/>
  <c r="M1344" i="18"/>
  <c r="T1344" i="18" s="1"/>
  <c r="C1344" i="18"/>
  <c r="D1344" i="18" s="1"/>
  <c r="X1343" i="18"/>
  <c r="V1343" i="18"/>
  <c r="U1343" i="18"/>
  <c r="S1343" i="18"/>
  <c r="P1343" i="18"/>
  <c r="W1343" i="18" s="1"/>
  <c r="M1343" i="18"/>
  <c r="T1343" i="18" s="1"/>
  <c r="C1343" i="18"/>
  <c r="D1343" i="18" s="1"/>
  <c r="X1342" i="18"/>
  <c r="V1342" i="18"/>
  <c r="U1342" i="18"/>
  <c r="S1342" i="18"/>
  <c r="P1342" i="18"/>
  <c r="W1342" i="18" s="1"/>
  <c r="M1342" i="18"/>
  <c r="T1342" i="18" s="1"/>
  <c r="C1342" i="18"/>
  <c r="D1342" i="18" s="1"/>
  <c r="X1341" i="18"/>
  <c r="V1341" i="18"/>
  <c r="U1341" i="18"/>
  <c r="S1341" i="18"/>
  <c r="P1341" i="18"/>
  <c r="W1341" i="18" s="1"/>
  <c r="M1341" i="18"/>
  <c r="T1341" i="18" s="1"/>
  <c r="C1341" i="18"/>
  <c r="D1341" i="18" s="1"/>
  <c r="X1340" i="18"/>
  <c r="V1340" i="18"/>
  <c r="U1340" i="18"/>
  <c r="S1340" i="18"/>
  <c r="P1340" i="18"/>
  <c r="W1340" i="18" s="1"/>
  <c r="M1340" i="18"/>
  <c r="T1340" i="18" s="1"/>
  <c r="C1340" i="18"/>
  <c r="D1340" i="18" s="1"/>
  <c r="X1339" i="18"/>
  <c r="V1339" i="18"/>
  <c r="U1339" i="18"/>
  <c r="S1339" i="18"/>
  <c r="P1339" i="18"/>
  <c r="W1339" i="18" s="1"/>
  <c r="M1339" i="18"/>
  <c r="T1339" i="18" s="1"/>
  <c r="C1339" i="18"/>
  <c r="D1339" i="18" s="1"/>
  <c r="X1338" i="18"/>
  <c r="V1338" i="18"/>
  <c r="U1338" i="18"/>
  <c r="S1338" i="18"/>
  <c r="P1338" i="18"/>
  <c r="W1338" i="18" s="1"/>
  <c r="M1338" i="18"/>
  <c r="T1338" i="18" s="1"/>
  <c r="C1338" i="18"/>
  <c r="D1338" i="18" s="1"/>
  <c r="X1337" i="18"/>
  <c r="V1337" i="18"/>
  <c r="U1337" i="18"/>
  <c r="S1337" i="18"/>
  <c r="P1337" i="18"/>
  <c r="W1337" i="18" s="1"/>
  <c r="M1337" i="18"/>
  <c r="T1337" i="18" s="1"/>
  <c r="C1337" i="18"/>
  <c r="D1337" i="18" s="1"/>
  <c r="X1336" i="18"/>
  <c r="V1336" i="18"/>
  <c r="U1336" i="18"/>
  <c r="S1336" i="18"/>
  <c r="P1336" i="18"/>
  <c r="W1336" i="18" s="1"/>
  <c r="M1336" i="18"/>
  <c r="T1336" i="18" s="1"/>
  <c r="C1336" i="18"/>
  <c r="D1336" i="18" s="1"/>
  <c r="X1335" i="18"/>
  <c r="V1335" i="18"/>
  <c r="U1335" i="18"/>
  <c r="S1335" i="18"/>
  <c r="P1335" i="18"/>
  <c r="W1335" i="18" s="1"/>
  <c r="M1335" i="18"/>
  <c r="T1335" i="18" s="1"/>
  <c r="C1335" i="18"/>
  <c r="D1335" i="18" s="1"/>
  <c r="X1334" i="18"/>
  <c r="V1334" i="18"/>
  <c r="U1334" i="18"/>
  <c r="S1334" i="18"/>
  <c r="P1334" i="18"/>
  <c r="W1334" i="18" s="1"/>
  <c r="M1334" i="18"/>
  <c r="T1334" i="18" s="1"/>
  <c r="C1334" i="18"/>
  <c r="D1334" i="18" s="1"/>
  <c r="X1333" i="18"/>
  <c r="V1333" i="18"/>
  <c r="U1333" i="18"/>
  <c r="S1333" i="18"/>
  <c r="P1333" i="18"/>
  <c r="W1333" i="18" s="1"/>
  <c r="M1333" i="18"/>
  <c r="T1333" i="18" s="1"/>
  <c r="C1333" i="18"/>
  <c r="D1333" i="18" s="1"/>
  <c r="X1332" i="18"/>
  <c r="V1332" i="18"/>
  <c r="U1332" i="18"/>
  <c r="S1332" i="18"/>
  <c r="P1332" i="18"/>
  <c r="W1332" i="18" s="1"/>
  <c r="M1332" i="18"/>
  <c r="T1332" i="18" s="1"/>
  <c r="C1332" i="18"/>
  <c r="D1332" i="18" s="1"/>
  <c r="X1331" i="18"/>
  <c r="V1331" i="18"/>
  <c r="U1331" i="18"/>
  <c r="T1331" i="18"/>
  <c r="S1331" i="18"/>
  <c r="P1331" i="18"/>
  <c r="W1331" i="18" s="1"/>
  <c r="M1331" i="18"/>
  <c r="C1331" i="18"/>
  <c r="D1331" i="18" s="1"/>
  <c r="X1330" i="18"/>
  <c r="V1330" i="18"/>
  <c r="U1330" i="18"/>
  <c r="S1330" i="18"/>
  <c r="P1330" i="18"/>
  <c r="W1330" i="18" s="1"/>
  <c r="M1330" i="18"/>
  <c r="T1330" i="18" s="1"/>
  <c r="C1330" i="18"/>
  <c r="D1330" i="18" s="1"/>
  <c r="X1329" i="18"/>
  <c r="V1329" i="18"/>
  <c r="U1329" i="18"/>
  <c r="S1329" i="18"/>
  <c r="P1329" i="18"/>
  <c r="W1329" i="18" s="1"/>
  <c r="M1329" i="18"/>
  <c r="T1329" i="18" s="1"/>
  <c r="C1329" i="18"/>
  <c r="D1329" i="18" s="1"/>
  <c r="X1328" i="18"/>
  <c r="V1328" i="18"/>
  <c r="U1328" i="18"/>
  <c r="S1328" i="18"/>
  <c r="P1328" i="18"/>
  <c r="W1328" i="18" s="1"/>
  <c r="M1328" i="18"/>
  <c r="T1328" i="18" s="1"/>
  <c r="D1328" i="18"/>
  <c r="C1328" i="18"/>
  <c r="X1327" i="18"/>
  <c r="V1327" i="18"/>
  <c r="U1327" i="18"/>
  <c r="S1327" i="18"/>
  <c r="P1327" i="18"/>
  <c r="W1327" i="18" s="1"/>
  <c r="M1327" i="18"/>
  <c r="T1327" i="18" s="1"/>
  <c r="C1327" i="18"/>
  <c r="D1327" i="18" s="1"/>
  <c r="X1326" i="18"/>
  <c r="V1326" i="18"/>
  <c r="U1326" i="18"/>
  <c r="S1326" i="18"/>
  <c r="P1326" i="18"/>
  <c r="W1326" i="18" s="1"/>
  <c r="M1326" i="18"/>
  <c r="T1326" i="18" s="1"/>
  <c r="C1326" i="18"/>
  <c r="D1326" i="18" s="1"/>
  <c r="X1325" i="18"/>
  <c r="V1325" i="18"/>
  <c r="U1325" i="18"/>
  <c r="S1325" i="18"/>
  <c r="P1325" i="18"/>
  <c r="W1325" i="18" s="1"/>
  <c r="M1325" i="18"/>
  <c r="T1325" i="18" s="1"/>
  <c r="C1325" i="18"/>
  <c r="D1325" i="18" s="1"/>
  <c r="X1324" i="18"/>
  <c r="V1324" i="18"/>
  <c r="U1324" i="18"/>
  <c r="S1324" i="18"/>
  <c r="P1324" i="18"/>
  <c r="W1324" i="18" s="1"/>
  <c r="M1324" i="18"/>
  <c r="T1324" i="18" s="1"/>
  <c r="C1324" i="18"/>
  <c r="D1324" i="18" s="1"/>
  <c r="X1323" i="18"/>
  <c r="V1323" i="18"/>
  <c r="U1323" i="18"/>
  <c r="T1323" i="18"/>
  <c r="S1323" i="18"/>
  <c r="P1323" i="18"/>
  <c r="W1323" i="18" s="1"/>
  <c r="M1323" i="18"/>
  <c r="C1323" i="18"/>
  <c r="D1323" i="18" s="1"/>
  <c r="X1322" i="18"/>
  <c r="V1322" i="18"/>
  <c r="U1322" i="18"/>
  <c r="S1322" i="18"/>
  <c r="P1322" i="18"/>
  <c r="W1322" i="18" s="1"/>
  <c r="M1322" i="18"/>
  <c r="T1322" i="18" s="1"/>
  <c r="C1322" i="18"/>
  <c r="D1322" i="18" s="1"/>
  <c r="X1321" i="18"/>
  <c r="V1321" i="18"/>
  <c r="U1321" i="18"/>
  <c r="S1321" i="18"/>
  <c r="P1321" i="18"/>
  <c r="W1321" i="18" s="1"/>
  <c r="M1321" i="18"/>
  <c r="T1321" i="18" s="1"/>
  <c r="C1321" i="18"/>
  <c r="D1321" i="18" s="1"/>
  <c r="X1320" i="18"/>
  <c r="V1320" i="18"/>
  <c r="U1320" i="18"/>
  <c r="S1320" i="18"/>
  <c r="P1320" i="18"/>
  <c r="W1320" i="18" s="1"/>
  <c r="M1320" i="18"/>
  <c r="T1320" i="18" s="1"/>
  <c r="D1320" i="18"/>
  <c r="C1320" i="18"/>
  <c r="X1319" i="18"/>
  <c r="V1319" i="18"/>
  <c r="U1319" i="18"/>
  <c r="S1319" i="18"/>
  <c r="P1319" i="18"/>
  <c r="W1319" i="18" s="1"/>
  <c r="M1319" i="18"/>
  <c r="T1319" i="18" s="1"/>
  <c r="C1319" i="18"/>
  <c r="D1319" i="18" s="1"/>
  <c r="X1318" i="18"/>
  <c r="V1318" i="18"/>
  <c r="U1318" i="18"/>
  <c r="S1318" i="18"/>
  <c r="P1318" i="18"/>
  <c r="W1318" i="18" s="1"/>
  <c r="M1318" i="18"/>
  <c r="T1318" i="18" s="1"/>
  <c r="C1318" i="18"/>
  <c r="D1318" i="18" s="1"/>
  <c r="X1317" i="18"/>
  <c r="V1317" i="18"/>
  <c r="U1317" i="18"/>
  <c r="T1317" i="18"/>
  <c r="S1317" i="18"/>
  <c r="P1317" i="18"/>
  <c r="W1317" i="18" s="1"/>
  <c r="M1317" i="18"/>
  <c r="C1317" i="18"/>
  <c r="D1317" i="18" s="1"/>
  <c r="X1316" i="18"/>
  <c r="V1316" i="18"/>
  <c r="U1316" i="18"/>
  <c r="S1316" i="18"/>
  <c r="P1316" i="18"/>
  <c r="W1316" i="18" s="1"/>
  <c r="M1316" i="18"/>
  <c r="T1316" i="18" s="1"/>
  <c r="C1316" i="18"/>
  <c r="D1316" i="18" s="1"/>
  <c r="X1315" i="18"/>
  <c r="V1315" i="18"/>
  <c r="U1315" i="18"/>
  <c r="S1315" i="18"/>
  <c r="P1315" i="18"/>
  <c r="W1315" i="18" s="1"/>
  <c r="M1315" i="18"/>
  <c r="T1315" i="18" s="1"/>
  <c r="C1315" i="18"/>
  <c r="D1315" i="18" s="1"/>
  <c r="X1314" i="18"/>
  <c r="V1314" i="18"/>
  <c r="U1314" i="18"/>
  <c r="S1314" i="18"/>
  <c r="P1314" i="18"/>
  <c r="W1314" i="18" s="1"/>
  <c r="M1314" i="18"/>
  <c r="T1314" i="18" s="1"/>
  <c r="C1314" i="18"/>
  <c r="D1314" i="18" s="1"/>
  <c r="X1313" i="18"/>
  <c r="V1313" i="18"/>
  <c r="U1313" i="18"/>
  <c r="S1313" i="18"/>
  <c r="P1313" i="18"/>
  <c r="W1313" i="18" s="1"/>
  <c r="M1313" i="18"/>
  <c r="T1313" i="18" s="1"/>
  <c r="C1313" i="18"/>
  <c r="D1313" i="18" s="1"/>
  <c r="X1312" i="18"/>
  <c r="V1312" i="18"/>
  <c r="U1312" i="18"/>
  <c r="S1312" i="18"/>
  <c r="P1312" i="18"/>
  <c r="W1312" i="18" s="1"/>
  <c r="M1312" i="18"/>
  <c r="T1312" i="18" s="1"/>
  <c r="C1312" i="18"/>
  <c r="D1312" i="18" s="1"/>
  <c r="X1311" i="18"/>
  <c r="V1311" i="18"/>
  <c r="U1311" i="18"/>
  <c r="T1311" i="18"/>
  <c r="S1311" i="18"/>
  <c r="P1311" i="18"/>
  <c r="W1311" i="18" s="1"/>
  <c r="M1311" i="18"/>
  <c r="C1311" i="18"/>
  <c r="D1311" i="18" s="1"/>
  <c r="X1310" i="18"/>
  <c r="V1310" i="18"/>
  <c r="U1310" i="18"/>
  <c r="S1310" i="18"/>
  <c r="P1310" i="18"/>
  <c r="W1310" i="18" s="1"/>
  <c r="M1310" i="18"/>
  <c r="T1310" i="18" s="1"/>
  <c r="C1310" i="18"/>
  <c r="D1310" i="18" s="1"/>
  <c r="X1309" i="18"/>
  <c r="V1309" i="18"/>
  <c r="U1309" i="18"/>
  <c r="S1309" i="18"/>
  <c r="P1309" i="18"/>
  <c r="W1309" i="18" s="1"/>
  <c r="M1309" i="18"/>
  <c r="T1309" i="18" s="1"/>
  <c r="C1309" i="18"/>
  <c r="D1309" i="18" s="1"/>
  <c r="X1308" i="18"/>
  <c r="V1308" i="18"/>
  <c r="U1308" i="18"/>
  <c r="S1308" i="18"/>
  <c r="P1308" i="18"/>
  <c r="W1308" i="18" s="1"/>
  <c r="M1308" i="18"/>
  <c r="T1308" i="18" s="1"/>
  <c r="D1308" i="18"/>
  <c r="C1308" i="18"/>
  <c r="X1307" i="18"/>
  <c r="V1307" i="18"/>
  <c r="U1307" i="18"/>
  <c r="S1307" i="18"/>
  <c r="P1307" i="18"/>
  <c r="W1307" i="18" s="1"/>
  <c r="M1307" i="18"/>
  <c r="T1307" i="18" s="1"/>
  <c r="C1307" i="18"/>
  <c r="D1307" i="18" s="1"/>
  <c r="X1306" i="18"/>
  <c r="V1306" i="18"/>
  <c r="U1306" i="18"/>
  <c r="S1306" i="18"/>
  <c r="P1306" i="18"/>
  <c r="W1306" i="18" s="1"/>
  <c r="M1306" i="18"/>
  <c r="T1306" i="18" s="1"/>
  <c r="C1306" i="18"/>
  <c r="D1306" i="18" s="1"/>
  <c r="X1305" i="18"/>
  <c r="V1305" i="18"/>
  <c r="U1305" i="18"/>
  <c r="S1305" i="18"/>
  <c r="P1305" i="18"/>
  <c r="W1305" i="18" s="1"/>
  <c r="M1305" i="18"/>
  <c r="T1305" i="18" s="1"/>
  <c r="C1305" i="18"/>
  <c r="D1305" i="18" s="1"/>
  <c r="X1304" i="18"/>
  <c r="V1304" i="18"/>
  <c r="U1304" i="18"/>
  <c r="S1304" i="18"/>
  <c r="P1304" i="18"/>
  <c r="W1304" i="18" s="1"/>
  <c r="M1304" i="18"/>
  <c r="T1304" i="18" s="1"/>
  <c r="C1304" i="18"/>
  <c r="D1304" i="18" s="1"/>
  <c r="X1303" i="18"/>
  <c r="V1303" i="18"/>
  <c r="U1303" i="18"/>
  <c r="T1303" i="18"/>
  <c r="S1303" i="18"/>
  <c r="P1303" i="18"/>
  <c r="W1303" i="18" s="1"/>
  <c r="M1303" i="18"/>
  <c r="D1303" i="18"/>
  <c r="C1303" i="18"/>
  <c r="X1302" i="18"/>
  <c r="V1302" i="18"/>
  <c r="U1302" i="18"/>
  <c r="S1302" i="18"/>
  <c r="P1302" i="18"/>
  <c r="W1302" i="18" s="1"/>
  <c r="M1302" i="18"/>
  <c r="T1302" i="18" s="1"/>
  <c r="D1302" i="18"/>
  <c r="C1302" i="18"/>
  <c r="X1301" i="18"/>
  <c r="V1301" i="18"/>
  <c r="U1301" i="18"/>
  <c r="S1301" i="18"/>
  <c r="P1301" i="18"/>
  <c r="W1301" i="18" s="1"/>
  <c r="M1301" i="18"/>
  <c r="T1301" i="18" s="1"/>
  <c r="C1301" i="18"/>
  <c r="D1301" i="18" s="1"/>
  <c r="X1300" i="18"/>
  <c r="V1300" i="18"/>
  <c r="U1300" i="18"/>
  <c r="S1300" i="18"/>
  <c r="P1300" i="18"/>
  <c r="W1300" i="18" s="1"/>
  <c r="M1300" i="18"/>
  <c r="T1300" i="18" s="1"/>
  <c r="C1300" i="18"/>
  <c r="D1300" i="18" s="1"/>
  <c r="X1299" i="18"/>
  <c r="V1299" i="18"/>
  <c r="U1299" i="18"/>
  <c r="S1299" i="18"/>
  <c r="P1299" i="18"/>
  <c r="W1299" i="18" s="1"/>
  <c r="M1299" i="18"/>
  <c r="T1299" i="18" s="1"/>
  <c r="C1299" i="18"/>
  <c r="D1299" i="18" s="1"/>
  <c r="X1298" i="18"/>
  <c r="V1298" i="18"/>
  <c r="U1298" i="18"/>
  <c r="S1298" i="18"/>
  <c r="P1298" i="18"/>
  <c r="W1298" i="18" s="1"/>
  <c r="M1298" i="18"/>
  <c r="T1298" i="18" s="1"/>
  <c r="C1298" i="18"/>
  <c r="D1298" i="18" s="1"/>
  <c r="X1297" i="18"/>
  <c r="V1297" i="18"/>
  <c r="U1297" i="18"/>
  <c r="T1297" i="18"/>
  <c r="S1297" i="18"/>
  <c r="P1297" i="18"/>
  <c r="W1297" i="18" s="1"/>
  <c r="M1297" i="18"/>
  <c r="C1297" i="18"/>
  <c r="D1297" i="18" s="1"/>
  <c r="X1296" i="18"/>
  <c r="V1296" i="18"/>
  <c r="U1296" i="18"/>
  <c r="S1296" i="18"/>
  <c r="P1296" i="18"/>
  <c r="W1296" i="18" s="1"/>
  <c r="M1296" i="18"/>
  <c r="T1296" i="18" s="1"/>
  <c r="C1296" i="18"/>
  <c r="D1296" i="18" s="1"/>
  <c r="X1295" i="18"/>
  <c r="V1295" i="18"/>
  <c r="U1295" i="18"/>
  <c r="S1295" i="18"/>
  <c r="P1295" i="18"/>
  <c r="W1295" i="18" s="1"/>
  <c r="M1295" i="18"/>
  <c r="T1295" i="18" s="1"/>
  <c r="C1295" i="18"/>
  <c r="D1295" i="18" s="1"/>
  <c r="X1294" i="18"/>
  <c r="V1294" i="18"/>
  <c r="U1294" i="18"/>
  <c r="S1294" i="18"/>
  <c r="P1294" i="18"/>
  <c r="W1294" i="18" s="1"/>
  <c r="M1294" i="18"/>
  <c r="T1294" i="18" s="1"/>
  <c r="D1294" i="18"/>
  <c r="C1294" i="18"/>
  <c r="X1293" i="18"/>
  <c r="V1293" i="18"/>
  <c r="U1293" i="18"/>
  <c r="S1293" i="18"/>
  <c r="P1293" i="18"/>
  <c r="W1293" i="18" s="1"/>
  <c r="M1293" i="18"/>
  <c r="T1293" i="18" s="1"/>
  <c r="C1293" i="18"/>
  <c r="D1293" i="18" s="1"/>
  <c r="X1292" i="18"/>
  <c r="V1292" i="18"/>
  <c r="U1292" i="18"/>
  <c r="S1292" i="18"/>
  <c r="P1292" i="18"/>
  <c r="W1292" i="18" s="1"/>
  <c r="M1292" i="18"/>
  <c r="T1292" i="18" s="1"/>
  <c r="C1292" i="18"/>
  <c r="D1292" i="18" s="1"/>
  <c r="X1291" i="18"/>
  <c r="V1291" i="18"/>
  <c r="U1291" i="18"/>
  <c r="S1291" i="18"/>
  <c r="P1291" i="18"/>
  <c r="W1291" i="18" s="1"/>
  <c r="M1291" i="18"/>
  <c r="T1291" i="18" s="1"/>
  <c r="C1291" i="18"/>
  <c r="D1291" i="18" s="1"/>
  <c r="X1290" i="18"/>
  <c r="V1290" i="18"/>
  <c r="U1290" i="18"/>
  <c r="S1290" i="18"/>
  <c r="P1290" i="18"/>
  <c r="W1290" i="18" s="1"/>
  <c r="M1290" i="18"/>
  <c r="T1290" i="18" s="1"/>
  <c r="C1290" i="18"/>
  <c r="D1290" i="18" s="1"/>
  <c r="X1289" i="18"/>
  <c r="V1289" i="18"/>
  <c r="U1289" i="18"/>
  <c r="T1289" i="18"/>
  <c r="S1289" i="18"/>
  <c r="P1289" i="18"/>
  <c r="W1289" i="18" s="1"/>
  <c r="M1289" i="18"/>
  <c r="C1289" i="18"/>
  <c r="D1289" i="18" s="1"/>
  <c r="X1288" i="18"/>
  <c r="V1288" i="18"/>
  <c r="U1288" i="18"/>
  <c r="S1288" i="18"/>
  <c r="P1288" i="18"/>
  <c r="W1288" i="18" s="1"/>
  <c r="M1288" i="18"/>
  <c r="T1288" i="18" s="1"/>
  <c r="C1288" i="18"/>
  <c r="D1288" i="18" s="1"/>
  <c r="X1287" i="18"/>
  <c r="V1287" i="18"/>
  <c r="U1287" i="18"/>
  <c r="S1287" i="18"/>
  <c r="P1287" i="18"/>
  <c r="W1287" i="18" s="1"/>
  <c r="M1287" i="18"/>
  <c r="T1287" i="18" s="1"/>
  <c r="C1287" i="18"/>
  <c r="D1287" i="18" s="1"/>
  <c r="X1286" i="18"/>
  <c r="V1286" i="18"/>
  <c r="U1286" i="18"/>
  <c r="S1286" i="18"/>
  <c r="P1286" i="18"/>
  <c r="W1286" i="18" s="1"/>
  <c r="M1286" i="18"/>
  <c r="T1286" i="18" s="1"/>
  <c r="C1286" i="18"/>
  <c r="D1286" i="18" s="1"/>
  <c r="X1285" i="18"/>
  <c r="V1285" i="18"/>
  <c r="U1285" i="18"/>
  <c r="T1285" i="18"/>
  <c r="S1285" i="18"/>
  <c r="P1285" i="18"/>
  <c r="W1285" i="18" s="1"/>
  <c r="M1285" i="18"/>
  <c r="D1285" i="18"/>
  <c r="C1285" i="18"/>
  <c r="X1284" i="18"/>
  <c r="V1284" i="18"/>
  <c r="U1284" i="18"/>
  <c r="S1284" i="18"/>
  <c r="P1284" i="18"/>
  <c r="W1284" i="18" s="1"/>
  <c r="M1284" i="18"/>
  <c r="T1284" i="18" s="1"/>
  <c r="C1284" i="18"/>
  <c r="D1284" i="18" s="1"/>
  <c r="X1283" i="18"/>
  <c r="V1283" i="18"/>
  <c r="U1283" i="18"/>
  <c r="S1283" i="18"/>
  <c r="P1283" i="18"/>
  <c r="W1283" i="18" s="1"/>
  <c r="M1283" i="18"/>
  <c r="T1283" i="18" s="1"/>
  <c r="C1283" i="18"/>
  <c r="D1283" i="18" s="1"/>
  <c r="X1282" i="18"/>
  <c r="V1282" i="18"/>
  <c r="U1282" i="18"/>
  <c r="S1282" i="18"/>
  <c r="P1282" i="18"/>
  <c r="W1282" i="18" s="1"/>
  <c r="M1282" i="18"/>
  <c r="T1282" i="18" s="1"/>
  <c r="C1282" i="18"/>
  <c r="D1282" i="18" s="1"/>
  <c r="X1281" i="18"/>
  <c r="V1281" i="18"/>
  <c r="U1281" i="18"/>
  <c r="S1281" i="18"/>
  <c r="P1281" i="18"/>
  <c r="W1281" i="18" s="1"/>
  <c r="M1281" i="18"/>
  <c r="T1281" i="18" s="1"/>
  <c r="C1281" i="18"/>
  <c r="D1281" i="18" s="1"/>
  <c r="X1280" i="18"/>
  <c r="V1280" i="18"/>
  <c r="U1280" i="18"/>
  <c r="S1280" i="18"/>
  <c r="P1280" i="18"/>
  <c r="W1280" i="18" s="1"/>
  <c r="M1280" i="18"/>
  <c r="T1280" i="18" s="1"/>
  <c r="C1280" i="18"/>
  <c r="D1280" i="18" s="1"/>
  <c r="X1279" i="18"/>
  <c r="V1279" i="18"/>
  <c r="U1279" i="18"/>
  <c r="T1279" i="18"/>
  <c r="S1279" i="18"/>
  <c r="P1279" i="18"/>
  <c r="W1279" i="18" s="1"/>
  <c r="M1279" i="18"/>
  <c r="C1279" i="18"/>
  <c r="D1279" i="18" s="1"/>
  <c r="X1278" i="18"/>
  <c r="V1278" i="18"/>
  <c r="U1278" i="18"/>
  <c r="S1278" i="18"/>
  <c r="P1278" i="18"/>
  <c r="W1278" i="18" s="1"/>
  <c r="M1278" i="18"/>
  <c r="T1278" i="18" s="1"/>
  <c r="C1278" i="18"/>
  <c r="D1278" i="18" s="1"/>
  <c r="X1277" i="18"/>
  <c r="V1277" i="18"/>
  <c r="U1277" i="18"/>
  <c r="S1277" i="18"/>
  <c r="P1277" i="18"/>
  <c r="W1277" i="18" s="1"/>
  <c r="M1277" i="18"/>
  <c r="T1277" i="18" s="1"/>
  <c r="C1277" i="18"/>
  <c r="D1277" i="18" s="1"/>
  <c r="X1276" i="18"/>
  <c r="V1276" i="18"/>
  <c r="U1276" i="18"/>
  <c r="S1276" i="18"/>
  <c r="P1276" i="18"/>
  <c r="W1276" i="18" s="1"/>
  <c r="M1276" i="18"/>
  <c r="T1276" i="18" s="1"/>
  <c r="C1276" i="18"/>
  <c r="D1276" i="18" s="1"/>
  <c r="X1275" i="18"/>
  <c r="V1275" i="18"/>
  <c r="U1275" i="18"/>
  <c r="T1275" i="18"/>
  <c r="S1275" i="18"/>
  <c r="P1275" i="18"/>
  <c r="W1275" i="18" s="1"/>
  <c r="M1275" i="18"/>
  <c r="D1275" i="18"/>
  <c r="C1275" i="18"/>
  <c r="X1274" i="18"/>
  <c r="V1274" i="18"/>
  <c r="U1274" i="18"/>
  <c r="S1274" i="18"/>
  <c r="P1274" i="18"/>
  <c r="W1274" i="18" s="1"/>
  <c r="M1274" i="18"/>
  <c r="T1274" i="18" s="1"/>
  <c r="C1274" i="18"/>
  <c r="D1274" i="18" s="1"/>
  <c r="X1273" i="18"/>
  <c r="V1273" i="18"/>
  <c r="U1273" i="18"/>
  <c r="S1273" i="18"/>
  <c r="P1273" i="18"/>
  <c r="W1273" i="18" s="1"/>
  <c r="M1273" i="18"/>
  <c r="T1273" i="18" s="1"/>
  <c r="C1273" i="18"/>
  <c r="D1273" i="18" s="1"/>
  <c r="X1272" i="18"/>
  <c r="V1272" i="18"/>
  <c r="U1272" i="18"/>
  <c r="S1272" i="18"/>
  <c r="P1272" i="18"/>
  <c r="W1272" i="18" s="1"/>
  <c r="M1272" i="18"/>
  <c r="T1272" i="18" s="1"/>
  <c r="C1272" i="18"/>
  <c r="D1272" i="18" s="1"/>
  <c r="X1271" i="18"/>
  <c r="V1271" i="18"/>
  <c r="U1271" i="18"/>
  <c r="S1271" i="18"/>
  <c r="P1271" i="18"/>
  <c r="W1271" i="18" s="1"/>
  <c r="M1271" i="18"/>
  <c r="T1271" i="18" s="1"/>
  <c r="C1271" i="18"/>
  <c r="D1271" i="18" s="1"/>
  <c r="X1270" i="18"/>
  <c r="V1270" i="18"/>
  <c r="U1270" i="18"/>
  <c r="S1270" i="18"/>
  <c r="P1270" i="18"/>
  <c r="W1270" i="18" s="1"/>
  <c r="M1270" i="18"/>
  <c r="T1270" i="18" s="1"/>
  <c r="C1270" i="18"/>
  <c r="D1270" i="18" s="1"/>
  <c r="X1269" i="18"/>
  <c r="V1269" i="18"/>
  <c r="U1269" i="18"/>
  <c r="S1269" i="18"/>
  <c r="P1269" i="18"/>
  <c r="W1269" i="18" s="1"/>
  <c r="M1269" i="18"/>
  <c r="T1269" i="18" s="1"/>
  <c r="C1269" i="18"/>
  <c r="D1269" i="18" s="1"/>
  <c r="X1268" i="18"/>
  <c r="V1268" i="18"/>
  <c r="U1268" i="18"/>
  <c r="S1268" i="18"/>
  <c r="P1268" i="18"/>
  <c r="W1268" i="18" s="1"/>
  <c r="M1268" i="18"/>
  <c r="T1268" i="18" s="1"/>
  <c r="C1268" i="18"/>
  <c r="D1268" i="18" s="1"/>
  <c r="X1267" i="18"/>
  <c r="V1267" i="18"/>
  <c r="U1267" i="18"/>
  <c r="S1267" i="18"/>
  <c r="P1267" i="18"/>
  <c r="W1267" i="18" s="1"/>
  <c r="M1267" i="18"/>
  <c r="T1267" i="18" s="1"/>
  <c r="C1267" i="18"/>
  <c r="D1267" i="18" s="1"/>
  <c r="X1266" i="18"/>
  <c r="V1266" i="18"/>
  <c r="U1266" i="18"/>
  <c r="S1266" i="18"/>
  <c r="P1266" i="18"/>
  <c r="W1266" i="18" s="1"/>
  <c r="M1266" i="18"/>
  <c r="T1266" i="18" s="1"/>
  <c r="C1266" i="18"/>
  <c r="D1266" i="18" s="1"/>
  <c r="X1265" i="18"/>
  <c r="V1265" i="18"/>
  <c r="U1265" i="18"/>
  <c r="T1265" i="18"/>
  <c r="S1265" i="18"/>
  <c r="P1265" i="18"/>
  <c r="W1265" i="18" s="1"/>
  <c r="M1265" i="18"/>
  <c r="C1265" i="18"/>
  <c r="D1265" i="18" s="1"/>
  <c r="X1264" i="18"/>
  <c r="V1264" i="18"/>
  <c r="U1264" i="18"/>
  <c r="S1264" i="18"/>
  <c r="P1264" i="18"/>
  <c r="W1264" i="18" s="1"/>
  <c r="M1264" i="18"/>
  <c r="T1264" i="18" s="1"/>
  <c r="C1264" i="18"/>
  <c r="D1264" i="18" s="1"/>
  <c r="X1263" i="18"/>
  <c r="V1263" i="18"/>
  <c r="U1263" i="18"/>
  <c r="S1263" i="18"/>
  <c r="P1263" i="18"/>
  <c r="W1263" i="18" s="1"/>
  <c r="M1263" i="18"/>
  <c r="T1263" i="18" s="1"/>
  <c r="C1263" i="18"/>
  <c r="D1263" i="18" s="1"/>
  <c r="X1262" i="18"/>
  <c r="V1262" i="18"/>
  <c r="U1262" i="18"/>
  <c r="S1262" i="18"/>
  <c r="P1262" i="18"/>
  <c r="W1262" i="18" s="1"/>
  <c r="M1262" i="18"/>
  <c r="T1262" i="18" s="1"/>
  <c r="C1262" i="18"/>
  <c r="D1262" i="18" s="1"/>
  <c r="X1261" i="18"/>
  <c r="V1261" i="18"/>
  <c r="U1261" i="18"/>
  <c r="T1261" i="18"/>
  <c r="S1261" i="18"/>
  <c r="P1261" i="18"/>
  <c r="W1261" i="18" s="1"/>
  <c r="M1261" i="18"/>
  <c r="C1261" i="18"/>
  <c r="D1261" i="18" s="1"/>
  <c r="X1260" i="18"/>
  <c r="V1260" i="18"/>
  <c r="U1260" i="18"/>
  <c r="S1260" i="18"/>
  <c r="P1260" i="18"/>
  <c r="W1260" i="18" s="1"/>
  <c r="M1260" i="18"/>
  <c r="T1260" i="18" s="1"/>
  <c r="C1260" i="18"/>
  <c r="D1260" i="18" s="1"/>
  <c r="X1259" i="18"/>
  <c r="V1259" i="18"/>
  <c r="U1259" i="18"/>
  <c r="S1259" i="18"/>
  <c r="P1259" i="18"/>
  <c r="W1259" i="18" s="1"/>
  <c r="M1259" i="18"/>
  <c r="T1259" i="18" s="1"/>
  <c r="C1259" i="18"/>
  <c r="D1259" i="18" s="1"/>
  <c r="X1258" i="18"/>
  <c r="V1258" i="18"/>
  <c r="U1258" i="18"/>
  <c r="S1258" i="18"/>
  <c r="P1258" i="18"/>
  <c r="W1258" i="18" s="1"/>
  <c r="M1258" i="18"/>
  <c r="T1258" i="18" s="1"/>
  <c r="C1258" i="18"/>
  <c r="D1258" i="18" s="1"/>
  <c r="X1257" i="18"/>
  <c r="V1257" i="18"/>
  <c r="U1257" i="18"/>
  <c r="S1257" i="18"/>
  <c r="P1257" i="18"/>
  <c r="W1257" i="18" s="1"/>
  <c r="M1257" i="18"/>
  <c r="T1257" i="18" s="1"/>
  <c r="C1257" i="18"/>
  <c r="D1257" i="18" s="1"/>
  <c r="X1256" i="18"/>
  <c r="V1256" i="18"/>
  <c r="U1256" i="18"/>
  <c r="S1256" i="18"/>
  <c r="P1256" i="18"/>
  <c r="W1256" i="18" s="1"/>
  <c r="M1256" i="18"/>
  <c r="T1256" i="18" s="1"/>
  <c r="C1256" i="18"/>
  <c r="D1256" i="18" s="1"/>
  <c r="X1255" i="18"/>
  <c r="V1255" i="18"/>
  <c r="U1255" i="18"/>
  <c r="S1255" i="18"/>
  <c r="P1255" i="18"/>
  <c r="W1255" i="18" s="1"/>
  <c r="M1255" i="18"/>
  <c r="T1255" i="18" s="1"/>
  <c r="C1255" i="18"/>
  <c r="D1255" i="18" s="1"/>
  <c r="X1254" i="18"/>
  <c r="V1254" i="18"/>
  <c r="U1254" i="18"/>
  <c r="S1254" i="18"/>
  <c r="P1254" i="18"/>
  <c r="W1254" i="18" s="1"/>
  <c r="M1254" i="18"/>
  <c r="T1254" i="18" s="1"/>
  <c r="C1254" i="18"/>
  <c r="D1254" i="18" s="1"/>
  <c r="X1253" i="18"/>
  <c r="V1253" i="18"/>
  <c r="U1253" i="18"/>
  <c r="S1253" i="18"/>
  <c r="P1253" i="18"/>
  <c r="W1253" i="18" s="1"/>
  <c r="M1253" i="18"/>
  <c r="T1253" i="18" s="1"/>
  <c r="C1253" i="18"/>
  <c r="D1253" i="18" s="1"/>
  <c r="X1252" i="18"/>
  <c r="V1252" i="18"/>
  <c r="U1252" i="18"/>
  <c r="S1252" i="18"/>
  <c r="P1252" i="18"/>
  <c r="W1252" i="18" s="1"/>
  <c r="M1252" i="18"/>
  <c r="T1252" i="18" s="1"/>
  <c r="C1252" i="18"/>
  <c r="D1252" i="18" s="1"/>
  <c r="X1251" i="18"/>
  <c r="V1251" i="18"/>
  <c r="U1251" i="18"/>
  <c r="S1251" i="18"/>
  <c r="P1251" i="18"/>
  <c r="W1251" i="18" s="1"/>
  <c r="M1251" i="18"/>
  <c r="T1251" i="18" s="1"/>
  <c r="C1251" i="18"/>
  <c r="D1251" i="18" s="1"/>
  <c r="X1250" i="18"/>
  <c r="V1250" i="18"/>
  <c r="U1250" i="18"/>
  <c r="S1250" i="18"/>
  <c r="P1250" i="18"/>
  <c r="W1250" i="18" s="1"/>
  <c r="M1250" i="18"/>
  <c r="T1250" i="18" s="1"/>
  <c r="C1250" i="18"/>
  <c r="D1250" i="18" s="1"/>
  <c r="X1249" i="18"/>
  <c r="V1249" i="18"/>
  <c r="U1249" i="18"/>
  <c r="S1249" i="18"/>
  <c r="P1249" i="18"/>
  <c r="W1249" i="18" s="1"/>
  <c r="M1249" i="18"/>
  <c r="T1249" i="18" s="1"/>
  <c r="C1249" i="18"/>
  <c r="D1249" i="18" s="1"/>
  <c r="X1248" i="18"/>
  <c r="V1248" i="18"/>
  <c r="U1248" i="18"/>
  <c r="S1248" i="18"/>
  <c r="P1248" i="18"/>
  <c r="W1248" i="18" s="1"/>
  <c r="M1248" i="18"/>
  <c r="T1248" i="18" s="1"/>
  <c r="C1248" i="18"/>
  <c r="D1248" i="18" s="1"/>
  <c r="X1247" i="18"/>
  <c r="V1247" i="18"/>
  <c r="U1247" i="18"/>
  <c r="T1247" i="18"/>
  <c r="S1247" i="18"/>
  <c r="P1247" i="18"/>
  <c r="W1247" i="18" s="1"/>
  <c r="M1247" i="18"/>
  <c r="C1247" i="18"/>
  <c r="D1247" i="18" s="1"/>
  <c r="X1246" i="18"/>
  <c r="V1246" i="18"/>
  <c r="U1246" i="18"/>
  <c r="S1246" i="18"/>
  <c r="P1246" i="18"/>
  <c r="W1246" i="18" s="1"/>
  <c r="M1246" i="18"/>
  <c r="T1246" i="18" s="1"/>
  <c r="C1246" i="18"/>
  <c r="D1246" i="18" s="1"/>
  <c r="X1245" i="18"/>
  <c r="V1245" i="18"/>
  <c r="U1245" i="18"/>
  <c r="S1245" i="18"/>
  <c r="P1245" i="18"/>
  <c r="W1245" i="18" s="1"/>
  <c r="M1245" i="18"/>
  <c r="T1245" i="18" s="1"/>
  <c r="C1245" i="18"/>
  <c r="D1245" i="18" s="1"/>
  <c r="X1244" i="18"/>
  <c r="V1244" i="18"/>
  <c r="U1244" i="18"/>
  <c r="S1244" i="18"/>
  <c r="P1244" i="18"/>
  <c r="W1244" i="18" s="1"/>
  <c r="M1244" i="18"/>
  <c r="T1244" i="18" s="1"/>
  <c r="C1244" i="18"/>
  <c r="D1244" i="18" s="1"/>
  <c r="X1243" i="18"/>
  <c r="V1243" i="18"/>
  <c r="U1243" i="18"/>
  <c r="T1243" i="18"/>
  <c r="S1243" i="18"/>
  <c r="P1243" i="18"/>
  <c r="W1243" i="18" s="1"/>
  <c r="M1243" i="18"/>
  <c r="D1243" i="18"/>
  <c r="C1243" i="18"/>
  <c r="X1242" i="18"/>
  <c r="V1242" i="18"/>
  <c r="U1242" i="18"/>
  <c r="S1242" i="18"/>
  <c r="P1242" i="18"/>
  <c r="W1242" i="18" s="1"/>
  <c r="M1242" i="18"/>
  <c r="T1242" i="18" s="1"/>
  <c r="C1242" i="18"/>
  <c r="D1242" i="18" s="1"/>
  <c r="X1241" i="18"/>
  <c r="V1241" i="18"/>
  <c r="U1241" i="18"/>
  <c r="S1241" i="18"/>
  <c r="P1241" i="18"/>
  <c r="W1241" i="18" s="1"/>
  <c r="M1241" i="18"/>
  <c r="T1241" i="18" s="1"/>
  <c r="C1241" i="18"/>
  <c r="D1241" i="18" s="1"/>
  <c r="X1240" i="18"/>
  <c r="V1240" i="18"/>
  <c r="U1240" i="18"/>
  <c r="S1240" i="18"/>
  <c r="P1240" i="18"/>
  <c r="W1240" i="18" s="1"/>
  <c r="M1240" i="18"/>
  <c r="T1240" i="18" s="1"/>
  <c r="C1240" i="18"/>
  <c r="D1240" i="18" s="1"/>
  <c r="X1239" i="18"/>
  <c r="V1239" i="18"/>
  <c r="U1239" i="18"/>
  <c r="S1239" i="18"/>
  <c r="P1239" i="18"/>
  <c r="W1239" i="18" s="1"/>
  <c r="M1239" i="18"/>
  <c r="T1239" i="18" s="1"/>
  <c r="C1239" i="18"/>
  <c r="D1239" i="18" s="1"/>
  <c r="X1238" i="18"/>
  <c r="V1238" i="18"/>
  <c r="U1238" i="18"/>
  <c r="S1238" i="18"/>
  <c r="P1238" i="18"/>
  <c r="W1238" i="18" s="1"/>
  <c r="M1238" i="18"/>
  <c r="T1238" i="18" s="1"/>
  <c r="C1238" i="18"/>
  <c r="D1238" i="18" s="1"/>
  <c r="X1237" i="18"/>
  <c r="V1237" i="18"/>
  <c r="U1237" i="18"/>
  <c r="S1237" i="18"/>
  <c r="P1237" i="18"/>
  <c r="W1237" i="18" s="1"/>
  <c r="M1237" i="18"/>
  <c r="T1237" i="18" s="1"/>
  <c r="C1237" i="18"/>
  <c r="D1237" i="18" s="1"/>
  <c r="X1236" i="18"/>
  <c r="V1236" i="18"/>
  <c r="U1236" i="18"/>
  <c r="S1236" i="18"/>
  <c r="P1236" i="18"/>
  <c r="W1236" i="18" s="1"/>
  <c r="M1236" i="18"/>
  <c r="T1236" i="18" s="1"/>
  <c r="C1236" i="18"/>
  <c r="D1236" i="18" s="1"/>
  <c r="X1235" i="18"/>
  <c r="V1235" i="18"/>
  <c r="U1235" i="18"/>
  <c r="S1235" i="18"/>
  <c r="P1235" i="18"/>
  <c r="W1235" i="18" s="1"/>
  <c r="M1235" i="18"/>
  <c r="T1235" i="18" s="1"/>
  <c r="C1235" i="18"/>
  <c r="D1235" i="18" s="1"/>
  <c r="X1234" i="18"/>
  <c r="V1234" i="18"/>
  <c r="U1234" i="18"/>
  <c r="S1234" i="18"/>
  <c r="P1234" i="18"/>
  <c r="W1234" i="18" s="1"/>
  <c r="M1234" i="18"/>
  <c r="T1234" i="18" s="1"/>
  <c r="C1234" i="18"/>
  <c r="D1234" i="18" s="1"/>
  <c r="X1233" i="18"/>
  <c r="V1233" i="18"/>
  <c r="U1233" i="18"/>
  <c r="T1233" i="18"/>
  <c r="S1233" i="18"/>
  <c r="P1233" i="18"/>
  <c r="W1233" i="18" s="1"/>
  <c r="M1233" i="18"/>
  <c r="C1233" i="18"/>
  <c r="D1233" i="18" s="1"/>
  <c r="X1232" i="18"/>
  <c r="V1232" i="18"/>
  <c r="U1232" i="18"/>
  <c r="S1232" i="18"/>
  <c r="P1232" i="18"/>
  <c r="W1232" i="18" s="1"/>
  <c r="M1232" i="18"/>
  <c r="T1232" i="18" s="1"/>
  <c r="C1232" i="18"/>
  <c r="D1232" i="18" s="1"/>
  <c r="X1231" i="18"/>
  <c r="V1231" i="18"/>
  <c r="U1231" i="18"/>
  <c r="S1231" i="18"/>
  <c r="P1231" i="18"/>
  <c r="W1231" i="18" s="1"/>
  <c r="M1231" i="18"/>
  <c r="T1231" i="18" s="1"/>
  <c r="C1231" i="18"/>
  <c r="D1231" i="18" s="1"/>
  <c r="X1230" i="18"/>
  <c r="V1230" i="18"/>
  <c r="U1230" i="18"/>
  <c r="S1230" i="18"/>
  <c r="P1230" i="18"/>
  <c r="W1230" i="18" s="1"/>
  <c r="M1230" i="18"/>
  <c r="T1230" i="18" s="1"/>
  <c r="C1230" i="18"/>
  <c r="D1230" i="18" s="1"/>
  <c r="X1229" i="18"/>
  <c r="V1229" i="18"/>
  <c r="U1229" i="18"/>
  <c r="T1229" i="18"/>
  <c r="S1229" i="18"/>
  <c r="P1229" i="18"/>
  <c r="W1229" i="18" s="1"/>
  <c r="M1229" i="18"/>
  <c r="C1229" i="18"/>
  <c r="D1229" i="18" s="1"/>
  <c r="X1228" i="18"/>
  <c r="V1228" i="18"/>
  <c r="U1228" i="18"/>
  <c r="S1228" i="18"/>
  <c r="P1228" i="18"/>
  <c r="W1228" i="18" s="1"/>
  <c r="M1228" i="18"/>
  <c r="T1228" i="18" s="1"/>
  <c r="C1228" i="18"/>
  <c r="D1228" i="18" s="1"/>
  <c r="X1227" i="18"/>
  <c r="V1227" i="18"/>
  <c r="U1227" i="18"/>
  <c r="S1227" i="18"/>
  <c r="P1227" i="18"/>
  <c r="W1227" i="18" s="1"/>
  <c r="M1227" i="18"/>
  <c r="T1227" i="18" s="1"/>
  <c r="C1227" i="18"/>
  <c r="D1227" i="18" s="1"/>
  <c r="X1226" i="18"/>
  <c r="V1226" i="18"/>
  <c r="U1226" i="18"/>
  <c r="S1226" i="18"/>
  <c r="P1226" i="18"/>
  <c r="W1226" i="18" s="1"/>
  <c r="M1226" i="18"/>
  <c r="T1226" i="18" s="1"/>
  <c r="C1226" i="18"/>
  <c r="D1226" i="18" s="1"/>
  <c r="X1225" i="18"/>
  <c r="V1225" i="18"/>
  <c r="U1225" i="18"/>
  <c r="S1225" i="18"/>
  <c r="P1225" i="18"/>
  <c r="W1225" i="18" s="1"/>
  <c r="M1225" i="18"/>
  <c r="T1225" i="18" s="1"/>
  <c r="C1225" i="18"/>
  <c r="D1225" i="18" s="1"/>
  <c r="X1224" i="18"/>
  <c r="V1224" i="18"/>
  <c r="U1224" i="18"/>
  <c r="S1224" i="18"/>
  <c r="P1224" i="18"/>
  <c r="W1224" i="18" s="1"/>
  <c r="M1224" i="18"/>
  <c r="T1224" i="18" s="1"/>
  <c r="C1224" i="18"/>
  <c r="D1224" i="18" s="1"/>
  <c r="X1223" i="18"/>
  <c r="V1223" i="18"/>
  <c r="U1223" i="18"/>
  <c r="S1223" i="18"/>
  <c r="P1223" i="18"/>
  <c r="W1223" i="18" s="1"/>
  <c r="M1223" i="18"/>
  <c r="T1223" i="18" s="1"/>
  <c r="C1223" i="18"/>
  <c r="D1223" i="18" s="1"/>
  <c r="X1222" i="18"/>
  <c r="V1222" i="18"/>
  <c r="U1222" i="18"/>
  <c r="S1222" i="18"/>
  <c r="P1222" i="18"/>
  <c r="W1222" i="18" s="1"/>
  <c r="M1222" i="18"/>
  <c r="T1222" i="18" s="1"/>
  <c r="C1222" i="18"/>
  <c r="D1222" i="18" s="1"/>
  <c r="X1221" i="18"/>
  <c r="V1221" i="18"/>
  <c r="U1221" i="18"/>
  <c r="S1221" i="18"/>
  <c r="P1221" i="18"/>
  <c r="W1221" i="18" s="1"/>
  <c r="M1221" i="18"/>
  <c r="T1221" i="18" s="1"/>
  <c r="C1221" i="18"/>
  <c r="D1221" i="18" s="1"/>
  <c r="X1220" i="18"/>
  <c r="V1220" i="18"/>
  <c r="U1220" i="18"/>
  <c r="S1220" i="18"/>
  <c r="P1220" i="18"/>
  <c r="W1220" i="18" s="1"/>
  <c r="M1220" i="18"/>
  <c r="T1220" i="18" s="1"/>
  <c r="C1220" i="18"/>
  <c r="D1220" i="18" s="1"/>
  <c r="X1219" i="18"/>
  <c r="V1219" i="18"/>
  <c r="U1219" i="18"/>
  <c r="T1219" i="18"/>
  <c r="S1219" i="18"/>
  <c r="P1219" i="18"/>
  <c r="W1219" i="18" s="1"/>
  <c r="M1219" i="18"/>
  <c r="D1219" i="18"/>
  <c r="C1219" i="18"/>
  <c r="X1218" i="18"/>
  <c r="V1218" i="18"/>
  <c r="U1218" i="18"/>
  <c r="S1218" i="18"/>
  <c r="P1218" i="18"/>
  <c r="W1218" i="18" s="1"/>
  <c r="M1218" i="18"/>
  <c r="T1218" i="18" s="1"/>
  <c r="C1218" i="18"/>
  <c r="D1218" i="18" s="1"/>
  <c r="X1217" i="18"/>
  <c r="V1217" i="18"/>
  <c r="U1217" i="18"/>
  <c r="S1217" i="18"/>
  <c r="P1217" i="18"/>
  <c r="W1217" i="18" s="1"/>
  <c r="M1217" i="18"/>
  <c r="T1217" i="18" s="1"/>
  <c r="C1217" i="18"/>
  <c r="D1217" i="18" s="1"/>
  <c r="X1216" i="18"/>
  <c r="V1216" i="18"/>
  <c r="U1216" i="18"/>
  <c r="S1216" i="18"/>
  <c r="P1216" i="18"/>
  <c r="W1216" i="18" s="1"/>
  <c r="M1216" i="18"/>
  <c r="T1216" i="18" s="1"/>
  <c r="C1216" i="18"/>
  <c r="D1216" i="18" s="1"/>
  <c r="X1215" i="18"/>
  <c r="V1215" i="18"/>
  <c r="U1215" i="18"/>
  <c r="S1215" i="18"/>
  <c r="P1215" i="18"/>
  <c r="W1215" i="18" s="1"/>
  <c r="M1215" i="18"/>
  <c r="T1215" i="18" s="1"/>
  <c r="C1215" i="18"/>
  <c r="D1215" i="18" s="1"/>
  <c r="X1214" i="18"/>
  <c r="V1214" i="18"/>
  <c r="U1214" i="18"/>
  <c r="S1214" i="18"/>
  <c r="P1214" i="18"/>
  <c r="W1214" i="18" s="1"/>
  <c r="M1214" i="18"/>
  <c r="T1214" i="18" s="1"/>
  <c r="C1214" i="18"/>
  <c r="D1214" i="18" s="1"/>
  <c r="X1213" i="18"/>
  <c r="V1213" i="18"/>
  <c r="U1213" i="18"/>
  <c r="S1213" i="18"/>
  <c r="P1213" i="18"/>
  <c r="W1213" i="18" s="1"/>
  <c r="M1213" i="18"/>
  <c r="T1213" i="18" s="1"/>
  <c r="C1213" i="18"/>
  <c r="D1213" i="18" s="1"/>
  <c r="X1212" i="18"/>
  <c r="V1212" i="18"/>
  <c r="U1212" i="18"/>
  <c r="S1212" i="18"/>
  <c r="P1212" i="18"/>
  <c r="W1212" i="18" s="1"/>
  <c r="M1212" i="18"/>
  <c r="T1212" i="18" s="1"/>
  <c r="C1212" i="18"/>
  <c r="D1212" i="18" s="1"/>
  <c r="X1211" i="18"/>
  <c r="V1211" i="18"/>
  <c r="U1211" i="18"/>
  <c r="S1211" i="18"/>
  <c r="P1211" i="18"/>
  <c r="W1211" i="18" s="1"/>
  <c r="M1211" i="18"/>
  <c r="T1211" i="18" s="1"/>
  <c r="C1211" i="18"/>
  <c r="D1211" i="18" s="1"/>
  <c r="X1210" i="18"/>
  <c r="V1210" i="18"/>
  <c r="U1210" i="18"/>
  <c r="S1210" i="18"/>
  <c r="P1210" i="18"/>
  <c r="W1210" i="18" s="1"/>
  <c r="M1210" i="18"/>
  <c r="T1210" i="18" s="1"/>
  <c r="C1210" i="18"/>
  <c r="D1210" i="18" s="1"/>
  <c r="X1209" i="18"/>
  <c r="V1209" i="18"/>
  <c r="U1209" i="18"/>
  <c r="T1209" i="18"/>
  <c r="S1209" i="18"/>
  <c r="P1209" i="18"/>
  <c r="W1209" i="18" s="1"/>
  <c r="M1209" i="18"/>
  <c r="C1209" i="18"/>
  <c r="D1209" i="18" s="1"/>
  <c r="X1208" i="18"/>
  <c r="V1208" i="18"/>
  <c r="U1208" i="18"/>
  <c r="S1208" i="18"/>
  <c r="P1208" i="18"/>
  <c r="W1208" i="18" s="1"/>
  <c r="M1208" i="18"/>
  <c r="T1208" i="18" s="1"/>
  <c r="C1208" i="18"/>
  <c r="D1208" i="18" s="1"/>
  <c r="X1207" i="18"/>
  <c r="V1207" i="18"/>
  <c r="U1207" i="18"/>
  <c r="S1207" i="18"/>
  <c r="P1207" i="18"/>
  <c r="W1207" i="18" s="1"/>
  <c r="M1207" i="18"/>
  <c r="T1207" i="18" s="1"/>
  <c r="C1207" i="18"/>
  <c r="D1207" i="18" s="1"/>
  <c r="X1206" i="18"/>
  <c r="V1206" i="18"/>
  <c r="U1206" i="18"/>
  <c r="S1206" i="18"/>
  <c r="P1206" i="18"/>
  <c r="W1206" i="18" s="1"/>
  <c r="M1206" i="18"/>
  <c r="T1206" i="18" s="1"/>
  <c r="C1206" i="18"/>
  <c r="D1206" i="18" s="1"/>
  <c r="X1205" i="18"/>
  <c r="V1205" i="18"/>
  <c r="U1205" i="18"/>
  <c r="T1205" i="18"/>
  <c r="S1205" i="18"/>
  <c r="P1205" i="18"/>
  <c r="W1205" i="18" s="1"/>
  <c r="M1205" i="18"/>
  <c r="C1205" i="18"/>
  <c r="D1205" i="18" s="1"/>
  <c r="X1204" i="18"/>
  <c r="V1204" i="18"/>
  <c r="U1204" i="18"/>
  <c r="S1204" i="18"/>
  <c r="P1204" i="18"/>
  <c r="W1204" i="18" s="1"/>
  <c r="M1204" i="18"/>
  <c r="T1204" i="18" s="1"/>
  <c r="C1204" i="18"/>
  <c r="D1204" i="18" s="1"/>
  <c r="X1203" i="18"/>
  <c r="V1203" i="18"/>
  <c r="U1203" i="18"/>
  <c r="S1203" i="18"/>
  <c r="P1203" i="18"/>
  <c r="W1203" i="18" s="1"/>
  <c r="M1203" i="18"/>
  <c r="T1203" i="18" s="1"/>
  <c r="C1203" i="18"/>
  <c r="D1203" i="18" s="1"/>
  <c r="X1202" i="18"/>
  <c r="V1202" i="18"/>
  <c r="U1202" i="18"/>
  <c r="S1202" i="18"/>
  <c r="P1202" i="18"/>
  <c r="W1202" i="18" s="1"/>
  <c r="M1202" i="18"/>
  <c r="T1202" i="18" s="1"/>
  <c r="C1202" i="18"/>
  <c r="D1202" i="18" s="1"/>
  <c r="X1201" i="18"/>
  <c r="V1201" i="18"/>
  <c r="U1201" i="18"/>
  <c r="S1201" i="18"/>
  <c r="P1201" i="18"/>
  <c r="W1201" i="18" s="1"/>
  <c r="M1201" i="18"/>
  <c r="T1201" i="18" s="1"/>
  <c r="C1201" i="18"/>
  <c r="D1201" i="18" s="1"/>
  <c r="X1200" i="18"/>
  <c r="V1200" i="18"/>
  <c r="U1200" i="18"/>
  <c r="S1200" i="18"/>
  <c r="P1200" i="18"/>
  <c r="W1200" i="18" s="1"/>
  <c r="M1200" i="18"/>
  <c r="T1200" i="18" s="1"/>
  <c r="C1200" i="18"/>
  <c r="D1200" i="18" s="1"/>
  <c r="X1199" i="18"/>
  <c r="V1199" i="18"/>
  <c r="U1199" i="18"/>
  <c r="S1199" i="18"/>
  <c r="P1199" i="18"/>
  <c r="W1199" i="18" s="1"/>
  <c r="M1199" i="18"/>
  <c r="T1199" i="18" s="1"/>
  <c r="C1199" i="18"/>
  <c r="D1199" i="18" s="1"/>
  <c r="X1198" i="18"/>
  <c r="V1198" i="18"/>
  <c r="U1198" i="18"/>
  <c r="S1198" i="18"/>
  <c r="P1198" i="18"/>
  <c r="W1198" i="18" s="1"/>
  <c r="M1198" i="18"/>
  <c r="T1198" i="18" s="1"/>
  <c r="C1198" i="18"/>
  <c r="D1198" i="18" s="1"/>
  <c r="X1197" i="18"/>
  <c r="V1197" i="18"/>
  <c r="U1197" i="18"/>
  <c r="S1197" i="18"/>
  <c r="P1197" i="18"/>
  <c r="W1197" i="18" s="1"/>
  <c r="M1197" i="18"/>
  <c r="T1197" i="18" s="1"/>
  <c r="C1197" i="18"/>
  <c r="D1197" i="18" s="1"/>
  <c r="X1196" i="18"/>
  <c r="V1196" i="18"/>
  <c r="U1196" i="18"/>
  <c r="S1196" i="18"/>
  <c r="P1196" i="18"/>
  <c r="W1196" i="18" s="1"/>
  <c r="M1196" i="18"/>
  <c r="T1196" i="18" s="1"/>
  <c r="C1196" i="18"/>
  <c r="D1196" i="18" s="1"/>
  <c r="X1195" i="18"/>
  <c r="V1195" i="18"/>
  <c r="U1195" i="18"/>
  <c r="S1195" i="18"/>
  <c r="P1195" i="18"/>
  <c r="W1195" i="18" s="1"/>
  <c r="M1195" i="18"/>
  <c r="T1195" i="18" s="1"/>
  <c r="C1195" i="18"/>
  <c r="D1195" i="18" s="1"/>
  <c r="X1194" i="18"/>
  <c r="V1194" i="18"/>
  <c r="U1194" i="18"/>
  <c r="S1194" i="18"/>
  <c r="P1194" i="18"/>
  <c r="W1194" i="18" s="1"/>
  <c r="M1194" i="18"/>
  <c r="T1194" i="18" s="1"/>
  <c r="C1194" i="18"/>
  <c r="D1194" i="18" s="1"/>
  <c r="X1193" i="18"/>
  <c r="V1193" i="18"/>
  <c r="U1193" i="18"/>
  <c r="S1193" i="18"/>
  <c r="P1193" i="18"/>
  <c r="W1193" i="18" s="1"/>
  <c r="M1193" i="18"/>
  <c r="T1193" i="18" s="1"/>
  <c r="C1193" i="18"/>
  <c r="D1193" i="18" s="1"/>
  <c r="X1192" i="18"/>
  <c r="V1192" i="18"/>
  <c r="U1192" i="18"/>
  <c r="S1192" i="18"/>
  <c r="P1192" i="18"/>
  <c r="W1192" i="18" s="1"/>
  <c r="M1192" i="18"/>
  <c r="T1192" i="18" s="1"/>
  <c r="C1192" i="18"/>
  <c r="D1192" i="18" s="1"/>
  <c r="X1191" i="18"/>
  <c r="V1191" i="18"/>
  <c r="U1191" i="18"/>
  <c r="T1191" i="18"/>
  <c r="S1191" i="18"/>
  <c r="P1191" i="18"/>
  <c r="W1191" i="18" s="1"/>
  <c r="M1191" i="18"/>
  <c r="C1191" i="18"/>
  <c r="D1191" i="18" s="1"/>
  <c r="X1190" i="18"/>
  <c r="V1190" i="18"/>
  <c r="U1190" i="18"/>
  <c r="S1190" i="18"/>
  <c r="P1190" i="18"/>
  <c r="W1190" i="18" s="1"/>
  <c r="M1190" i="18"/>
  <c r="T1190" i="18" s="1"/>
  <c r="C1190" i="18"/>
  <c r="D1190" i="18" s="1"/>
  <c r="X1189" i="18"/>
  <c r="V1189" i="18"/>
  <c r="U1189" i="18"/>
  <c r="S1189" i="18"/>
  <c r="P1189" i="18"/>
  <c r="W1189" i="18" s="1"/>
  <c r="M1189" i="18"/>
  <c r="T1189" i="18" s="1"/>
  <c r="C1189" i="18"/>
  <c r="D1189" i="18" s="1"/>
  <c r="X1188" i="18"/>
  <c r="V1188" i="18"/>
  <c r="U1188" i="18"/>
  <c r="S1188" i="18"/>
  <c r="P1188" i="18"/>
  <c r="W1188" i="18" s="1"/>
  <c r="M1188" i="18"/>
  <c r="T1188" i="18" s="1"/>
  <c r="C1188" i="18"/>
  <c r="D1188" i="18" s="1"/>
  <c r="X1187" i="18"/>
  <c r="V1187" i="18"/>
  <c r="U1187" i="18"/>
  <c r="T1187" i="18"/>
  <c r="S1187" i="18"/>
  <c r="P1187" i="18"/>
  <c r="W1187" i="18" s="1"/>
  <c r="M1187" i="18"/>
  <c r="D1187" i="18"/>
  <c r="C1187" i="18"/>
  <c r="X1186" i="18"/>
  <c r="V1186" i="18"/>
  <c r="U1186" i="18"/>
  <c r="S1186" i="18"/>
  <c r="P1186" i="18"/>
  <c r="W1186" i="18" s="1"/>
  <c r="M1186" i="18"/>
  <c r="T1186" i="18" s="1"/>
  <c r="C1186" i="18"/>
  <c r="D1186" i="18" s="1"/>
  <c r="X1185" i="18"/>
  <c r="V1185" i="18"/>
  <c r="U1185" i="18"/>
  <c r="S1185" i="18"/>
  <c r="P1185" i="18"/>
  <c r="W1185" i="18" s="1"/>
  <c r="M1185" i="18"/>
  <c r="T1185" i="18" s="1"/>
  <c r="C1185" i="18"/>
  <c r="D1185" i="18" s="1"/>
  <c r="X1184" i="18"/>
  <c r="V1184" i="18"/>
  <c r="U1184" i="18"/>
  <c r="S1184" i="18"/>
  <c r="P1184" i="18"/>
  <c r="W1184" i="18" s="1"/>
  <c r="M1184" i="18"/>
  <c r="T1184" i="18" s="1"/>
  <c r="C1184" i="18"/>
  <c r="D1184" i="18" s="1"/>
  <c r="X1183" i="18"/>
  <c r="V1183" i="18"/>
  <c r="U1183" i="18"/>
  <c r="S1183" i="18"/>
  <c r="P1183" i="18"/>
  <c r="W1183" i="18" s="1"/>
  <c r="M1183" i="18"/>
  <c r="T1183" i="18" s="1"/>
  <c r="C1183" i="18"/>
  <c r="D1183" i="18" s="1"/>
  <c r="X1182" i="18"/>
  <c r="V1182" i="18"/>
  <c r="U1182" i="18"/>
  <c r="S1182" i="18"/>
  <c r="P1182" i="18"/>
  <c r="W1182" i="18" s="1"/>
  <c r="M1182" i="18"/>
  <c r="T1182" i="18" s="1"/>
  <c r="C1182" i="18"/>
  <c r="D1182" i="18" s="1"/>
  <c r="X1181" i="18"/>
  <c r="V1181" i="18"/>
  <c r="U1181" i="18"/>
  <c r="S1181" i="18"/>
  <c r="P1181" i="18"/>
  <c r="W1181" i="18" s="1"/>
  <c r="M1181" i="18"/>
  <c r="T1181" i="18" s="1"/>
  <c r="C1181" i="18"/>
  <c r="D1181" i="18" s="1"/>
  <c r="X1180" i="18"/>
  <c r="V1180" i="18"/>
  <c r="U1180" i="18"/>
  <c r="S1180" i="18"/>
  <c r="P1180" i="18"/>
  <c r="W1180" i="18" s="1"/>
  <c r="M1180" i="18"/>
  <c r="T1180" i="18" s="1"/>
  <c r="C1180" i="18"/>
  <c r="D1180" i="18" s="1"/>
  <c r="X1179" i="18"/>
  <c r="V1179" i="18"/>
  <c r="U1179" i="18"/>
  <c r="S1179" i="18"/>
  <c r="P1179" i="18"/>
  <c r="W1179" i="18" s="1"/>
  <c r="M1179" i="18"/>
  <c r="T1179" i="18" s="1"/>
  <c r="C1179" i="18"/>
  <c r="D1179" i="18" s="1"/>
  <c r="X1178" i="18"/>
  <c r="V1178" i="18"/>
  <c r="U1178" i="18"/>
  <c r="S1178" i="18"/>
  <c r="P1178" i="18"/>
  <c r="W1178" i="18" s="1"/>
  <c r="M1178" i="18"/>
  <c r="T1178" i="18" s="1"/>
  <c r="C1178" i="18"/>
  <c r="D1178" i="18" s="1"/>
  <c r="X1177" i="18"/>
  <c r="V1177" i="18"/>
  <c r="U1177" i="18"/>
  <c r="T1177" i="18"/>
  <c r="S1177" i="18"/>
  <c r="P1177" i="18"/>
  <c r="W1177" i="18" s="1"/>
  <c r="M1177" i="18"/>
  <c r="C1177" i="18"/>
  <c r="D1177" i="18" s="1"/>
  <c r="X1176" i="18"/>
  <c r="V1176" i="18"/>
  <c r="U1176" i="18"/>
  <c r="S1176" i="18"/>
  <c r="P1176" i="18"/>
  <c r="W1176" i="18" s="1"/>
  <c r="M1176" i="18"/>
  <c r="T1176" i="18" s="1"/>
  <c r="C1176" i="18"/>
  <c r="D1176" i="18" s="1"/>
  <c r="X1175" i="18"/>
  <c r="V1175" i="18"/>
  <c r="U1175" i="18"/>
  <c r="S1175" i="18"/>
  <c r="P1175" i="18"/>
  <c r="W1175" i="18" s="1"/>
  <c r="M1175" i="18"/>
  <c r="T1175" i="18" s="1"/>
  <c r="C1175" i="18"/>
  <c r="D1175" i="18" s="1"/>
  <c r="X1174" i="18"/>
  <c r="V1174" i="18"/>
  <c r="U1174" i="18"/>
  <c r="S1174" i="18"/>
  <c r="P1174" i="18"/>
  <c r="W1174" i="18" s="1"/>
  <c r="M1174" i="18"/>
  <c r="T1174" i="18" s="1"/>
  <c r="C1174" i="18"/>
  <c r="D1174" i="18" s="1"/>
  <c r="X1173" i="18"/>
  <c r="V1173" i="18"/>
  <c r="U1173" i="18"/>
  <c r="T1173" i="18"/>
  <c r="S1173" i="18"/>
  <c r="P1173" i="18"/>
  <c r="W1173" i="18" s="1"/>
  <c r="M1173" i="18"/>
  <c r="C1173" i="18"/>
  <c r="D1173" i="18" s="1"/>
  <c r="X1172" i="18"/>
  <c r="V1172" i="18"/>
  <c r="U1172" i="18"/>
  <c r="S1172" i="18"/>
  <c r="P1172" i="18"/>
  <c r="W1172" i="18" s="1"/>
  <c r="M1172" i="18"/>
  <c r="T1172" i="18" s="1"/>
  <c r="C1172" i="18"/>
  <c r="D1172" i="18" s="1"/>
  <c r="X1171" i="18"/>
  <c r="V1171" i="18"/>
  <c r="U1171" i="18"/>
  <c r="S1171" i="18"/>
  <c r="P1171" i="18"/>
  <c r="W1171" i="18" s="1"/>
  <c r="M1171" i="18"/>
  <c r="T1171" i="18" s="1"/>
  <c r="C1171" i="18"/>
  <c r="D1171" i="18" s="1"/>
  <c r="X1170" i="18"/>
  <c r="V1170" i="18"/>
  <c r="U1170" i="18"/>
  <c r="S1170" i="18"/>
  <c r="P1170" i="18"/>
  <c r="W1170" i="18" s="1"/>
  <c r="M1170" i="18"/>
  <c r="T1170" i="18" s="1"/>
  <c r="C1170" i="18"/>
  <c r="D1170" i="18" s="1"/>
  <c r="X1169" i="18"/>
  <c r="V1169" i="18"/>
  <c r="U1169" i="18"/>
  <c r="S1169" i="18"/>
  <c r="P1169" i="18"/>
  <c r="W1169" i="18" s="1"/>
  <c r="M1169" i="18"/>
  <c r="T1169" i="18" s="1"/>
  <c r="C1169" i="18"/>
  <c r="D1169" i="18" s="1"/>
  <c r="X1168" i="18"/>
  <c r="V1168" i="18"/>
  <c r="U1168" i="18"/>
  <c r="S1168" i="18"/>
  <c r="P1168" i="18"/>
  <c r="W1168" i="18" s="1"/>
  <c r="M1168" i="18"/>
  <c r="T1168" i="18" s="1"/>
  <c r="C1168" i="18"/>
  <c r="D1168" i="18" s="1"/>
  <c r="X1167" i="18"/>
  <c r="V1167" i="18"/>
  <c r="U1167" i="18"/>
  <c r="S1167" i="18"/>
  <c r="P1167" i="18"/>
  <c r="W1167" i="18" s="1"/>
  <c r="M1167" i="18"/>
  <c r="T1167" i="18" s="1"/>
  <c r="C1167" i="18"/>
  <c r="D1167" i="18" s="1"/>
  <c r="X1166" i="18"/>
  <c r="V1166" i="18"/>
  <c r="U1166" i="18"/>
  <c r="S1166" i="18"/>
  <c r="P1166" i="18"/>
  <c r="W1166" i="18" s="1"/>
  <c r="M1166" i="18"/>
  <c r="T1166" i="18" s="1"/>
  <c r="C1166" i="18"/>
  <c r="D1166" i="18" s="1"/>
  <c r="X1165" i="18"/>
  <c r="V1165" i="18"/>
  <c r="U1165" i="18"/>
  <c r="S1165" i="18"/>
  <c r="P1165" i="18"/>
  <c r="W1165" i="18" s="1"/>
  <c r="M1165" i="18"/>
  <c r="T1165" i="18" s="1"/>
  <c r="C1165" i="18"/>
  <c r="D1165" i="18" s="1"/>
  <c r="X1164" i="18"/>
  <c r="V1164" i="18"/>
  <c r="U1164" i="18"/>
  <c r="S1164" i="18"/>
  <c r="P1164" i="18"/>
  <c r="W1164" i="18" s="1"/>
  <c r="M1164" i="18"/>
  <c r="T1164" i="18" s="1"/>
  <c r="C1164" i="18"/>
  <c r="D1164" i="18" s="1"/>
  <c r="X1163" i="18"/>
  <c r="V1163" i="18"/>
  <c r="U1163" i="18"/>
  <c r="S1163" i="18"/>
  <c r="P1163" i="18"/>
  <c r="W1163" i="18" s="1"/>
  <c r="M1163" i="18"/>
  <c r="T1163" i="18" s="1"/>
  <c r="C1163" i="18"/>
  <c r="D1163" i="18" s="1"/>
  <c r="X1162" i="18"/>
  <c r="V1162" i="18"/>
  <c r="U1162" i="18"/>
  <c r="S1162" i="18"/>
  <c r="P1162" i="18"/>
  <c r="W1162" i="18" s="1"/>
  <c r="M1162" i="18"/>
  <c r="T1162" i="18" s="1"/>
  <c r="C1162" i="18"/>
  <c r="D1162" i="18" s="1"/>
  <c r="X1161" i="18"/>
  <c r="V1161" i="18"/>
  <c r="U1161" i="18"/>
  <c r="S1161" i="18"/>
  <c r="P1161" i="18"/>
  <c r="W1161" i="18" s="1"/>
  <c r="M1161" i="18"/>
  <c r="T1161" i="18" s="1"/>
  <c r="C1161" i="18"/>
  <c r="D1161" i="18" s="1"/>
  <c r="X1160" i="18"/>
  <c r="V1160" i="18"/>
  <c r="U1160" i="18"/>
  <c r="S1160" i="18"/>
  <c r="P1160" i="18"/>
  <c r="W1160" i="18" s="1"/>
  <c r="M1160" i="18"/>
  <c r="T1160" i="18" s="1"/>
  <c r="C1160" i="18"/>
  <c r="D1160" i="18" s="1"/>
  <c r="X1159" i="18"/>
  <c r="V1159" i="18"/>
  <c r="U1159" i="18"/>
  <c r="T1159" i="18"/>
  <c r="S1159" i="18"/>
  <c r="P1159" i="18"/>
  <c r="W1159" i="18" s="1"/>
  <c r="M1159" i="18"/>
  <c r="C1159" i="18"/>
  <c r="D1159" i="18" s="1"/>
  <c r="X1158" i="18"/>
  <c r="V1158" i="18"/>
  <c r="U1158" i="18"/>
  <c r="S1158" i="18"/>
  <c r="P1158" i="18"/>
  <c r="W1158" i="18" s="1"/>
  <c r="M1158" i="18"/>
  <c r="T1158" i="18" s="1"/>
  <c r="C1158" i="18"/>
  <c r="D1158" i="18" s="1"/>
  <c r="X1157" i="18"/>
  <c r="V1157" i="18"/>
  <c r="U1157" i="18"/>
  <c r="S1157" i="18"/>
  <c r="P1157" i="18"/>
  <c r="W1157" i="18" s="1"/>
  <c r="M1157" i="18"/>
  <c r="T1157" i="18" s="1"/>
  <c r="C1157" i="18"/>
  <c r="D1157" i="18" s="1"/>
  <c r="X1156" i="18"/>
  <c r="V1156" i="18"/>
  <c r="U1156" i="18"/>
  <c r="S1156" i="18"/>
  <c r="P1156" i="18"/>
  <c r="W1156" i="18" s="1"/>
  <c r="M1156" i="18"/>
  <c r="T1156" i="18" s="1"/>
  <c r="C1156" i="18"/>
  <c r="D1156" i="18" s="1"/>
  <c r="X1155" i="18"/>
  <c r="V1155" i="18"/>
  <c r="U1155" i="18"/>
  <c r="S1155" i="18"/>
  <c r="P1155" i="18"/>
  <c r="W1155" i="18" s="1"/>
  <c r="M1155" i="18"/>
  <c r="T1155" i="18" s="1"/>
  <c r="C1155" i="18"/>
  <c r="D1155" i="18" s="1"/>
  <c r="X1154" i="18"/>
  <c r="V1154" i="18"/>
  <c r="U1154" i="18"/>
  <c r="S1154" i="18"/>
  <c r="P1154" i="18"/>
  <c r="W1154" i="18" s="1"/>
  <c r="M1154" i="18"/>
  <c r="T1154" i="18" s="1"/>
  <c r="C1154" i="18"/>
  <c r="D1154" i="18" s="1"/>
  <c r="X1153" i="18"/>
  <c r="V1153" i="18"/>
  <c r="U1153" i="18"/>
  <c r="T1153" i="18"/>
  <c r="S1153" i="18"/>
  <c r="P1153" i="18"/>
  <c r="W1153" i="18" s="1"/>
  <c r="M1153" i="18"/>
  <c r="C1153" i="18"/>
  <c r="D1153" i="18" s="1"/>
  <c r="X1152" i="18"/>
  <c r="V1152" i="18"/>
  <c r="U1152" i="18"/>
  <c r="S1152" i="18"/>
  <c r="P1152" i="18"/>
  <c r="W1152" i="18" s="1"/>
  <c r="M1152" i="18"/>
  <c r="T1152" i="18" s="1"/>
  <c r="C1152" i="18"/>
  <c r="D1152" i="18" s="1"/>
  <c r="X1151" i="18"/>
  <c r="V1151" i="18"/>
  <c r="U1151" i="18"/>
  <c r="S1151" i="18"/>
  <c r="P1151" i="18"/>
  <c r="W1151" i="18" s="1"/>
  <c r="M1151" i="18"/>
  <c r="T1151" i="18" s="1"/>
  <c r="C1151" i="18"/>
  <c r="D1151" i="18" s="1"/>
  <c r="X1150" i="18"/>
  <c r="V1150" i="18"/>
  <c r="U1150" i="18"/>
  <c r="S1150" i="18"/>
  <c r="P1150" i="18"/>
  <c r="W1150" i="18" s="1"/>
  <c r="M1150" i="18"/>
  <c r="T1150" i="18" s="1"/>
  <c r="C1150" i="18"/>
  <c r="D1150" i="18" s="1"/>
  <c r="X1149" i="18"/>
  <c r="V1149" i="18"/>
  <c r="U1149" i="18"/>
  <c r="S1149" i="18"/>
  <c r="P1149" i="18"/>
  <c r="W1149" i="18" s="1"/>
  <c r="M1149" i="18"/>
  <c r="T1149" i="18" s="1"/>
  <c r="C1149" i="18"/>
  <c r="D1149" i="18" s="1"/>
  <c r="X1148" i="18"/>
  <c r="V1148" i="18"/>
  <c r="U1148" i="18"/>
  <c r="S1148" i="18"/>
  <c r="P1148" i="18"/>
  <c r="W1148" i="18" s="1"/>
  <c r="M1148" i="18"/>
  <c r="T1148" i="18" s="1"/>
  <c r="C1148" i="18"/>
  <c r="D1148" i="18" s="1"/>
  <c r="X1147" i="18"/>
  <c r="V1147" i="18"/>
  <c r="U1147" i="18"/>
  <c r="T1147" i="18"/>
  <c r="S1147" i="18"/>
  <c r="P1147" i="18"/>
  <c r="W1147" i="18" s="1"/>
  <c r="M1147" i="18"/>
  <c r="C1147" i="18"/>
  <c r="D1147" i="18" s="1"/>
  <c r="X1146" i="18"/>
  <c r="V1146" i="18"/>
  <c r="U1146" i="18"/>
  <c r="S1146" i="18"/>
  <c r="P1146" i="18"/>
  <c r="W1146" i="18" s="1"/>
  <c r="M1146" i="18"/>
  <c r="T1146" i="18" s="1"/>
  <c r="C1146" i="18"/>
  <c r="D1146" i="18" s="1"/>
  <c r="X1145" i="18"/>
  <c r="V1145" i="18"/>
  <c r="U1145" i="18"/>
  <c r="S1145" i="18"/>
  <c r="P1145" i="18"/>
  <c r="W1145" i="18" s="1"/>
  <c r="M1145" i="18"/>
  <c r="T1145" i="18" s="1"/>
  <c r="C1145" i="18"/>
  <c r="D1145" i="18" s="1"/>
  <c r="X1144" i="18"/>
  <c r="V1144" i="18"/>
  <c r="U1144" i="18"/>
  <c r="S1144" i="18"/>
  <c r="P1144" i="18"/>
  <c r="W1144" i="18" s="1"/>
  <c r="M1144" i="18"/>
  <c r="T1144" i="18" s="1"/>
  <c r="C1144" i="18"/>
  <c r="D1144" i="18" s="1"/>
  <c r="X1143" i="18"/>
  <c r="V1143" i="18"/>
  <c r="U1143" i="18"/>
  <c r="S1143" i="18"/>
  <c r="P1143" i="18"/>
  <c r="W1143" i="18" s="1"/>
  <c r="M1143" i="18"/>
  <c r="T1143" i="18" s="1"/>
  <c r="C1143" i="18"/>
  <c r="D1143" i="18" s="1"/>
  <c r="X1142" i="18"/>
  <c r="V1142" i="18"/>
  <c r="U1142" i="18"/>
  <c r="S1142" i="18"/>
  <c r="P1142" i="18"/>
  <c r="W1142" i="18" s="1"/>
  <c r="M1142" i="18"/>
  <c r="T1142" i="18" s="1"/>
  <c r="C1142" i="18"/>
  <c r="D1142" i="18" s="1"/>
  <c r="X1141" i="18"/>
  <c r="V1141" i="18"/>
  <c r="U1141" i="18"/>
  <c r="S1141" i="18"/>
  <c r="P1141" i="18"/>
  <c r="W1141" i="18" s="1"/>
  <c r="M1141" i="18"/>
  <c r="T1141" i="18" s="1"/>
  <c r="C1141" i="18"/>
  <c r="D1141" i="18" s="1"/>
  <c r="X1140" i="18"/>
  <c r="V1140" i="18"/>
  <c r="U1140" i="18"/>
  <c r="S1140" i="18"/>
  <c r="P1140" i="18"/>
  <c r="W1140" i="18" s="1"/>
  <c r="M1140" i="18"/>
  <c r="T1140" i="18" s="1"/>
  <c r="C1140" i="18"/>
  <c r="D1140" i="18" s="1"/>
  <c r="X1139" i="18"/>
  <c r="V1139" i="18"/>
  <c r="U1139" i="18"/>
  <c r="S1139" i="18"/>
  <c r="P1139" i="18"/>
  <c r="W1139" i="18" s="1"/>
  <c r="M1139" i="18"/>
  <c r="T1139" i="18" s="1"/>
  <c r="C1139" i="18"/>
  <c r="D1139" i="18" s="1"/>
  <c r="X1138" i="18"/>
  <c r="V1138" i="18"/>
  <c r="U1138" i="18"/>
  <c r="S1138" i="18"/>
  <c r="P1138" i="18"/>
  <c r="W1138" i="18" s="1"/>
  <c r="M1138" i="18"/>
  <c r="T1138" i="18" s="1"/>
  <c r="C1138" i="18"/>
  <c r="D1138" i="18" s="1"/>
  <c r="X1137" i="18"/>
  <c r="V1137" i="18"/>
  <c r="U1137" i="18"/>
  <c r="S1137" i="18"/>
  <c r="P1137" i="18"/>
  <c r="W1137" i="18" s="1"/>
  <c r="M1137" i="18"/>
  <c r="T1137" i="18" s="1"/>
  <c r="C1137" i="18"/>
  <c r="D1137" i="18" s="1"/>
  <c r="X1136" i="18"/>
  <c r="V1136" i="18"/>
  <c r="U1136" i="18"/>
  <c r="S1136" i="18"/>
  <c r="P1136" i="18"/>
  <c r="W1136" i="18" s="1"/>
  <c r="M1136" i="18"/>
  <c r="T1136" i="18" s="1"/>
  <c r="C1136" i="18"/>
  <c r="D1136" i="18" s="1"/>
  <c r="X1135" i="18"/>
  <c r="V1135" i="18"/>
  <c r="U1135" i="18"/>
  <c r="S1135" i="18"/>
  <c r="P1135" i="18"/>
  <c r="W1135" i="18" s="1"/>
  <c r="M1135" i="18"/>
  <c r="T1135" i="18" s="1"/>
  <c r="C1135" i="18"/>
  <c r="D1135" i="18" s="1"/>
  <c r="X1134" i="18"/>
  <c r="V1134" i="18"/>
  <c r="U1134" i="18"/>
  <c r="S1134" i="18"/>
  <c r="P1134" i="18"/>
  <c r="W1134" i="18" s="1"/>
  <c r="M1134" i="18"/>
  <c r="T1134" i="18" s="1"/>
  <c r="C1134" i="18"/>
  <c r="D1134" i="18" s="1"/>
  <c r="X1133" i="18"/>
  <c r="V1133" i="18"/>
  <c r="U1133" i="18"/>
  <c r="S1133" i="18"/>
  <c r="P1133" i="18"/>
  <c r="W1133" i="18" s="1"/>
  <c r="M1133" i="18"/>
  <c r="T1133" i="18" s="1"/>
  <c r="C1133" i="18"/>
  <c r="D1133" i="18" s="1"/>
  <c r="X1132" i="18"/>
  <c r="V1132" i="18"/>
  <c r="U1132" i="18"/>
  <c r="S1132" i="18"/>
  <c r="P1132" i="18"/>
  <c r="W1132" i="18" s="1"/>
  <c r="M1132" i="18"/>
  <c r="T1132" i="18" s="1"/>
  <c r="C1132" i="18"/>
  <c r="D1132" i="18" s="1"/>
  <c r="X1131" i="18"/>
  <c r="V1131" i="18"/>
  <c r="U1131" i="18"/>
  <c r="T1131" i="18"/>
  <c r="S1131" i="18"/>
  <c r="P1131" i="18"/>
  <c r="W1131" i="18" s="1"/>
  <c r="M1131" i="18"/>
  <c r="C1131" i="18"/>
  <c r="D1131" i="18" s="1"/>
  <c r="X1130" i="18"/>
  <c r="V1130" i="18"/>
  <c r="U1130" i="18"/>
  <c r="S1130" i="18"/>
  <c r="P1130" i="18"/>
  <c r="W1130" i="18" s="1"/>
  <c r="M1130" i="18"/>
  <c r="T1130" i="18" s="1"/>
  <c r="C1130" i="18"/>
  <c r="D1130" i="18" s="1"/>
  <c r="X1129" i="18"/>
  <c r="V1129" i="18"/>
  <c r="U1129" i="18"/>
  <c r="S1129" i="18"/>
  <c r="P1129" i="18"/>
  <c r="W1129" i="18" s="1"/>
  <c r="M1129" i="18"/>
  <c r="T1129" i="18" s="1"/>
  <c r="C1129" i="18"/>
  <c r="D1129" i="18" s="1"/>
  <c r="X1128" i="18"/>
  <c r="V1128" i="18"/>
  <c r="U1128" i="18"/>
  <c r="S1128" i="18"/>
  <c r="P1128" i="18"/>
  <c r="W1128" i="18" s="1"/>
  <c r="M1128" i="18"/>
  <c r="T1128" i="18" s="1"/>
  <c r="C1128" i="18"/>
  <c r="D1128" i="18" s="1"/>
  <c r="X1127" i="18"/>
  <c r="V1127" i="18"/>
  <c r="U1127" i="18"/>
  <c r="S1127" i="18"/>
  <c r="P1127" i="18"/>
  <c r="W1127" i="18" s="1"/>
  <c r="M1127" i="18"/>
  <c r="T1127" i="18" s="1"/>
  <c r="C1127" i="18"/>
  <c r="D1127" i="18" s="1"/>
  <c r="X1126" i="18"/>
  <c r="V1126" i="18"/>
  <c r="U1126" i="18"/>
  <c r="S1126" i="18"/>
  <c r="P1126" i="18"/>
  <c r="W1126" i="18" s="1"/>
  <c r="M1126" i="18"/>
  <c r="T1126" i="18" s="1"/>
  <c r="C1126" i="18"/>
  <c r="D1126" i="18" s="1"/>
  <c r="X1125" i="18"/>
  <c r="V1125" i="18"/>
  <c r="U1125" i="18"/>
  <c r="S1125" i="18"/>
  <c r="P1125" i="18"/>
  <c r="W1125" i="18" s="1"/>
  <c r="M1125" i="18"/>
  <c r="T1125" i="18" s="1"/>
  <c r="C1125" i="18"/>
  <c r="D1125" i="18" s="1"/>
  <c r="X1124" i="18"/>
  <c r="V1124" i="18"/>
  <c r="U1124" i="18"/>
  <c r="S1124" i="18"/>
  <c r="P1124" i="18"/>
  <c r="W1124" i="18" s="1"/>
  <c r="M1124" i="18"/>
  <c r="T1124" i="18" s="1"/>
  <c r="C1124" i="18"/>
  <c r="D1124" i="18" s="1"/>
  <c r="X1123" i="18"/>
  <c r="V1123" i="18"/>
  <c r="U1123" i="18"/>
  <c r="S1123" i="18"/>
  <c r="P1123" i="18"/>
  <c r="W1123" i="18" s="1"/>
  <c r="M1123" i="18"/>
  <c r="T1123" i="18" s="1"/>
  <c r="C1123" i="18"/>
  <c r="D1123" i="18" s="1"/>
  <c r="X1122" i="18"/>
  <c r="V1122" i="18"/>
  <c r="U1122" i="18"/>
  <c r="S1122" i="18"/>
  <c r="P1122" i="18"/>
  <c r="W1122" i="18" s="1"/>
  <c r="M1122" i="18"/>
  <c r="T1122" i="18" s="1"/>
  <c r="C1122" i="18"/>
  <c r="D1122" i="18" s="1"/>
  <c r="X1121" i="18"/>
  <c r="V1121" i="18"/>
  <c r="U1121" i="18"/>
  <c r="S1121" i="18"/>
  <c r="P1121" i="18"/>
  <c r="W1121" i="18" s="1"/>
  <c r="M1121" i="18"/>
  <c r="T1121" i="18" s="1"/>
  <c r="C1121" i="18"/>
  <c r="D1121" i="18" s="1"/>
  <c r="X1120" i="18"/>
  <c r="V1120" i="18"/>
  <c r="U1120" i="18"/>
  <c r="S1120" i="18"/>
  <c r="P1120" i="18"/>
  <c r="W1120" i="18" s="1"/>
  <c r="M1120" i="18"/>
  <c r="T1120" i="18" s="1"/>
  <c r="C1120" i="18"/>
  <c r="D1120" i="18" s="1"/>
  <c r="X1119" i="18"/>
  <c r="V1119" i="18"/>
  <c r="U1119" i="18"/>
  <c r="S1119" i="18"/>
  <c r="P1119" i="18"/>
  <c r="W1119" i="18" s="1"/>
  <c r="M1119" i="18"/>
  <c r="T1119" i="18" s="1"/>
  <c r="C1119" i="18"/>
  <c r="D1119" i="18" s="1"/>
  <c r="X1118" i="18"/>
  <c r="V1118" i="18"/>
  <c r="U1118" i="18"/>
  <c r="S1118" i="18"/>
  <c r="P1118" i="18"/>
  <c r="W1118" i="18" s="1"/>
  <c r="M1118" i="18"/>
  <c r="T1118" i="18" s="1"/>
  <c r="C1118" i="18"/>
  <c r="D1118" i="18" s="1"/>
  <c r="X1117" i="18"/>
  <c r="V1117" i="18"/>
  <c r="U1117" i="18"/>
  <c r="S1117" i="18"/>
  <c r="P1117" i="18"/>
  <c r="W1117" i="18" s="1"/>
  <c r="M1117" i="18"/>
  <c r="T1117" i="18" s="1"/>
  <c r="C1117" i="18"/>
  <c r="D1117" i="18" s="1"/>
  <c r="X1116" i="18"/>
  <c r="V1116" i="18"/>
  <c r="U1116" i="18"/>
  <c r="S1116" i="18"/>
  <c r="P1116" i="18"/>
  <c r="W1116" i="18" s="1"/>
  <c r="M1116" i="18"/>
  <c r="T1116" i="18" s="1"/>
  <c r="C1116" i="18"/>
  <c r="D1116" i="18" s="1"/>
  <c r="X1115" i="18"/>
  <c r="V1115" i="18"/>
  <c r="U1115" i="18"/>
  <c r="T1115" i="18"/>
  <c r="S1115" i="18"/>
  <c r="P1115" i="18"/>
  <c r="W1115" i="18" s="1"/>
  <c r="M1115" i="18"/>
  <c r="C1115" i="18"/>
  <c r="D1115" i="18" s="1"/>
  <c r="X1114" i="18"/>
  <c r="V1114" i="18"/>
  <c r="U1114" i="18"/>
  <c r="S1114" i="18"/>
  <c r="P1114" i="18"/>
  <c r="W1114" i="18" s="1"/>
  <c r="M1114" i="18"/>
  <c r="T1114" i="18" s="1"/>
  <c r="C1114" i="18"/>
  <c r="D1114" i="18" s="1"/>
  <c r="X1113" i="18"/>
  <c r="V1113" i="18"/>
  <c r="U1113" i="18"/>
  <c r="S1113" i="18"/>
  <c r="P1113" i="18"/>
  <c r="W1113" i="18" s="1"/>
  <c r="M1113" i="18"/>
  <c r="T1113" i="18" s="1"/>
  <c r="C1113" i="18"/>
  <c r="D1113" i="18" s="1"/>
  <c r="X1112" i="18"/>
  <c r="V1112" i="18"/>
  <c r="U1112" i="18"/>
  <c r="S1112" i="18"/>
  <c r="P1112" i="18"/>
  <c r="W1112" i="18" s="1"/>
  <c r="M1112" i="18"/>
  <c r="T1112" i="18" s="1"/>
  <c r="C1112" i="18"/>
  <c r="D1112" i="18" s="1"/>
  <c r="X1111" i="18"/>
  <c r="V1111" i="18"/>
  <c r="U1111" i="18"/>
  <c r="S1111" i="18"/>
  <c r="P1111" i="18"/>
  <c r="W1111" i="18" s="1"/>
  <c r="M1111" i="18"/>
  <c r="T1111" i="18" s="1"/>
  <c r="C1111" i="18"/>
  <c r="D1111" i="18" s="1"/>
  <c r="X1110" i="18"/>
  <c r="V1110" i="18"/>
  <c r="U1110" i="18"/>
  <c r="S1110" i="18"/>
  <c r="P1110" i="18"/>
  <c r="W1110" i="18" s="1"/>
  <c r="M1110" i="18"/>
  <c r="T1110" i="18" s="1"/>
  <c r="C1110" i="18"/>
  <c r="D1110" i="18" s="1"/>
  <c r="X1109" i="18"/>
  <c r="V1109" i="18"/>
  <c r="U1109" i="18"/>
  <c r="S1109" i="18"/>
  <c r="P1109" i="18"/>
  <c r="W1109" i="18" s="1"/>
  <c r="M1109" i="18"/>
  <c r="T1109" i="18" s="1"/>
  <c r="C1109" i="18"/>
  <c r="D1109" i="18" s="1"/>
  <c r="X1108" i="18"/>
  <c r="V1108" i="18"/>
  <c r="U1108" i="18"/>
  <c r="S1108" i="18"/>
  <c r="P1108" i="18"/>
  <c r="W1108" i="18" s="1"/>
  <c r="M1108" i="18"/>
  <c r="T1108" i="18" s="1"/>
  <c r="C1108" i="18"/>
  <c r="D1108" i="18" s="1"/>
  <c r="X1107" i="18"/>
  <c r="V1107" i="18"/>
  <c r="U1107" i="18"/>
  <c r="S1107" i="18"/>
  <c r="P1107" i="18"/>
  <c r="W1107" i="18" s="1"/>
  <c r="M1107" i="18"/>
  <c r="T1107" i="18" s="1"/>
  <c r="C1107" i="18"/>
  <c r="D1107" i="18" s="1"/>
  <c r="X1106" i="18"/>
  <c r="V1106" i="18"/>
  <c r="U1106" i="18"/>
  <c r="S1106" i="18"/>
  <c r="P1106" i="18"/>
  <c r="W1106" i="18" s="1"/>
  <c r="M1106" i="18"/>
  <c r="T1106" i="18" s="1"/>
  <c r="C1106" i="18"/>
  <c r="D1106" i="18" s="1"/>
  <c r="X1105" i="18"/>
  <c r="V1105" i="18"/>
  <c r="U1105" i="18"/>
  <c r="S1105" i="18"/>
  <c r="P1105" i="18"/>
  <c r="W1105" i="18" s="1"/>
  <c r="M1105" i="18"/>
  <c r="T1105" i="18" s="1"/>
  <c r="C1105" i="18"/>
  <c r="D1105" i="18" s="1"/>
  <c r="X1104" i="18"/>
  <c r="V1104" i="18"/>
  <c r="U1104" i="18"/>
  <c r="S1104" i="18"/>
  <c r="P1104" i="18"/>
  <c r="W1104" i="18" s="1"/>
  <c r="M1104" i="18"/>
  <c r="T1104" i="18" s="1"/>
  <c r="C1104" i="18"/>
  <c r="D1104" i="18" s="1"/>
  <c r="X1103" i="18"/>
  <c r="V1103" i="18"/>
  <c r="U1103" i="18"/>
  <c r="S1103" i="18"/>
  <c r="P1103" i="18"/>
  <c r="W1103" i="18" s="1"/>
  <c r="M1103" i="18"/>
  <c r="T1103" i="18" s="1"/>
  <c r="C1103" i="18"/>
  <c r="D1103" i="18" s="1"/>
  <c r="X1102" i="18"/>
  <c r="V1102" i="18"/>
  <c r="U1102" i="18"/>
  <c r="S1102" i="18"/>
  <c r="P1102" i="18"/>
  <c r="W1102" i="18" s="1"/>
  <c r="M1102" i="18"/>
  <c r="T1102" i="18" s="1"/>
  <c r="C1102" i="18"/>
  <c r="D1102" i="18" s="1"/>
  <c r="X1101" i="18"/>
  <c r="V1101" i="18"/>
  <c r="U1101" i="18"/>
  <c r="S1101" i="18"/>
  <c r="P1101" i="18"/>
  <c r="W1101" i="18" s="1"/>
  <c r="M1101" i="18"/>
  <c r="T1101" i="18" s="1"/>
  <c r="C1101" i="18"/>
  <c r="D1101" i="18" s="1"/>
  <c r="X1100" i="18"/>
  <c r="V1100" i="18"/>
  <c r="U1100" i="18"/>
  <c r="S1100" i="18"/>
  <c r="P1100" i="18"/>
  <c r="W1100" i="18" s="1"/>
  <c r="M1100" i="18"/>
  <c r="T1100" i="18" s="1"/>
  <c r="C1100" i="18"/>
  <c r="D1100" i="18" s="1"/>
  <c r="X1099" i="18"/>
  <c r="V1099" i="18"/>
  <c r="U1099" i="18"/>
  <c r="S1099" i="18"/>
  <c r="P1099" i="18"/>
  <c r="W1099" i="18" s="1"/>
  <c r="M1099" i="18"/>
  <c r="T1099" i="18" s="1"/>
  <c r="C1099" i="18"/>
  <c r="D1099" i="18" s="1"/>
  <c r="X1098" i="18"/>
  <c r="V1098" i="18"/>
  <c r="U1098" i="18"/>
  <c r="S1098" i="18"/>
  <c r="P1098" i="18"/>
  <c r="W1098" i="18" s="1"/>
  <c r="M1098" i="18"/>
  <c r="T1098" i="18" s="1"/>
  <c r="C1098" i="18"/>
  <c r="D1098" i="18" s="1"/>
  <c r="X1097" i="18"/>
  <c r="V1097" i="18"/>
  <c r="U1097" i="18"/>
  <c r="S1097" i="18"/>
  <c r="P1097" i="18"/>
  <c r="W1097" i="18" s="1"/>
  <c r="M1097" i="18"/>
  <c r="T1097" i="18" s="1"/>
  <c r="C1097" i="18"/>
  <c r="D1097" i="18" s="1"/>
  <c r="X1096" i="18"/>
  <c r="V1096" i="18"/>
  <c r="U1096" i="18"/>
  <c r="S1096" i="18"/>
  <c r="P1096" i="18"/>
  <c r="W1096" i="18" s="1"/>
  <c r="M1096" i="18"/>
  <c r="T1096" i="18" s="1"/>
  <c r="C1096" i="18"/>
  <c r="D1096" i="18" s="1"/>
  <c r="X1095" i="18"/>
  <c r="V1095" i="18"/>
  <c r="U1095" i="18"/>
  <c r="S1095" i="18"/>
  <c r="P1095" i="18"/>
  <c r="W1095" i="18" s="1"/>
  <c r="M1095" i="18"/>
  <c r="T1095" i="18" s="1"/>
  <c r="C1095" i="18"/>
  <c r="D1095" i="18" s="1"/>
  <c r="X1094" i="18"/>
  <c r="V1094" i="18"/>
  <c r="U1094" i="18"/>
  <c r="S1094" i="18"/>
  <c r="P1094" i="18"/>
  <c r="W1094" i="18" s="1"/>
  <c r="M1094" i="18"/>
  <c r="T1094" i="18" s="1"/>
  <c r="C1094" i="18"/>
  <c r="D1094" i="18" s="1"/>
  <c r="X1093" i="18"/>
  <c r="V1093" i="18"/>
  <c r="U1093" i="18"/>
  <c r="S1093" i="18"/>
  <c r="P1093" i="18"/>
  <c r="W1093" i="18" s="1"/>
  <c r="M1093" i="18"/>
  <c r="T1093" i="18" s="1"/>
  <c r="C1093" i="18"/>
  <c r="D1093" i="18" s="1"/>
  <c r="X1092" i="18"/>
  <c r="V1092" i="18"/>
  <c r="U1092" i="18"/>
  <c r="S1092" i="18"/>
  <c r="P1092" i="18"/>
  <c r="W1092" i="18" s="1"/>
  <c r="M1092" i="18"/>
  <c r="T1092" i="18" s="1"/>
  <c r="C1092" i="18"/>
  <c r="D1092" i="18" s="1"/>
  <c r="X1091" i="18"/>
  <c r="V1091" i="18"/>
  <c r="U1091" i="18"/>
  <c r="S1091" i="18"/>
  <c r="P1091" i="18"/>
  <c r="W1091" i="18" s="1"/>
  <c r="M1091" i="18"/>
  <c r="T1091" i="18" s="1"/>
  <c r="C1091" i="18"/>
  <c r="D1091" i="18" s="1"/>
  <c r="X1090" i="18"/>
  <c r="V1090" i="18"/>
  <c r="U1090" i="18"/>
  <c r="S1090" i="18"/>
  <c r="P1090" i="18"/>
  <c r="W1090" i="18" s="1"/>
  <c r="M1090" i="18"/>
  <c r="T1090" i="18" s="1"/>
  <c r="C1090" i="18"/>
  <c r="D1090" i="18" s="1"/>
  <c r="X1089" i="18"/>
  <c r="V1089" i="18"/>
  <c r="U1089" i="18"/>
  <c r="S1089" i="18"/>
  <c r="P1089" i="18"/>
  <c r="W1089" i="18" s="1"/>
  <c r="M1089" i="18"/>
  <c r="T1089" i="18" s="1"/>
  <c r="C1089" i="18"/>
  <c r="D1089" i="18" s="1"/>
  <c r="X1088" i="18"/>
  <c r="V1088" i="18"/>
  <c r="U1088" i="18"/>
  <c r="S1088" i="18"/>
  <c r="P1088" i="18"/>
  <c r="W1088" i="18" s="1"/>
  <c r="M1088" i="18"/>
  <c r="T1088" i="18" s="1"/>
  <c r="C1088" i="18"/>
  <c r="D1088" i="18" s="1"/>
  <c r="X1087" i="18"/>
  <c r="V1087" i="18"/>
  <c r="U1087" i="18"/>
  <c r="S1087" i="18"/>
  <c r="P1087" i="18"/>
  <c r="W1087" i="18" s="1"/>
  <c r="M1087" i="18"/>
  <c r="T1087" i="18" s="1"/>
  <c r="C1087" i="18"/>
  <c r="D1087" i="18" s="1"/>
  <c r="X1086" i="18"/>
  <c r="V1086" i="18"/>
  <c r="U1086" i="18"/>
  <c r="S1086" i="18"/>
  <c r="P1086" i="18"/>
  <c r="W1086" i="18" s="1"/>
  <c r="M1086" i="18"/>
  <c r="T1086" i="18" s="1"/>
  <c r="C1086" i="18"/>
  <c r="D1086" i="18" s="1"/>
  <c r="X1085" i="18"/>
  <c r="V1085" i="18"/>
  <c r="U1085" i="18"/>
  <c r="S1085" i="18"/>
  <c r="P1085" i="18"/>
  <c r="W1085" i="18" s="1"/>
  <c r="M1085" i="18"/>
  <c r="T1085" i="18" s="1"/>
  <c r="C1085" i="18"/>
  <c r="D1085" i="18" s="1"/>
  <c r="X1084" i="18"/>
  <c r="V1084" i="18"/>
  <c r="U1084" i="18"/>
  <c r="S1084" i="18"/>
  <c r="P1084" i="18"/>
  <c r="W1084" i="18" s="1"/>
  <c r="M1084" i="18"/>
  <c r="T1084" i="18" s="1"/>
  <c r="C1084" i="18"/>
  <c r="D1084" i="18" s="1"/>
  <c r="X1083" i="18"/>
  <c r="V1083" i="18"/>
  <c r="U1083" i="18"/>
  <c r="S1083" i="18"/>
  <c r="P1083" i="18"/>
  <c r="W1083" i="18" s="1"/>
  <c r="M1083" i="18"/>
  <c r="T1083" i="18" s="1"/>
  <c r="C1083" i="18"/>
  <c r="D1083" i="18" s="1"/>
  <c r="X1082" i="18"/>
  <c r="V1082" i="18"/>
  <c r="U1082" i="18"/>
  <c r="S1082" i="18"/>
  <c r="P1082" i="18"/>
  <c r="W1082" i="18" s="1"/>
  <c r="M1082" i="18"/>
  <c r="T1082" i="18" s="1"/>
  <c r="C1082" i="18"/>
  <c r="D1082" i="18" s="1"/>
  <c r="X1081" i="18"/>
  <c r="V1081" i="18"/>
  <c r="U1081" i="18"/>
  <c r="S1081" i="18"/>
  <c r="P1081" i="18"/>
  <c r="W1081" i="18" s="1"/>
  <c r="M1081" i="18"/>
  <c r="T1081" i="18" s="1"/>
  <c r="D1081" i="18"/>
  <c r="C1081" i="18"/>
  <c r="X1080" i="18"/>
  <c r="V1080" i="18"/>
  <c r="U1080" i="18"/>
  <c r="S1080" i="18"/>
  <c r="P1080" i="18"/>
  <c r="W1080" i="18" s="1"/>
  <c r="M1080" i="18"/>
  <c r="T1080" i="18" s="1"/>
  <c r="C1080" i="18"/>
  <c r="D1080" i="18" s="1"/>
  <c r="X1079" i="18"/>
  <c r="V1079" i="18"/>
  <c r="U1079" i="18"/>
  <c r="S1079" i="18"/>
  <c r="P1079" i="18"/>
  <c r="W1079" i="18" s="1"/>
  <c r="M1079" i="18"/>
  <c r="T1079" i="18" s="1"/>
  <c r="C1079" i="18"/>
  <c r="D1079" i="18" s="1"/>
  <c r="X1078" i="18"/>
  <c r="V1078" i="18"/>
  <c r="U1078" i="18"/>
  <c r="S1078" i="18"/>
  <c r="P1078" i="18"/>
  <c r="W1078" i="18" s="1"/>
  <c r="M1078" i="18"/>
  <c r="T1078" i="18" s="1"/>
  <c r="C1078" i="18"/>
  <c r="D1078" i="18" s="1"/>
  <c r="X1077" i="18"/>
  <c r="V1077" i="18"/>
  <c r="U1077" i="18"/>
  <c r="S1077" i="18"/>
  <c r="P1077" i="18"/>
  <c r="W1077" i="18" s="1"/>
  <c r="M1077" i="18"/>
  <c r="T1077" i="18" s="1"/>
  <c r="C1077" i="18"/>
  <c r="D1077" i="18" s="1"/>
  <c r="X1076" i="18"/>
  <c r="V1076" i="18"/>
  <c r="U1076" i="18"/>
  <c r="S1076" i="18"/>
  <c r="P1076" i="18"/>
  <c r="W1076" i="18" s="1"/>
  <c r="M1076" i="18"/>
  <c r="T1076" i="18" s="1"/>
  <c r="C1076" i="18"/>
  <c r="D1076" i="18" s="1"/>
  <c r="X1075" i="18"/>
  <c r="V1075" i="18"/>
  <c r="U1075" i="18"/>
  <c r="S1075" i="18"/>
  <c r="P1075" i="18"/>
  <c r="W1075" i="18" s="1"/>
  <c r="M1075" i="18"/>
  <c r="T1075" i="18" s="1"/>
  <c r="C1075" i="18"/>
  <c r="D1075" i="18" s="1"/>
  <c r="X1074" i="18"/>
  <c r="V1074" i="18"/>
  <c r="U1074" i="18"/>
  <c r="S1074" i="18"/>
  <c r="P1074" i="18"/>
  <c r="W1074" i="18" s="1"/>
  <c r="M1074" i="18"/>
  <c r="T1074" i="18" s="1"/>
  <c r="C1074" i="18"/>
  <c r="D1074" i="18" s="1"/>
  <c r="X1073" i="18"/>
  <c r="V1073" i="18"/>
  <c r="U1073" i="18"/>
  <c r="S1073" i="18"/>
  <c r="P1073" i="18"/>
  <c r="W1073" i="18" s="1"/>
  <c r="M1073" i="18"/>
  <c r="T1073" i="18" s="1"/>
  <c r="C1073" i="18"/>
  <c r="D1073" i="18" s="1"/>
  <c r="X1072" i="18"/>
  <c r="V1072" i="18"/>
  <c r="U1072" i="18"/>
  <c r="S1072" i="18"/>
  <c r="P1072" i="18"/>
  <c r="W1072" i="18" s="1"/>
  <c r="M1072" i="18"/>
  <c r="T1072" i="18" s="1"/>
  <c r="C1072" i="18"/>
  <c r="D1072" i="18" s="1"/>
  <c r="X1071" i="18"/>
  <c r="V1071" i="18"/>
  <c r="U1071" i="18"/>
  <c r="S1071" i="18"/>
  <c r="P1071" i="18"/>
  <c r="W1071" i="18" s="1"/>
  <c r="M1071" i="18"/>
  <c r="T1071" i="18" s="1"/>
  <c r="C1071" i="18"/>
  <c r="D1071" i="18" s="1"/>
  <c r="X1070" i="18"/>
  <c r="V1070" i="18"/>
  <c r="U1070" i="18"/>
  <c r="S1070" i="18"/>
  <c r="P1070" i="18"/>
  <c r="W1070" i="18" s="1"/>
  <c r="M1070" i="18"/>
  <c r="T1070" i="18" s="1"/>
  <c r="C1070" i="18"/>
  <c r="D1070" i="18" s="1"/>
  <c r="X1069" i="18"/>
  <c r="V1069" i="18"/>
  <c r="U1069" i="18"/>
  <c r="S1069" i="18"/>
  <c r="P1069" i="18"/>
  <c r="W1069" i="18" s="1"/>
  <c r="M1069" i="18"/>
  <c r="T1069" i="18" s="1"/>
  <c r="C1069" i="18"/>
  <c r="D1069" i="18" s="1"/>
  <c r="X1068" i="18"/>
  <c r="V1068" i="18"/>
  <c r="U1068" i="18"/>
  <c r="S1068" i="18"/>
  <c r="P1068" i="18"/>
  <c r="W1068" i="18" s="1"/>
  <c r="M1068" i="18"/>
  <c r="T1068" i="18" s="1"/>
  <c r="C1068" i="18"/>
  <c r="D1068" i="18" s="1"/>
  <c r="X1067" i="18"/>
  <c r="V1067" i="18"/>
  <c r="U1067" i="18"/>
  <c r="S1067" i="18"/>
  <c r="P1067" i="18"/>
  <c r="W1067" i="18" s="1"/>
  <c r="M1067" i="18"/>
  <c r="T1067" i="18" s="1"/>
  <c r="C1067" i="18"/>
  <c r="D1067" i="18" s="1"/>
  <c r="X1066" i="18"/>
  <c r="V1066" i="18"/>
  <c r="U1066" i="18"/>
  <c r="S1066" i="18"/>
  <c r="P1066" i="18"/>
  <c r="W1066" i="18" s="1"/>
  <c r="M1066" i="18"/>
  <c r="T1066" i="18" s="1"/>
  <c r="C1066" i="18"/>
  <c r="D1066" i="18" s="1"/>
  <c r="X1065" i="18"/>
  <c r="V1065" i="18"/>
  <c r="U1065" i="18"/>
  <c r="S1065" i="18"/>
  <c r="P1065" i="18"/>
  <c r="W1065" i="18" s="1"/>
  <c r="M1065" i="18"/>
  <c r="T1065" i="18" s="1"/>
  <c r="C1065" i="18"/>
  <c r="D1065" i="18" s="1"/>
  <c r="X1064" i="18"/>
  <c r="V1064" i="18"/>
  <c r="U1064" i="18"/>
  <c r="S1064" i="18"/>
  <c r="P1064" i="18"/>
  <c r="W1064" i="18" s="1"/>
  <c r="M1064" i="18"/>
  <c r="T1064" i="18" s="1"/>
  <c r="C1064" i="18"/>
  <c r="D1064" i="18" s="1"/>
  <c r="X1063" i="18"/>
  <c r="V1063" i="18"/>
  <c r="U1063" i="18"/>
  <c r="S1063" i="18"/>
  <c r="P1063" i="18"/>
  <c r="W1063" i="18" s="1"/>
  <c r="M1063" i="18"/>
  <c r="T1063" i="18" s="1"/>
  <c r="C1063" i="18"/>
  <c r="D1063" i="18" s="1"/>
  <c r="X1062" i="18"/>
  <c r="V1062" i="18"/>
  <c r="U1062" i="18"/>
  <c r="S1062" i="18"/>
  <c r="P1062" i="18"/>
  <c r="W1062" i="18" s="1"/>
  <c r="M1062" i="18"/>
  <c r="T1062" i="18" s="1"/>
  <c r="C1062" i="18"/>
  <c r="D1062" i="18" s="1"/>
  <c r="X1061" i="18"/>
  <c r="V1061" i="18"/>
  <c r="U1061" i="18"/>
  <c r="S1061" i="18"/>
  <c r="P1061" i="18"/>
  <c r="W1061" i="18" s="1"/>
  <c r="M1061" i="18"/>
  <c r="T1061" i="18" s="1"/>
  <c r="D1061" i="18"/>
  <c r="C1061" i="18"/>
  <c r="X1060" i="18"/>
  <c r="V1060" i="18"/>
  <c r="U1060" i="18"/>
  <c r="S1060" i="18"/>
  <c r="P1060" i="18"/>
  <c r="W1060" i="18" s="1"/>
  <c r="M1060" i="18"/>
  <c r="T1060" i="18" s="1"/>
  <c r="C1060" i="18"/>
  <c r="D1060" i="18" s="1"/>
  <c r="X1059" i="18"/>
  <c r="V1059" i="18"/>
  <c r="U1059" i="18"/>
  <c r="S1059" i="18"/>
  <c r="P1059" i="18"/>
  <c r="W1059" i="18" s="1"/>
  <c r="M1059" i="18"/>
  <c r="T1059" i="18" s="1"/>
  <c r="C1059" i="18"/>
  <c r="D1059" i="18" s="1"/>
  <c r="X1058" i="18"/>
  <c r="V1058" i="18"/>
  <c r="U1058" i="18"/>
  <c r="S1058" i="18"/>
  <c r="P1058" i="18"/>
  <c r="W1058" i="18" s="1"/>
  <c r="M1058" i="18"/>
  <c r="T1058" i="18" s="1"/>
  <c r="C1058" i="18"/>
  <c r="D1058" i="18" s="1"/>
  <c r="X1057" i="18"/>
  <c r="V1057" i="18"/>
  <c r="U1057" i="18"/>
  <c r="T1057" i="18"/>
  <c r="S1057" i="18"/>
  <c r="P1057" i="18"/>
  <c r="W1057" i="18" s="1"/>
  <c r="M1057" i="18"/>
  <c r="D1057" i="18"/>
  <c r="C1057" i="18"/>
  <c r="X1056" i="18"/>
  <c r="V1056" i="18"/>
  <c r="U1056" i="18"/>
  <c r="S1056" i="18"/>
  <c r="P1056" i="18"/>
  <c r="W1056" i="18" s="1"/>
  <c r="M1056" i="18"/>
  <c r="T1056" i="18" s="1"/>
  <c r="C1056" i="18"/>
  <c r="D1056" i="18" s="1"/>
  <c r="X1055" i="18"/>
  <c r="V1055" i="18"/>
  <c r="U1055" i="18"/>
  <c r="S1055" i="18"/>
  <c r="P1055" i="18"/>
  <c r="W1055" i="18" s="1"/>
  <c r="M1055" i="18"/>
  <c r="T1055" i="18" s="1"/>
  <c r="C1055" i="18"/>
  <c r="D1055" i="18" s="1"/>
  <c r="X1054" i="18"/>
  <c r="V1054" i="18"/>
  <c r="U1054" i="18"/>
  <c r="S1054" i="18"/>
  <c r="P1054" i="18"/>
  <c r="W1054" i="18" s="1"/>
  <c r="M1054" i="18"/>
  <c r="T1054" i="18" s="1"/>
  <c r="C1054" i="18"/>
  <c r="D1054" i="18" s="1"/>
  <c r="X1053" i="18"/>
  <c r="V1053" i="18"/>
  <c r="U1053" i="18"/>
  <c r="T1053" i="18"/>
  <c r="S1053" i="18"/>
  <c r="P1053" i="18"/>
  <c r="W1053" i="18" s="1"/>
  <c r="M1053" i="18"/>
  <c r="D1053" i="18"/>
  <c r="C1053" i="18"/>
  <c r="X1052" i="18"/>
  <c r="V1052" i="18"/>
  <c r="U1052" i="18"/>
  <c r="S1052" i="18"/>
  <c r="P1052" i="18"/>
  <c r="W1052" i="18" s="1"/>
  <c r="M1052" i="18"/>
  <c r="T1052" i="18" s="1"/>
  <c r="C1052" i="18"/>
  <c r="D1052" i="18" s="1"/>
  <c r="X1051" i="18"/>
  <c r="V1051" i="18"/>
  <c r="U1051" i="18"/>
  <c r="S1051" i="18"/>
  <c r="P1051" i="18"/>
  <c r="W1051" i="18" s="1"/>
  <c r="M1051" i="18"/>
  <c r="T1051" i="18" s="1"/>
  <c r="C1051" i="18"/>
  <c r="D1051" i="18" s="1"/>
  <c r="X1050" i="18"/>
  <c r="V1050" i="18"/>
  <c r="U1050" i="18"/>
  <c r="S1050" i="18"/>
  <c r="P1050" i="18"/>
  <c r="W1050" i="18" s="1"/>
  <c r="M1050" i="18"/>
  <c r="T1050" i="18" s="1"/>
  <c r="C1050" i="18"/>
  <c r="D1050" i="18" s="1"/>
  <c r="X1049" i="18"/>
  <c r="V1049" i="18"/>
  <c r="U1049" i="18"/>
  <c r="T1049" i="18"/>
  <c r="S1049" i="18"/>
  <c r="P1049" i="18"/>
  <c r="W1049" i="18" s="1"/>
  <c r="M1049" i="18"/>
  <c r="D1049" i="18"/>
  <c r="C1049" i="18"/>
  <c r="X1048" i="18"/>
  <c r="V1048" i="18"/>
  <c r="U1048" i="18"/>
  <c r="S1048" i="18"/>
  <c r="P1048" i="18"/>
  <c r="W1048" i="18" s="1"/>
  <c r="M1048" i="18"/>
  <c r="T1048" i="18" s="1"/>
  <c r="C1048" i="18"/>
  <c r="D1048" i="18" s="1"/>
  <c r="X1047" i="18"/>
  <c r="V1047" i="18"/>
  <c r="U1047" i="18"/>
  <c r="S1047" i="18"/>
  <c r="P1047" i="18"/>
  <c r="W1047" i="18" s="1"/>
  <c r="M1047" i="18"/>
  <c r="T1047" i="18" s="1"/>
  <c r="C1047" i="18"/>
  <c r="D1047" i="18" s="1"/>
  <c r="X1046" i="18"/>
  <c r="V1046" i="18"/>
  <c r="U1046" i="18"/>
  <c r="S1046" i="18"/>
  <c r="P1046" i="18"/>
  <c r="W1046" i="18" s="1"/>
  <c r="M1046" i="18"/>
  <c r="T1046" i="18" s="1"/>
  <c r="C1046" i="18"/>
  <c r="D1046" i="18" s="1"/>
  <c r="X1045" i="18"/>
  <c r="V1045" i="18"/>
  <c r="U1045" i="18"/>
  <c r="S1045" i="18"/>
  <c r="P1045" i="18"/>
  <c r="W1045" i="18" s="1"/>
  <c r="M1045" i="18"/>
  <c r="T1045" i="18" s="1"/>
  <c r="C1045" i="18"/>
  <c r="D1045" i="18" s="1"/>
  <c r="X1044" i="18"/>
  <c r="V1044" i="18"/>
  <c r="U1044" i="18"/>
  <c r="S1044" i="18"/>
  <c r="P1044" i="18"/>
  <c r="W1044" i="18" s="1"/>
  <c r="M1044" i="18"/>
  <c r="T1044" i="18" s="1"/>
  <c r="C1044" i="18"/>
  <c r="D1044" i="18" s="1"/>
  <c r="X1043" i="18"/>
  <c r="V1043" i="18"/>
  <c r="U1043" i="18"/>
  <c r="S1043" i="18"/>
  <c r="P1043" i="18"/>
  <c r="W1043" i="18" s="1"/>
  <c r="M1043" i="18"/>
  <c r="T1043" i="18" s="1"/>
  <c r="C1043" i="18"/>
  <c r="D1043" i="18" s="1"/>
  <c r="X1042" i="18"/>
  <c r="V1042" i="18"/>
  <c r="U1042" i="18"/>
  <c r="S1042" i="18"/>
  <c r="P1042" i="18"/>
  <c r="W1042" i="18" s="1"/>
  <c r="M1042" i="18"/>
  <c r="T1042" i="18" s="1"/>
  <c r="C1042" i="18"/>
  <c r="D1042" i="18" s="1"/>
  <c r="X1041" i="18"/>
  <c r="V1041" i="18"/>
  <c r="U1041" i="18"/>
  <c r="S1041" i="18"/>
  <c r="P1041" i="18"/>
  <c r="W1041" i="18" s="1"/>
  <c r="M1041" i="18"/>
  <c r="T1041" i="18" s="1"/>
  <c r="C1041" i="18"/>
  <c r="D1041" i="18" s="1"/>
  <c r="X1040" i="18"/>
  <c r="V1040" i="18"/>
  <c r="U1040" i="18"/>
  <c r="S1040" i="18"/>
  <c r="P1040" i="18"/>
  <c r="W1040" i="18" s="1"/>
  <c r="M1040" i="18"/>
  <c r="T1040" i="18" s="1"/>
  <c r="C1040" i="18"/>
  <c r="D1040" i="18" s="1"/>
  <c r="X1039" i="18"/>
  <c r="V1039" i="18"/>
  <c r="U1039" i="18"/>
  <c r="S1039" i="18"/>
  <c r="P1039" i="18"/>
  <c r="W1039" i="18" s="1"/>
  <c r="M1039" i="18"/>
  <c r="T1039" i="18" s="1"/>
  <c r="C1039" i="18"/>
  <c r="D1039" i="18" s="1"/>
  <c r="X1038" i="18"/>
  <c r="V1038" i="18"/>
  <c r="U1038" i="18"/>
  <c r="S1038" i="18"/>
  <c r="P1038" i="18"/>
  <c r="W1038" i="18" s="1"/>
  <c r="M1038" i="18"/>
  <c r="T1038" i="18" s="1"/>
  <c r="C1038" i="18"/>
  <c r="D1038" i="18" s="1"/>
  <c r="X1037" i="18"/>
  <c r="V1037" i="18"/>
  <c r="U1037" i="18"/>
  <c r="S1037" i="18"/>
  <c r="P1037" i="18"/>
  <c r="W1037" i="18" s="1"/>
  <c r="M1037" i="18"/>
  <c r="T1037" i="18" s="1"/>
  <c r="C1037" i="18"/>
  <c r="D1037" i="18" s="1"/>
  <c r="X1036" i="18"/>
  <c r="V1036" i="18"/>
  <c r="U1036" i="18"/>
  <c r="S1036" i="18"/>
  <c r="P1036" i="18"/>
  <c r="W1036" i="18" s="1"/>
  <c r="M1036" i="18"/>
  <c r="T1036" i="18" s="1"/>
  <c r="C1036" i="18"/>
  <c r="D1036" i="18" s="1"/>
  <c r="X1035" i="18"/>
  <c r="V1035" i="18"/>
  <c r="U1035" i="18"/>
  <c r="S1035" i="18"/>
  <c r="P1035" i="18"/>
  <c r="W1035" i="18" s="1"/>
  <c r="M1035" i="18"/>
  <c r="T1035" i="18" s="1"/>
  <c r="C1035" i="18"/>
  <c r="D1035" i="18" s="1"/>
  <c r="X1034" i="18"/>
  <c r="V1034" i="18"/>
  <c r="U1034" i="18"/>
  <c r="S1034" i="18"/>
  <c r="P1034" i="18"/>
  <c r="W1034" i="18" s="1"/>
  <c r="M1034" i="18"/>
  <c r="T1034" i="18" s="1"/>
  <c r="C1034" i="18"/>
  <c r="D1034" i="18" s="1"/>
  <c r="X1033" i="18"/>
  <c r="V1033" i="18"/>
  <c r="U1033" i="18"/>
  <c r="S1033" i="18"/>
  <c r="P1033" i="18"/>
  <c r="W1033" i="18" s="1"/>
  <c r="M1033" i="18"/>
  <c r="T1033" i="18" s="1"/>
  <c r="C1033" i="18"/>
  <c r="D1033" i="18" s="1"/>
  <c r="X1032" i="18"/>
  <c r="V1032" i="18"/>
  <c r="U1032" i="18"/>
  <c r="S1032" i="18"/>
  <c r="P1032" i="18"/>
  <c r="W1032" i="18" s="1"/>
  <c r="M1032" i="18"/>
  <c r="T1032" i="18" s="1"/>
  <c r="C1032" i="18"/>
  <c r="D1032" i="18" s="1"/>
  <c r="X1031" i="18"/>
  <c r="V1031" i="18"/>
  <c r="U1031" i="18"/>
  <c r="S1031" i="18"/>
  <c r="P1031" i="18"/>
  <c r="W1031" i="18" s="1"/>
  <c r="M1031" i="18"/>
  <c r="T1031" i="18" s="1"/>
  <c r="C1031" i="18"/>
  <c r="D1031" i="18" s="1"/>
  <c r="X1030" i="18"/>
  <c r="V1030" i="18"/>
  <c r="U1030" i="18"/>
  <c r="S1030" i="18"/>
  <c r="P1030" i="18"/>
  <c r="W1030" i="18" s="1"/>
  <c r="M1030" i="18"/>
  <c r="T1030" i="18" s="1"/>
  <c r="C1030" i="18"/>
  <c r="D1030" i="18" s="1"/>
  <c r="X1029" i="18"/>
  <c r="V1029" i="18"/>
  <c r="U1029" i="18"/>
  <c r="S1029" i="18"/>
  <c r="P1029" i="18"/>
  <c r="W1029" i="18" s="1"/>
  <c r="M1029" i="18"/>
  <c r="T1029" i="18" s="1"/>
  <c r="D1029" i="18"/>
  <c r="C1029" i="18"/>
  <c r="X1028" i="18"/>
  <c r="V1028" i="18"/>
  <c r="U1028" i="18"/>
  <c r="S1028" i="18"/>
  <c r="P1028" i="18"/>
  <c r="W1028" i="18" s="1"/>
  <c r="M1028" i="18"/>
  <c r="T1028" i="18" s="1"/>
  <c r="C1028" i="18"/>
  <c r="D1028" i="18" s="1"/>
  <c r="X1027" i="18"/>
  <c r="V1027" i="18"/>
  <c r="U1027" i="18"/>
  <c r="S1027" i="18"/>
  <c r="P1027" i="18"/>
  <c r="W1027" i="18" s="1"/>
  <c r="M1027" i="18"/>
  <c r="T1027" i="18" s="1"/>
  <c r="C1027" i="18"/>
  <c r="D1027" i="18" s="1"/>
  <c r="X1026" i="18"/>
  <c r="V1026" i="18"/>
  <c r="U1026" i="18"/>
  <c r="S1026" i="18"/>
  <c r="P1026" i="18"/>
  <c r="W1026" i="18" s="1"/>
  <c r="M1026" i="18"/>
  <c r="T1026" i="18" s="1"/>
  <c r="C1026" i="18"/>
  <c r="D1026" i="18" s="1"/>
  <c r="X1025" i="18"/>
  <c r="V1025" i="18"/>
  <c r="U1025" i="18"/>
  <c r="T1025" i="18"/>
  <c r="S1025" i="18"/>
  <c r="P1025" i="18"/>
  <c r="W1025" i="18" s="1"/>
  <c r="M1025" i="18"/>
  <c r="D1025" i="18"/>
  <c r="C1025" i="18"/>
  <c r="X1024" i="18"/>
  <c r="V1024" i="18"/>
  <c r="U1024" i="18"/>
  <c r="S1024" i="18"/>
  <c r="P1024" i="18"/>
  <c r="W1024" i="18" s="1"/>
  <c r="M1024" i="18"/>
  <c r="T1024" i="18" s="1"/>
  <c r="C1024" i="18"/>
  <c r="D1024" i="18" s="1"/>
  <c r="X1023" i="18"/>
  <c r="V1023" i="18"/>
  <c r="U1023" i="18"/>
  <c r="S1023" i="18"/>
  <c r="P1023" i="18"/>
  <c r="W1023" i="18" s="1"/>
  <c r="M1023" i="18"/>
  <c r="T1023" i="18" s="1"/>
  <c r="C1023" i="18"/>
  <c r="D1023" i="18" s="1"/>
  <c r="X1022" i="18"/>
  <c r="V1022" i="18"/>
  <c r="U1022" i="18"/>
  <c r="S1022" i="18"/>
  <c r="P1022" i="18"/>
  <c r="W1022" i="18" s="1"/>
  <c r="M1022" i="18"/>
  <c r="T1022" i="18" s="1"/>
  <c r="C1022" i="18"/>
  <c r="D1022" i="18" s="1"/>
  <c r="X1021" i="18"/>
  <c r="V1021" i="18"/>
  <c r="U1021" i="18"/>
  <c r="T1021" i="18"/>
  <c r="S1021" i="18"/>
  <c r="P1021" i="18"/>
  <c r="W1021" i="18" s="1"/>
  <c r="M1021" i="18"/>
  <c r="D1021" i="18"/>
  <c r="C1021" i="18"/>
  <c r="X1020" i="18"/>
  <c r="V1020" i="18"/>
  <c r="U1020" i="18"/>
  <c r="S1020" i="18"/>
  <c r="P1020" i="18"/>
  <c r="W1020" i="18" s="1"/>
  <c r="M1020" i="18"/>
  <c r="T1020" i="18" s="1"/>
  <c r="C1020" i="18"/>
  <c r="D1020" i="18" s="1"/>
  <c r="X1019" i="18"/>
  <c r="V1019" i="18"/>
  <c r="U1019" i="18"/>
  <c r="S1019" i="18"/>
  <c r="P1019" i="18"/>
  <c r="W1019" i="18" s="1"/>
  <c r="M1019" i="18"/>
  <c r="T1019" i="18" s="1"/>
  <c r="C1019" i="18"/>
  <c r="D1019" i="18" s="1"/>
  <c r="X1018" i="18"/>
  <c r="V1018" i="18"/>
  <c r="U1018" i="18"/>
  <c r="S1018" i="18"/>
  <c r="P1018" i="18"/>
  <c r="W1018" i="18" s="1"/>
  <c r="M1018" i="18"/>
  <c r="T1018" i="18" s="1"/>
  <c r="C1018" i="18"/>
  <c r="D1018" i="18" s="1"/>
  <c r="X1017" i="18"/>
  <c r="V1017" i="18"/>
  <c r="U1017" i="18"/>
  <c r="S1017" i="18"/>
  <c r="P1017" i="18"/>
  <c r="W1017" i="18" s="1"/>
  <c r="M1017" i="18"/>
  <c r="T1017" i="18" s="1"/>
  <c r="C1017" i="18"/>
  <c r="D1017" i="18" s="1"/>
  <c r="X1016" i="18"/>
  <c r="V1016" i="18"/>
  <c r="U1016" i="18"/>
  <c r="S1016" i="18"/>
  <c r="P1016" i="18"/>
  <c r="W1016" i="18" s="1"/>
  <c r="M1016" i="18"/>
  <c r="T1016" i="18" s="1"/>
  <c r="C1016" i="18"/>
  <c r="D1016" i="18" s="1"/>
  <c r="X1015" i="18"/>
  <c r="V1015" i="18"/>
  <c r="U1015" i="18"/>
  <c r="S1015" i="18"/>
  <c r="P1015" i="18"/>
  <c r="W1015" i="18" s="1"/>
  <c r="M1015" i="18"/>
  <c r="T1015" i="18" s="1"/>
  <c r="C1015" i="18"/>
  <c r="D1015" i="18" s="1"/>
  <c r="X1014" i="18"/>
  <c r="V1014" i="18"/>
  <c r="U1014" i="18"/>
  <c r="S1014" i="18"/>
  <c r="P1014" i="18"/>
  <c r="W1014" i="18" s="1"/>
  <c r="M1014" i="18"/>
  <c r="T1014" i="18" s="1"/>
  <c r="C1014" i="18"/>
  <c r="D1014" i="18" s="1"/>
  <c r="X1013" i="18"/>
  <c r="V1013" i="18"/>
  <c r="U1013" i="18"/>
  <c r="S1013" i="18"/>
  <c r="P1013" i="18"/>
  <c r="W1013" i="18" s="1"/>
  <c r="M1013" i="18"/>
  <c r="T1013" i="18" s="1"/>
  <c r="C1013" i="18"/>
  <c r="D1013" i="18" s="1"/>
  <c r="X1012" i="18"/>
  <c r="V1012" i="18"/>
  <c r="U1012" i="18"/>
  <c r="S1012" i="18"/>
  <c r="P1012" i="18"/>
  <c r="W1012" i="18" s="1"/>
  <c r="M1012" i="18"/>
  <c r="T1012" i="18" s="1"/>
  <c r="C1012" i="18"/>
  <c r="D1012" i="18" s="1"/>
  <c r="X1011" i="18"/>
  <c r="V1011" i="18"/>
  <c r="U1011" i="18"/>
  <c r="S1011" i="18"/>
  <c r="P1011" i="18"/>
  <c r="W1011" i="18" s="1"/>
  <c r="M1011" i="18"/>
  <c r="T1011" i="18" s="1"/>
  <c r="C1011" i="18"/>
  <c r="D1011" i="18" s="1"/>
  <c r="X1010" i="18"/>
  <c r="V1010" i="18"/>
  <c r="U1010" i="18"/>
  <c r="S1010" i="18"/>
  <c r="P1010" i="18"/>
  <c r="W1010" i="18" s="1"/>
  <c r="M1010" i="18"/>
  <c r="T1010" i="18" s="1"/>
  <c r="C1010" i="18"/>
  <c r="D1010" i="18" s="1"/>
  <c r="X1009" i="18"/>
  <c r="V1009" i="18"/>
  <c r="U1009" i="18"/>
  <c r="S1009" i="18"/>
  <c r="P1009" i="18"/>
  <c r="W1009" i="18" s="1"/>
  <c r="M1009" i="18"/>
  <c r="T1009" i="18" s="1"/>
  <c r="C1009" i="18"/>
  <c r="D1009" i="18" s="1"/>
  <c r="X1008" i="18"/>
  <c r="V1008" i="18"/>
  <c r="U1008" i="18"/>
  <c r="S1008" i="18"/>
  <c r="P1008" i="18"/>
  <c r="W1008" i="18" s="1"/>
  <c r="M1008" i="18"/>
  <c r="T1008" i="18" s="1"/>
  <c r="C1008" i="18"/>
  <c r="D1008" i="18" s="1"/>
  <c r="X1007" i="18"/>
  <c r="V1007" i="18"/>
  <c r="U1007" i="18"/>
  <c r="S1007" i="18"/>
  <c r="P1007" i="18"/>
  <c r="W1007" i="18" s="1"/>
  <c r="M1007" i="18"/>
  <c r="T1007" i="18" s="1"/>
  <c r="C1007" i="18"/>
  <c r="D1007" i="18" s="1"/>
  <c r="X1006" i="18"/>
  <c r="V1006" i="18"/>
  <c r="U1006" i="18"/>
  <c r="S1006" i="18"/>
  <c r="P1006" i="18"/>
  <c r="W1006" i="18" s="1"/>
  <c r="M1006" i="18"/>
  <c r="T1006" i="18" s="1"/>
  <c r="C1006" i="18"/>
  <c r="D1006" i="18" s="1"/>
  <c r="X1005" i="18"/>
  <c r="V1005" i="18"/>
  <c r="U1005" i="18"/>
  <c r="S1005" i="18"/>
  <c r="P1005" i="18"/>
  <c r="W1005" i="18" s="1"/>
  <c r="M1005" i="18"/>
  <c r="T1005" i="18" s="1"/>
  <c r="C1005" i="18"/>
  <c r="D1005" i="18" s="1"/>
  <c r="X1004" i="18"/>
  <c r="V1004" i="18"/>
  <c r="U1004" i="18"/>
  <c r="S1004" i="18"/>
  <c r="P1004" i="18"/>
  <c r="W1004" i="18" s="1"/>
  <c r="M1004" i="18"/>
  <c r="T1004" i="18" s="1"/>
  <c r="C1004" i="18"/>
  <c r="D1004" i="18" s="1"/>
  <c r="X1003" i="18"/>
  <c r="V1003" i="18"/>
  <c r="U1003" i="18"/>
  <c r="S1003" i="18"/>
  <c r="P1003" i="18"/>
  <c r="W1003" i="18" s="1"/>
  <c r="M1003" i="18"/>
  <c r="T1003" i="18" s="1"/>
  <c r="C1003" i="18"/>
  <c r="D1003" i="18" s="1"/>
  <c r="X1002" i="18"/>
  <c r="V1002" i="18"/>
  <c r="U1002" i="18"/>
  <c r="S1002" i="18"/>
  <c r="P1002" i="18"/>
  <c r="W1002" i="18" s="1"/>
  <c r="M1002" i="18"/>
  <c r="T1002" i="18" s="1"/>
  <c r="C1002" i="18"/>
  <c r="D1002" i="18" s="1"/>
  <c r="X1001" i="18"/>
  <c r="V1001" i="18"/>
  <c r="U1001" i="18"/>
  <c r="S1001" i="18"/>
  <c r="P1001" i="18"/>
  <c r="W1001" i="18" s="1"/>
  <c r="M1001" i="18"/>
  <c r="T1001" i="18" s="1"/>
  <c r="C1001" i="18"/>
  <c r="D1001" i="18" s="1"/>
  <c r="X1000" i="18"/>
  <c r="V1000" i="18"/>
  <c r="U1000" i="18"/>
  <c r="S1000" i="18"/>
  <c r="P1000" i="18"/>
  <c r="W1000" i="18" s="1"/>
  <c r="M1000" i="18"/>
  <c r="T1000" i="18" s="1"/>
  <c r="C1000" i="18"/>
  <c r="D1000" i="18" s="1"/>
  <c r="X999" i="18"/>
  <c r="V999" i="18"/>
  <c r="U999" i="18"/>
  <c r="S999" i="18"/>
  <c r="P999" i="18"/>
  <c r="W999" i="18" s="1"/>
  <c r="M999" i="18"/>
  <c r="T999" i="18" s="1"/>
  <c r="C999" i="18"/>
  <c r="D999" i="18" s="1"/>
  <c r="X998" i="18"/>
  <c r="V998" i="18"/>
  <c r="U998" i="18"/>
  <c r="S998" i="18"/>
  <c r="P998" i="18"/>
  <c r="W998" i="18" s="1"/>
  <c r="M998" i="18"/>
  <c r="T998" i="18" s="1"/>
  <c r="C998" i="18"/>
  <c r="D998" i="18" s="1"/>
  <c r="X997" i="18"/>
  <c r="V997" i="18"/>
  <c r="U997" i="18"/>
  <c r="S997" i="18"/>
  <c r="P997" i="18"/>
  <c r="W997" i="18" s="1"/>
  <c r="M997" i="18"/>
  <c r="T997" i="18" s="1"/>
  <c r="C997" i="18"/>
  <c r="D997" i="18" s="1"/>
  <c r="X996" i="18"/>
  <c r="V996" i="18"/>
  <c r="U996" i="18"/>
  <c r="S996" i="18"/>
  <c r="P996" i="18"/>
  <c r="W996" i="18" s="1"/>
  <c r="M996" i="18"/>
  <c r="T996" i="18" s="1"/>
  <c r="C996" i="18"/>
  <c r="D996" i="18" s="1"/>
  <c r="X995" i="18"/>
  <c r="V995" i="18"/>
  <c r="U995" i="18"/>
  <c r="S995" i="18"/>
  <c r="P995" i="18"/>
  <c r="W995" i="18" s="1"/>
  <c r="M995" i="18"/>
  <c r="T995" i="18" s="1"/>
  <c r="C995" i="18"/>
  <c r="D995" i="18" s="1"/>
  <c r="X994" i="18"/>
  <c r="V994" i="18"/>
  <c r="U994" i="18"/>
  <c r="S994" i="18"/>
  <c r="P994" i="18"/>
  <c r="W994" i="18" s="1"/>
  <c r="M994" i="18"/>
  <c r="T994" i="18" s="1"/>
  <c r="C994" i="18"/>
  <c r="D994" i="18" s="1"/>
  <c r="X993" i="18"/>
  <c r="V993" i="18"/>
  <c r="U993" i="18"/>
  <c r="S993" i="18"/>
  <c r="P993" i="18"/>
  <c r="W993" i="18" s="1"/>
  <c r="M993" i="18"/>
  <c r="T993" i="18" s="1"/>
  <c r="C993" i="18"/>
  <c r="D993" i="18" s="1"/>
  <c r="X992" i="18"/>
  <c r="V992" i="18"/>
  <c r="U992" i="18"/>
  <c r="S992" i="18"/>
  <c r="P992" i="18"/>
  <c r="W992" i="18" s="1"/>
  <c r="M992" i="18"/>
  <c r="T992" i="18" s="1"/>
  <c r="C992" i="18"/>
  <c r="D992" i="18" s="1"/>
  <c r="X991" i="18"/>
  <c r="V991" i="18"/>
  <c r="U991" i="18"/>
  <c r="T991" i="18"/>
  <c r="S991" i="18"/>
  <c r="P991" i="18"/>
  <c r="W991" i="18" s="1"/>
  <c r="M991" i="18"/>
  <c r="D991" i="18"/>
  <c r="C991" i="18"/>
  <c r="X990" i="18"/>
  <c r="V990" i="18"/>
  <c r="U990" i="18"/>
  <c r="S990" i="18"/>
  <c r="P990" i="18"/>
  <c r="W990" i="18" s="1"/>
  <c r="M990" i="18"/>
  <c r="T990" i="18" s="1"/>
  <c r="D990" i="18"/>
  <c r="C990" i="18"/>
  <c r="X989" i="18"/>
  <c r="V989" i="18"/>
  <c r="U989" i="18"/>
  <c r="S989" i="18"/>
  <c r="P989" i="18"/>
  <c r="W989" i="18" s="1"/>
  <c r="M989" i="18"/>
  <c r="T989" i="18" s="1"/>
  <c r="C989" i="18"/>
  <c r="D989" i="18" s="1"/>
  <c r="X988" i="18"/>
  <c r="V988" i="18"/>
  <c r="U988" i="18"/>
  <c r="S988" i="18"/>
  <c r="P988" i="18"/>
  <c r="W988" i="18" s="1"/>
  <c r="M988" i="18"/>
  <c r="T988" i="18" s="1"/>
  <c r="C988" i="18"/>
  <c r="D988" i="18" s="1"/>
  <c r="X987" i="18"/>
  <c r="V987" i="18"/>
  <c r="U987" i="18"/>
  <c r="S987" i="18"/>
  <c r="P987" i="18"/>
  <c r="W987" i="18" s="1"/>
  <c r="M987" i="18"/>
  <c r="T987" i="18" s="1"/>
  <c r="C987" i="18"/>
  <c r="D987" i="18" s="1"/>
  <c r="X986" i="18"/>
  <c r="V986" i="18"/>
  <c r="U986" i="18"/>
  <c r="S986" i="18"/>
  <c r="P986" i="18"/>
  <c r="W986" i="18" s="1"/>
  <c r="M986" i="18"/>
  <c r="T986" i="18" s="1"/>
  <c r="C986" i="18"/>
  <c r="D986" i="18" s="1"/>
  <c r="X985" i="18"/>
  <c r="V985" i="18"/>
  <c r="U985" i="18"/>
  <c r="S985" i="18"/>
  <c r="P985" i="18"/>
  <c r="W985" i="18" s="1"/>
  <c r="M985" i="18"/>
  <c r="T985" i="18" s="1"/>
  <c r="C985" i="18"/>
  <c r="D985" i="18" s="1"/>
  <c r="X984" i="18"/>
  <c r="V984" i="18"/>
  <c r="U984" i="18"/>
  <c r="S984" i="18"/>
  <c r="P984" i="18"/>
  <c r="W984" i="18" s="1"/>
  <c r="M984" i="18"/>
  <c r="T984" i="18" s="1"/>
  <c r="D984" i="18"/>
  <c r="C984" i="18"/>
  <c r="X983" i="18"/>
  <c r="V983" i="18"/>
  <c r="U983" i="18"/>
  <c r="S983" i="18"/>
  <c r="P983" i="18"/>
  <c r="W983" i="18" s="1"/>
  <c r="M983" i="18"/>
  <c r="T983" i="18" s="1"/>
  <c r="C983" i="18"/>
  <c r="D983" i="18" s="1"/>
  <c r="X982" i="18"/>
  <c r="V982" i="18"/>
  <c r="U982" i="18"/>
  <c r="S982" i="18"/>
  <c r="P982" i="18"/>
  <c r="W982" i="18" s="1"/>
  <c r="M982" i="18"/>
  <c r="T982" i="18" s="1"/>
  <c r="C982" i="18"/>
  <c r="D982" i="18" s="1"/>
  <c r="X981" i="18"/>
  <c r="V981" i="18"/>
  <c r="U981" i="18"/>
  <c r="T981" i="18"/>
  <c r="S981" i="18"/>
  <c r="P981" i="18"/>
  <c r="W981" i="18" s="1"/>
  <c r="M981" i="18"/>
  <c r="C981" i="18"/>
  <c r="D981" i="18" s="1"/>
  <c r="X980" i="18"/>
  <c r="V980" i="18"/>
  <c r="U980" i="18"/>
  <c r="S980" i="18"/>
  <c r="P980" i="18"/>
  <c r="W980" i="18" s="1"/>
  <c r="M980" i="18"/>
  <c r="T980" i="18" s="1"/>
  <c r="C980" i="18"/>
  <c r="D980" i="18" s="1"/>
  <c r="X979" i="18"/>
  <c r="V979" i="18"/>
  <c r="U979" i="18"/>
  <c r="S979" i="18"/>
  <c r="P979" i="18"/>
  <c r="W979" i="18" s="1"/>
  <c r="M979" i="18"/>
  <c r="T979" i="18" s="1"/>
  <c r="C979" i="18"/>
  <c r="D979" i="18" s="1"/>
  <c r="X978" i="18"/>
  <c r="V978" i="18"/>
  <c r="U978" i="18"/>
  <c r="S978" i="18"/>
  <c r="P978" i="18"/>
  <c r="W978" i="18" s="1"/>
  <c r="M978" i="18"/>
  <c r="T978" i="18" s="1"/>
  <c r="C978" i="18"/>
  <c r="D978" i="18" s="1"/>
  <c r="X977" i="18"/>
  <c r="V977" i="18"/>
  <c r="U977" i="18"/>
  <c r="S977" i="18"/>
  <c r="P977" i="18"/>
  <c r="W977" i="18" s="1"/>
  <c r="M977" i="18"/>
  <c r="T977" i="18" s="1"/>
  <c r="C977" i="18"/>
  <c r="D977" i="18" s="1"/>
  <c r="X976" i="18"/>
  <c r="V976" i="18"/>
  <c r="U976" i="18"/>
  <c r="S976" i="18"/>
  <c r="P976" i="18"/>
  <c r="W976" i="18" s="1"/>
  <c r="M976" i="18"/>
  <c r="T976" i="18" s="1"/>
  <c r="C976" i="18"/>
  <c r="D976" i="18" s="1"/>
  <c r="X975" i="18"/>
  <c r="V975" i="18"/>
  <c r="U975" i="18"/>
  <c r="T975" i="18"/>
  <c r="S975" i="18"/>
  <c r="P975" i="18"/>
  <c r="W975" i="18" s="1"/>
  <c r="M975" i="18"/>
  <c r="D975" i="18"/>
  <c r="C975" i="18"/>
  <c r="X974" i="18"/>
  <c r="V974" i="18"/>
  <c r="U974" i="18"/>
  <c r="S974" i="18"/>
  <c r="P974" i="18"/>
  <c r="W974" i="18" s="1"/>
  <c r="M974" i="18"/>
  <c r="T974" i="18" s="1"/>
  <c r="D974" i="18"/>
  <c r="C974" i="18"/>
  <c r="X973" i="18"/>
  <c r="V973" i="18"/>
  <c r="U973" i="18"/>
  <c r="S973" i="18"/>
  <c r="P973" i="18"/>
  <c r="W973" i="18" s="1"/>
  <c r="M973" i="18"/>
  <c r="T973" i="18" s="1"/>
  <c r="C973" i="18"/>
  <c r="D973" i="18" s="1"/>
  <c r="X972" i="18"/>
  <c r="V972" i="18"/>
  <c r="U972" i="18"/>
  <c r="S972" i="18"/>
  <c r="P972" i="18"/>
  <c r="W972" i="18" s="1"/>
  <c r="M972" i="18"/>
  <c r="T972" i="18" s="1"/>
  <c r="C972" i="18"/>
  <c r="D972" i="18" s="1"/>
  <c r="X971" i="18"/>
  <c r="V971" i="18"/>
  <c r="U971" i="18"/>
  <c r="S971" i="18"/>
  <c r="P971" i="18"/>
  <c r="W971" i="18" s="1"/>
  <c r="M971" i="18"/>
  <c r="T971" i="18" s="1"/>
  <c r="C971" i="18"/>
  <c r="D971" i="18" s="1"/>
  <c r="X970" i="18"/>
  <c r="V970" i="18"/>
  <c r="U970" i="18"/>
  <c r="S970" i="18"/>
  <c r="P970" i="18"/>
  <c r="W970" i="18" s="1"/>
  <c r="M970" i="18"/>
  <c r="T970" i="18" s="1"/>
  <c r="C970" i="18"/>
  <c r="D970" i="18" s="1"/>
  <c r="X969" i="18"/>
  <c r="V969" i="18"/>
  <c r="U969" i="18"/>
  <c r="S969" i="18"/>
  <c r="P969" i="18"/>
  <c r="W969" i="18" s="1"/>
  <c r="M969" i="18"/>
  <c r="T969" i="18" s="1"/>
  <c r="C969" i="18"/>
  <c r="D969" i="18" s="1"/>
  <c r="X968" i="18"/>
  <c r="V968" i="18"/>
  <c r="U968" i="18"/>
  <c r="S968" i="18"/>
  <c r="P968" i="18"/>
  <c r="W968" i="18" s="1"/>
  <c r="M968" i="18"/>
  <c r="T968" i="18" s="1"/>
  <c r="C968" i="18"/>
  <c r="D968" i="18" s="1"/>
  <c r="X967" i="18"/>
  <c r="V967" i="18"/>
  <c r="U967" i="18"/>
  <c r="T967" i="18"/>
  <c r="S967" i="18"/>
  <c r="P967" i="18"/>
  <c r="W967" i="18" s="1"/>
  <c r="M967" i="18"/>
  <c r="C967" i="18"/>
  <c r="D967" i="18" s="1"/>
  <c r="X966" i="18"/>
  <c r="V966" i="18"/>
  <c r="U966" i="18"/>
  <c r="S966" i="18"/>
  <c r="P966" i="18"/>
  <c r="W966" i="18" s="1"/>
  <c r="M966" i="18"/>
  <c r="T966" i="18" s="1"/>
  <c r="C966" i="18"/>
  <c r="D966" i="18" s="1"/>
  <c r="X965" i="18"/>
  <c r="V965" i="18"/>
  <c r="U965" i="18"/>
  <c r="T965" i="18"/>
  <c r="S965" i="18"/>
  <c r="P965" i="18"/>
  <c r="W965" i="18" s="1"/>
  <c r="M965" i="18"/>
  <c r="C965" i="18"/>
  <c r="D965" i="18" s="1"/>
  <c r="X964" i="18"/>
  <c r="V964" i="18"/>
  <c r="U964" i="18"/>
  <c r="S964" i="18"/>
  <c r="P964" i="18"/>
  <c r="W964" i="18" s="1"/>
  <c r="M964" i="18"/>
  <c r="T964" i="18" s="1"/>
  <c r="C964" i="18"/>
  <c r="D964" i="18" s="1"/>
  <c r="X963" i="18"/>
  <c r="V963" i="18"/>
  <c r="U963" i="18"/>
  <c r="S963" i="18"/>
  <c r="P963" i="18"/>
  <c r="W963" i="18" s="1"/>
  <c r="M963" i="18"/>
  <c r="T963" i="18" s="1"/>
  <c r="C963" i="18"/>
  <c r="D963" i="18" s="1"/>
  <c r="X962" i="18"/>
  <c r="V962" i="18"/>
  <c r="U962" i="18"/>
  <c r="S962" i="18"/>
  <c r="P962" i="18"/>
  <c r="W962" i="18" s="1"/>
  <c r="M962" i="18"/>
  <c r="T962" i="18" s="1"/>
  <c r="C962" i="18"/>
  <c r="D962" i="18" s="1"/>
  <c r="X961" i="18"/>
  <c r="V961" i="18"/>
  <c r="U961" i="18"/>
  <c r="S961" i="18"/>
  <c r="P961" i="18"/>
  <c r="W961" i="18" s="1"/>
  <c r="M961" i="18"/>
  <c r="T961" i="18" s="1"/>
  <c r="C961" i="18"/>
  <c r="D961" i="18" s="1"/>
  <c r="X960" i="18"/>
  <c r="V960" i="18"/>
  <c r="U960" i="18"/>
  <c r="S960" i="18"/>
  <c r="P960" i="18"/>
  <c r="W960" i="18" s="1"/>
  <c r="M960" i="18"/>
  <c r="T960" i="18" s="1"/>
  <c r="C960" i="18"/>
  <c r="D960" i="18" s="1"/>
  <c r="X959" i="18"/>
  <c r="V959" i="18"/>
  <c r="U959" i="18"/>
  <c r="T959" i="18"/>
  <c r="S959" i="18"/>
  <c r="P959" i="18"/>
  <c r="W959" i="18" s="1"/>
  <c r="M959" i="18"/>
  <c r="C959" i="18"/>
  <c r="D959" i="18" s="1"/>
  <c r="X958" i="18"/>
  <c r="V958" i="18"/>
  <c r="U958" i="18"/>
  <c r="S958" i="18"/>
  <c r="P958" i="18"/>
  <c r="W958" i="18" s="1"/>
  <c r="M958" i="18"/>
  <c r="T958" i="18" s="1"/>
  <c r="C958" i="18"/>
  <c r="D958" i="18" s="1"/>
  <c r="X957" i="18"/>
  <c r="V957" i="18"/>
  <c r="U957" i="18"/>
  <c r="T957" i="18"/>
  <c r="S957" i="18"/>
  <c r="P957" i="18"/>
  <c r="W957" i="18" s="1"/>
  <c r="M957" i="18"/>
  <c r="C957" i="18"/>
  <c r="D957" i="18" s="1"/>
  <c r="X956" i="18"/>
  <c r="V956" i="18"/>
  <c r="U956" i="18"/>
  <c r="S956" i="18"/>
  <c r="P956" i="18"/>
  <c r="W956" i="18" s="1"/>
  <c r="M956" i="18"/>
  <c r="T956" i="18" s="1"/>
  <c r="C956" i="18"/>
  <c r="D956" i="18" s="1"/>
  <c r="X955" i="18"/>
  <c r="V955" i="18"/>
  <c r="U955" i="18"/>
  <c r="S955" i="18"/>
  <c r="P955" i="18"/>
  <c r="W955" i="18" s="1"/>
  <c r="M955" i="18"/>
  <c r="T955" i="18" s="1"/>
  <c r="C955" i="18"/>
  <c r="D955" i="18" s="1"/>
  <c r="X954" i="18"/>
  <c r="V954" i="18"/>
  <c r="U954" i="18"/>
  <c r="S954" i="18"/>
  <c r="P954" i="18"/>
  <c r="W954" i="18" s="1"/>
  <c r="M954" i="18"/>
  <c r="T954" i="18" s="1"/>
  <c r="C954" i="18"/>
  <c r="D954" i="18" s="1"/>
  <c r="X953" i="18"/>
  <c r="V953" i="18"/>
  <c r="U953" i="18"/>
  <c r="S953" i="18"/>
  <c r="P953" i="18"/>
  <c r="W953" i="18" s="1"/>
  <c r="M953" i="18"/>
  <c r="T953" i="18" s="1"/>
  <c r="C953" i="18"/>
  <c r="D953" i="18" s="1"/>
  <c r="X952" i="18"/>
  <c r="V952" i="18"/>
  <c r="U952" i="18"/>
  <c r="S952" i="18"/>
  <c r="P952" i="18"/>
  <c r="W952" i="18" s="1"/>
  <c r="M952" i="18"/>
  <c r="T952" i="18" s="1"/>
  <c r="C952" i="18"/>
  <c r="D952" i="18" s="1"/>
  <c r="X951" i="18"/>
  <c r="V951" i="18"/>
  <c r="U951" i="18"/>
  <c r="T951" i="18"/>
  <c r="S951" i="18"/>
  <c r="P951" i="18"/>
  <c r="W951" i="18" s="1"/>
  <c r="M951" i="18"/>
  <c r="D951" i="18"/>
  <c r="C951" i="18"/>
  <c r="X950" i="18"/>
  <c r="V950" i="18"/>
  <c r="U950" i="18"/>
  <c r="S950" i="18"/>
  <c r="P950" i="18"/>
  <c r="W950" i="18" s="1"/>
  <c r="M950" i="18"/>
  <c r="T950" i="18" s="1"/>
  <c r="D950" i="18"/>
  <c r="C950" i="18"/>
  <c r="X949" i="18"/>
  <c r="V949" i="18"/>
  <c r="U949" i="18"/>
  <c r="S949" i="18"/>
  <c r="P949" i="18"/>
  <c r="W949" i="18" s="1"/>
  <c r="M949" i="18"/>
  <c r="T949" i="18" s="1"/>
  <c r="C949" i="18"/>
  <c r="D949" i="18" s="1"/>
  <c r="X948" i="18"/>
  <c r="V948" i="18"/>
  <c r="U948" i="18"/>
  <c r="S948" i="18"/>
  <c r="P948" i="18"/>
  <c r="W948" i="18" s="1"/>
  <c r="M948" i="18"/>
  <c r="T948" i="18" s="1"/>
  <c r="C948" i="18"/>
  <c r="D948" i="18" s="1"/>
  <c r="X947" i="18"/>
  <c r="V947" i="18"/>
  <c r="U947" i="18"/>
  <c r="S947" i="18"/>
  <c r="P947" i="18"/>
  <c r="W947" i="18" s="1"/>
  <c r="M947" i="18"/>
  <c r="T947" i="18" s="1"/>
  <c r="C947" i="18"/>
  <c r="D947" i="18" s="1"/>
  <c r="X946" i="18"/>
  <c r="V946" i="18"/>
  <c r="U946" i="18"/>
  <c r="S946" i="18"/>
  <c r="P946" i="18"/>
  <c r="W946" i="18" s="1"/>
  <c r="M946" i="18"/>
  <c r="T946" i="18" s="1"/>
  <c r="C946" i="18"/>
  <c r="D946" i="18" s="1"/>
  <c r="X945" i="18"/>
  <c r="V945" i="18"/>
  <c r="U945" i="18"/>
  <c r="S945" i="18"/>
  <c r="P945" i="18"/>
  <c r="W945" i="18" s="1"/>
  <c r="M945" i="18"/>
  <c r="T945" i="18" s="1"/>
  <c r="C945" i="18"/>
  <c r="D945" i="18" s="1"/>
  <c r="X944" i="18"/>
  <c r="V944" i="18"/>
  <c r="U944" i="18"/>
  <c r="S944" i="18"/>
  <c r="P944" i="18"/>
  <c r="W944" i="18" s="1"/>
  <c r="M944" i="18"/>
  <c r="T944" i="18" s="1"/>
  <c r="C944" i="18"/>
  <c r="D944" i="18" s="1"/>
  <c r="X943" i="18"/>
  <c r="V943" i="18"/>
  <c r="U943" i="18"/>
  <c r="T943" i="18"/>
  <c r="S943" i="18"/>
  <c r="P943" i="18"/>
  <c r="W943" i="18" s="1"/>
  <c r="M943" i="18"/>
  <c r="D943" i="18"/>
  <c r="C943" i="18"/>
  <c r="X942" i="18"/>
  <c r="V942" i="18"/>
  <c r="U942" i="18"/>
  <c r="S942" i="18"/>
  <c r="P942" i="18"/>
  <c r="W942" i="18" s="1"/>
  <c r="M942" i="18"/>
  <c r="T942" i="18" s="1"/>
  <c r="D942" i="18"/>
  <c r="C942" i="18"/>
  <c r="X941" i="18"/>
  <c r="V941" i="18"/>
  <c r="U941" i="18"/>
  <c r="S941" i="18"/>
  <c r="P941" i="18"/>
  <c r="W941" i="18" s="1"/>
  <c r="M941" i="18"/>
  <c r="T941" i="18" s="1"/>
  <c r="C941" i="18"/>
  <c r="D941" i="18" s="1"/>
  <c r="X940" i="18"/>
  <c r="V940" i="18"/>
  <c r="U940" i="18"/>
  <c r="S940" i="18"/>
  <c r="P940" i="18"/>
  <c r="W940" i="18" s="1"/>
  <c r="M940" i="18"/>
  <c r="T940" i="18" s="1"/>
  <c r="C940" i="18"/>
  <c r="D940" i="18" s="1"/>
  <c r="X939" i="18"/>
  <c r="V939" i="18"/>
  <c r="U939" i="18"/>
  <c r="S939" i="18"/>
  <c r="P939" i="18"/>
  <c r="W939" i="18" s="1"/>
  <c r="M939" i="18"/>
  <c r="T939" i="18" s="1"/>
  <c r="C939" i="18"/>
  <c r="D939" i="18" s="1"/>
  <c r="X938" i="18"/>
  <c r="V938" i="18"/>
  <c r="U938" i="18"/>
  <c r="S938" i="18"/>
  <c r="P938" i="18"/>
  <c r="W938" i="18" s="1"/>
  <c r="M938" i="18"/>
  <c r="T938" i="18" s="1"/>
  <c r="C938" i="18"/>
  <c r="D938" i="18" s="1"/>
  <c r="X937" i="18"/>
  <c r="V937" i="18"/>
  <c r="U937" i="18"/>
  <c r="S937" i="18"/>
  <c r="P937" i="18"/>
  <c r="W937" i="18" s="1"/>
  <c r="M937" i="18"/>
  <c r="T937" i="18" s="1"/>
  <c r="C937" i="18"/>
  <c r="D937" i="18" s="1"/>
  <c r="X936" i="18"/>
  <c r="V936" i="18"/>
  <c r="U936" i="18"/>
  <c r="S936" i="18"/>
  <c r="P936" i="18"/>
  <c r="W936" i="18" s="1"/>
  <c r="M936" i="18"/>
  <c r="T936" i="18" s="1"/>
  <c r="C936" i="18"/>
  <c r="D936" i="18" s="1"/>
  <c r="X935" i="18"/>
  <c r="V935" i="18"/>
  <c r="U935" i="18"/>
  <c r="T935" i="18"/>
  <c r="S935" i="18"/>
  <c r="P935" i="18"/>
  <c r="W935" i="18" s="1"/>
  <c r="M935" i="18"/>
  <c r="D935" i="18"/>
  <c r="C935" i="18"/>
  <c r="X934" i="18"/>
  <c r="V934" i="18"/>
  <c r="U934" i="18"/>
  <c r="S934" i="18"/>
  <c r="P934" i="18"/>
  <c r="W934" i="18" s="1"/>
  <c r="M934" i="18"/>
  <c r="T934" i="18" s="1"/>
  <c r="D934" i="18"/>
  <c r="C934" i="18"/>
  <c r="X933" i="18"/>
  <c r="V933" i="18"/>
  <c r="U933" i="18"/>
  <c r="S933" i="18"/>
  <c r="P933" i="18"/>
  <c r="W933" i="18" s="1"/>
  <c r="M933" i="18"/>
  <c r="T933" i="18" s="1"/>
  <c r="C933" i="18"/>
  <c r="D933" i="18" s="1"/>
  <c r="X932" i="18"/>
  <c r="V932" i="18"/>
  <c r="U932" i="18"/>
  <c r="S932" i="18"/>
  <c r="P932" i="18"/>
  <c r="W932" i="18" s="1"/>
  <c r="M932" i="18"/>
  <c r="T932" i="18" s="1"/>
  <c r="C932" i="18"/>
  <c r="D932" i="18" s="1"/>
  <c r="X931" i="18"/>
  <c r="V931" i="18"/>
  <c r="U931" i="18"/>
  <c r="S931" i="18"/>
  <c r="P931" i="18"/>
  <c r="W931" i="18" s="1"/>
  <c r="M931" i="18"/>
  <c r="T931" i="18" s="1"/>
  <c r="C931" i="18"/>
  <c r="D931" i="18" s="1"/>
  <c r="X930" i="18"/>
  <c r="V930" i="18"/>
  <c r="U930" i="18"/>
  <c r="S930" i="18"/>
  <c r="P930" i="18"/>
  <c r="W930" i="18" s="1"/>
  <c r="M930" i="18"/>
  <c r="T930" i="18" s="1"/>
  <c r="C930" i="18"/>
  <c r="D930" i="18" s="1"/>
  <c r="X929" i="18"/>
  <c r="V929" i="18"/>
  <c r="U929" i="18"/>
  <c r="S929" i="18"/>
  <c r="P929" i="18"/>
  <c r="W929" i="18" s="1"/>
  <c r="M929" i="18"/>
  <c r="T929" i="18" s="1"/>
  <c r="C929" i="18"/>
  <c r="D929" i="18" s="1"/>
  <c r="X928" i="18"/>
  <c r="V928" i="18"/>
  <c r="U928" i="18"/>
  <c r="S928" i="18"/>
  <c r="P928" i="18"/>
  <c r="W928" i="18" s="1"/>
  <c r="M928" i="18"/>
  <c r="T928" i="18" s="1"/>
  <c r="D928" i="18"/>
  <c r="C928" i="18"/>
  <c r="X927" i="18"/>
  <c r="V927" i="18"/>
  <c r="U927" i="18"/>
  <c r="S927" i="18"/>
  <c r="P927" i="18"/>
  <c r="W927" i="18" s="1"/>
  <c r="M927" i="18"/>
  <c r="T927" i="18" s="1"/>
  <c r="C927" i="18"/>
  <c r="D927" i="18" s="1"/>
  <c r="X926" i="18"/>
  <c r="V926" i="18"/>
  <c r="U926" i="18"/>
  <c r="S926" i="18"/>
  <c r="P926" i="18"/>
  <c r="W926" i="18" s="1"/>
  <c r="M926" i="18"/>
  <c r="T926" i="18" s="1"/>
  <c r="C926" i="18"/>
  <c r="D926" i="18" s="1"/>
  <c r="X925" i="18"/>
  <c r="V925" i="18"/>
  <c r="U925" i="18"/>
  <c r="T925" i="18"/>
  <c r="S925" i="18"/>
  <c r="P925" i="18"/>
  <c r="W925" i="18" s="1"/>
  <c r="M925" i="18"/>
  <c r="C925" i="18"/>
  <c r="D925" i="18" s="1"/>
  <c r="X924" i="18"/>
  <c r="V924" i="18"/>
  <c r="U924" i="18"/>
  <c r="S924" i="18"/>
  <c r="P924" i="18"/>
  <c r="W924" i="18" s="1"/>
  <c r="M924" i="18"/>
  <c r="T924" i="18" s="1"/>
  <c r="C924" i="18"/>
  <c r="D924" i="18" s="1"/>
  <c r="X923" i="18"/>
  <c r="V923" i="18"/>
  <c r="U923" i="18"/>
  <c r="S923" i="18"/>
  <c r="P923" i="18"/>
  <c r="W923" i="18" s="1"/>
  <c r="M923" i="18"/>
  <c r="T923" i="18" s="1"/>
  <c r="C923" i="18"/>
  <c r="D923" i="18" s="1"/>
  <c r="X922" i="18"/>
  <c r="V922" i="18"/>
  <c r="U922" i="18"/>
  <c r="S922" i="18"/>
  <c r="P922" i="18"/>
  <c r="W922" i="18" s="1"/>
  <c r="M922" i="18"/>
  <c r="T922" i="18" s="1"/>
  <c r="C922" i="18"/>
  <c r="D922" i="18" s="1"/>
  <c r="X921" i="18"/>
  <c r="V921" i="18"/>
  <c r="U921" i="18"/>
  <c r="S921" i="18"/>
  <c r="P921" i="18"/>
  <c r="W921" i="18" s="1"/>
  <c r="M921" i="18"/>
  <c r="T921" i="18" s="1"/>
  <c r="C921" i="18"/>
  <c r="D921" i="18" s="1"/>
  <c r="X920" i="18"/>
  <c r="V920" i="18"/>
  <c r="U920" i="18"/>
  <c r="S920" i="18"/>
  <c r="P920" i="18"/>
  <c r="W920" i="18" s="1"/>
  <c r="M920" i="18"/>
  <c r="T920" i="18" s="1"/>
  <c r="C920" i="18"/>
  <c r="D920" i="18" s="1"/>
  <c r="X919" i="18"/>
  <c r="V919" i="18"/>
  <c r="U919" i="18"/>
  <c r="T919" i="18"/>
  <c r="S919" i="18"/>
  <c r="P919" i="18"/>
  <c r="W919" i="18" s="1"/>
  <c r="M919" i="18"/>
  <c r="D919" i="18"/>
  <c r="C919" i="18"/>
  <c r="X918" i="18"/>
  <c r="V918" i="18"/>
  <c r="U918" i="18"/>
  <c r="S918" i="18"/>
  <c r="P918" i="18"/>
  <c r="W918" i="18" s="1"/>
  <c r="M918" i="18"/>
  <c r="T918" i="18" s="1"/>
  <c r="D918" i="18"/>
  <c r="C918" i="18"/>
  <c r="X917" i="18"/>
  <c r="V917" i="18"/>
  <c r="U917" i="18"/>
  <c r="S917" i="18"/>
  <c r="P917" i="18"/>
  <c r="W917" i="18" s="1"/>
  <c r="M917" i="18"/>
  <c r="T917" i="18" s="1"/>
  <c r="C917" i="18"/>
  <c r="D917" i="18" s="1"/>
  <c r="X916" i="18"/>
  <c r="V916" i="18"/>
  <c r="U916" i="18"/>
  <c r="S916" i="18"/>
  <c r="P916" i="18"/>
  <c r="W916" i="18" s="1"/>
  <c r="M916" i="18"/>
  <c r="T916" i="18" s="1"/>
  <c r="C916" i="18"/>
  <c r="D916" i="18" s="1"/>
  <c r="X915" i="18"/>
  <c r="V915" i="18"/>
  <c r="U915" i="18"/>
  <c r="S915" i="18"/>
  <c r="P915" i="18"/>
  <c r="W915" i="18" s="1"/>
  <c r="M915" i="18"/>
  <c r="T915" i="18" s="1"/>
  <c r="C915" i="18"/>
  <c r="D915" i="18" s="1"/>
  <c r="X914" i="18"/>
  <c r="V914" i="18"/>
  <c r="U914" i="18"/>
  <c r="S914" i="18"/>
  <c r="P914" i="18"/>
  <c r="W914" i="18" s="1"/>
  <c r="M914" i="18"/>
  <c r="T914" i="18" s="1"/>
  <c r="C914" i="18"/>
  <c r="D914" i="18" s="1"/>
  <c r="X913" i="18"/>
  <c r="V913" i="18"/>
  <c r="U913" i="18"/>
  <c r="S913" i="18"/>
  <c r="P913" i="18"/>
  <c r="W913" i="18" s="1"/>
  <c r="M913" i="18"/>
  <c r="T913" i="18" s="1"/>
  <c r="C913" i="18"/>
  <c r="D913" i="18" s="1"/>
  <c r="X912" i="18"/>
  <c r="V912" i="18"/>
  <c r="U912" i="18"/>
  <c r="S912" i="18"/>
  <c r="P912" i="18"/>
  <c r="W912" i="18" s="1"/>
  <c r="M912" i="18"/>
  <c r="T912" i="18" s="1"/>
  <c r="C912" i="18"/>
  <c r="D912" i="18" s="1"/>
  <c r="X911" i="18"/>
  <c r="W911" i="18"/>
  <c r="V911" i="18"/>
  <c r="U911" i="18"/>
  <c r="S911" i="18"/>
  <c r="P911" i="18"/>
  <c r="M911" i="18"/>
  <c r="T911" i="18" s="1"/>
  <c r="C911" i="18"/>
  <c r="D911" i="18" s="1"/>
  <c r="X910" i="18"/>
  <c r="V910" i="18"/>
  <c r="U910" i="18"/>
  <c r="S910" i="18"/>
  <c r="P910" i="18"/>
  <c r="W910" i="18" s="1"/>
  <c r="M910" i="18"/>
  <c r="T910" i="18" s="1"/>
  <c r="C910" i="18"/>
  <c r="D910" i="18" s="1"/>
  <c r="X909" i="18"/>
  <c r="V909" i="18"/>
  <c r="U909" i="18"/>
  <c r="S909" i="18"/>
  <c r="P909" i="18"/>
  <c r="W909" i="18" s="1"/>
  <c r="M909" i="18"/>
  <c r="T909" i="18" s="1"/>
  <c r="C909" i="18"/>
  <c r="D909" i="18" s="1"/>
  <c r="X908" i="18"/>
  <c r="V908" i="18"/>
  <c r="U908" i="18"/>
  <c r="S908" i="18"/>
  <c r="P908" i="18"/>
  <c r="W908" i="18" s="1"/>
  <c r="M908" i="18"/>
  <c r="T908" i="18" s="1"/>
  <c r="C908" i="18"/>
  <c r="D908" i="18" s="1"/>
  <c r="X907" i="18"/>
  <c r="V907" i="18"/>
  <c r="U907" i="18"/>
  <c r="T907" i="18"/>
  <c r="S907" i="18"/>
  <c r="P907" i="18"/>
  <c r="W907" i="18" s="1"/>
  <c r="M907" i="18"/>
  <c r="D907" i="18"/>
  <c r="C907" i="18"/>
  <c r="X906" i="18"/>
  <c r="V906" i="18"/>
  <c r="U906" i="18"/>
  <c r="S906" i="18"/>
  <c r="P906" i="18"/>
  <c r="W906" i="18" s="1"/>
  <c r="M906" i="18"/>
  <c r="T906" i="18" s="1"/>
  <c r="D906" i="18"/>
  <c r="C906" i="18"/>
  <c r="X905" i="18"/>
  <c r="V905" i="18"/>
  <c r="U905" i="18"/>
  <c r="S905" i="18"/>
  <c r="P905" i="18"/>
  <c r="W905" i="18" s="1"/>
  <c r="M905" i="18"/>
  <c r="T905" i="18" s="1"/>
  <c r="C905" i="18"/>
  <c r="D905" i="18" s="1"/>
  <c r="X904" i="18"/>
  <c r="V904" i="18"/>
  <c r="U904" i="18"/>
  <c r="S904" i="18"/>
  <c r="P904" i="18"/>
  <c r="W904" i="18" s="1"/>
  <c r="M904" i="18"/>
  <c r="T904" i="18" s="1"/>
  <c r="C904" i="18"/>
  <c r="D904" i="18" s="1"/>
  <c r="X903" i="18"/>
  <c r="V903" i="18"/>
  <c r="U903" i="18"/>
  <c r="S903" i="18"/>
  <c r="P903" i="18"/>
  <c r="W903" i="18" s="1"/>
  <c r="M903" i="18"/>
  <c r="T903" i="18" s="1"/>
  <c r="C903" i="18"/>
  <c r="D903" i="18" s="1"/>
  <c r="X902" i="18"/>
  <c r="V902" i="18"/>
  <c r="U902" i="18"/>
  <c r="S902" i="18"/>
  <c r="P902" i="18"/>
  <c r="W902" i="18" s="1"/>
  <c r="M902" i="18"/>
  <c r="T902" i="18" s="1"/>
  <c r="C902" i="18"/>
  <c r="D902" i="18" s="1"/>
  <c r="X901" i="18"/>
  <c r="V901" i="18"/>
  <c r="U901" i="18"/>
  <c r="S901" i="18"/>
  <c r="P901" i="18"/>
  <c r="W901" i="18" s="1"/>
  <c r="M901" i="18"/>
  <c r="T901" i="18" s="1"/>
  <c r="C901" i="18"/>
  <c r="D901" i="18" s="1"/>
  <c r="X900" i="18"/>
  <c r="V900" i="18"/>
  <c r="U900" i="18"/>
  <c r="S900" i="18"/>
  <c r="P900" i="18"/>
  <c r="W900" i="18" s="1"/>
  <c r="M900" i="18"/>
  <c r="T900" i="18" s="1"/>
  <c r="D900" i="18"/>
  <c r="C900" i="18"/>
  <c r="X899" i="18"/>
  <c r="V899" i="18"/>
  <c r="U899" i="18"/>
  <c r="S899" i="18"/>
  <c r="P899" i="18"/>
  <c r="W899" i="18" s="1"/>
  <c r="M899" i="18"/>
  <c r="T899" i="18" s="1"/>
  <c r="C899" i="18"/>
  <c r="D899" i="18" s="1"/>
  <c r="X898" i="18"/>
  <c r="V898" i="18"/>
  <c r="U898" i="18"/>
  <c r="S898" i="18"/>
  <c r="P898" i="18"/>
  <c r="W898" i="18" s="1"/>
  <c r="M898" i="18"/>
  <c r="T898" i="18" s="1"/>
  <c r="C898" i="18"/>
  <c r="D898" i="18" s="1"/>
  <c r="X897" i="18"/>
  <c r="V897" i="18"/>
  <c r="U897" i="18"/>
  <c r="T897" i="18"/>
  <c r="S897" i="18"/>
  <c r="P897" i="18"/>
  <c r="W897" i="18" s="1"/>
  <c r="M897" i="18"/>
  <c r="C897" i="18"/>
  <c r="D897" i="18" s="1"/>
  <c r="X896" i="18"/>
  <c r="V896" i="18"/>
  <c r="U896" i="18"/>
  <c r="S896" i="18"/>
  <c r="P896" i="18"/>
  <c r="W896" i="18" s="1"/>
  <c r="M896" i="18"/>
  <c r="T896" i="18" s="1"/>
  <c r="C896" i="18"/>
  <c r="D896" i="18" s="1"/>
  <c r="X895" i="18"/>
  <c r="V895" i="18"/>
  <c r="U895" i="18"/>
  <c r="S895" i="18"/>
  <c r="P895" i="18"/>
  <c r="W895" i="18" s="1"/>
  <c r="M895" i="18"/>
  <c r="T895" i="18" s="1"/>
  <c r="C895" i="18"/>
  <c r="D895" i="18" s="1"/>
  <c r="X894" i="18"/>
  <c r="V894" i="18"/>
  <c r="U894" i="18"/>
  <c r="S894" i="18"/>
  <c r="P894" i="18"/>
  <c r="W894" i="18" s="1"/>
  <c r="M894" i="18"/>
  <c r="T894" i="18" s="1"/>
  <c r="C894" i="18"/>
  <c r="D894" i="18" s="1"/>
  <c r="X893" i="18"/>
  <c r="V893" i="18"/>
  <c r="U893" i="18"/>
  <c r="S893" i="18"/>
  <c r="P893" i="18"/>
  <c r="W893" i="18" s="1"/>
  <c r="M893" i="18"/>
  <c r="T893" i="18" s="1"/>
  <c r="C893" i="18"/>
  <c r="D893" i="18" s="1"/>
  <c r="X892" i="18"/>
  <c r="V892" i="18"/>
  <c r="U892" i="18"/>
  <c r="S892" i="18"/>
  <c r="P892" i="18"/>
  <c r="W892" i="18" s="1"/>
  <c r="M892" i="18"/>
  <c r="T892" i="18" s="1"/>
  <c r="C892" i="18"/>
  <c r="D892" i="18" s="1"/>
  <c r="X891" i="18"/>
  <c r="V891" i="18"/>
  <c r="U891" i="18"/>
  <c r="T891" i="18"/>
  <c r="S891" i="18"/>
  <c r="P891" i="18"/>
  <c r="W891" i="18" s="1"/>
  <c r="M891" i="18"/>
  <c r="D891" i="18"/>
  <c r="C891" i="18"/>
  <c r="X890" i="18"/>
  <c r="V890" i="18"/>
  <c r="U890" i="18"/>
  <c r="S890" i="18"/>
  <c r="P890" i="18"/>
  <c r="W890" i="18" s="1"/>
  <c r="M890" i="18"/>
  <c r="T890" i="18" s="1"/>
  <c r="D890" i="18"/>
  <c r="C890" i="18"/>
  <c r="X889" i="18"/>
  <c r="V889" i="18"/>
  <c r="U889" i="18"/>
  <c r="S889" i="18"/>
  <c r="P889" i="18"/>
  <c r="W889" i="18" s="1"/>
  <c r="M889" i="18"/>
  <c r="T889" i="18" s="1"/>
  <c r="C889" i="18"/>
  <c r="D889" i="18" s="1"/>
  <c r="X888" i="18"/>
  <c r="V888" i="18"/>
  <c r="U888" i="18"/>
  <c r="S888" i="18"/>
  <c r="P888" i="18"/>
  <c r="W888" i="18" s="1"/>
  <c r="M888" i="18"/>
  <c r="T888" i="18" s="1"/>
  <c r="C888" i="18"/>
  <c r="D888" i="18" s="1"/>
  <c r="X887" i="18"/>
  <c r="V887" i="18"/>
  <c r="U887" i="18"/>
  <c r="S887" i="18"/>
  <c r="P887" i="18"/>
  <c r="W887" i="18" s="1"/>
  <c r="M887" i="18"/>
  <c r="T887" i="18" s="1"/>
  <c r="C887" i="18"/>
  <c r="D887" i="18" s="1"/>
  <c r="X886" i="18"/>
  <c r="V886" i="18"/>
  <c r="U886" i="18"/>
  <c r="S886" i="18"/>
  <c r="P886" i="18"/>
  <c r="W886" i="18" s="1"/>
  <c r="M886" i="18"/>
  <c r="T886" i="18" s="1"/>
  <c r="C886" i="18"/>
  <c r="D886" i="18" s="1"/>
  <c r="X885" i="18"/>
  <c r="V885" i="18"/>
  <c r="U885" i="18"/>
  <c r="S885" i="18"/>
  <c r="P885" i="18"/>
  <c r="W885" i="18" s="1"/>
  <c r="M885" i="18"/>
  <c r="T885" i="18" s="1"/>
  <c r="C885" i="18"/>
  <c r="D885" i="18" s="1"/>
  <c r="X884" i="18"/>
  <c r="V884" i="18"/>
  <c r="U884" i="18"/>
  <c r="S884" i="18"/>
  <c r="P884" i="18"/>
  <c r="W884" i="18" s="1"/>
  <c r="M884" i="18"/>
  <c r="T884" i="18" s="1"/>
  <c r="D884" i="18"/>
  <c r="C884" i="18"/>
  <c r="X883" i="18"/>
  <c r="V883" i="18"/>
  <c r="U883" i="18"/>
  <c r="S883" i="18"/>
  <c r="P883" i="18"/>
  <c r="W883" i="18" s="1"/>
  <c r="M883" i="18"/>
  <c r="T883" i="18" s="1"/>
  <c r="C883" i="18"/>
  <c r="D883" i="18" s="1"/>
  <c r="X882" i="18"/>
  <c r="V882" i="18"/>
  <c r="U882" i="18"/>
  <c r="S882" i="18"/>
  <c r="P882" i="18"/>
  <c r="W882" i="18" s="1"/>
  <c r="M882" i="18"/>
  <c r="T882" i="18" s="1"/>
  <c r="C882" i="18"/>
  <c r="D882" i="18" s="1"/>
  <c r="X881" i="18"/>
  <c r="V881" i="18"/>
  <c r="U881" i="18"/>
  <c r="T881" i="18"/>
  <c r="S881" i="18"/>
  <c r="P881" i="18"/>
  <c r="W881" i="18" s="1"/>
  <c r="M881" i="18"/>
  <c r="C881" i="18"/>
  <c r="D881" i="18" s="1"/>
  <c r="X880" i="18"/>
  <c r="V880" i="18"/>
  <c r="U880" i="18"/>
  <c r="S880" i="18"/>
  <c r="P880" i="18"/>
  <c r="W880" i="18" s="1"/>
  <c r="M880" i="18"/>
  <c r="T880" i="18" s="1"/>
  <c r="C880" i="18"/>
  <c r="D880" i="18" s="1"/>
  <c r="X879" i="18"/>
  <c r="V879" i="18"/>
  <c r="U879" i="18"/>
  <c r="S879" i="18"/>
  <c r="P879" i="18"/>
  <c r="W879" i="18" s="1"/>
  <c r="M879" i="18"/>
  <c r="T879" i="18" s="1"/>
  <c r="C879" i="18"/>
  <c r="D879" i="18" s="1"/>
  <c r="X878" i="18"/>
  <c r="V878" i="18"/>
  <c r="U878" i="18"/>
  <c r="S878" i="18"/>
  <c r="P878" i="18"/>
  <c r="W878" i="18" s="1"/>
  <c r="M878" i="18"/>
  <c r="T878" i="18" s="1"/>
  <c r="C878" i="18"/>
  <c r="D878" i="18" s="1"/>
  <c r="X877" i="18"/>
  <c r="V877" i="18"/>
  <c r="U877" i="18"/>
  <c r="S877" i="18"/>
  <c r="P877" i="18"/>
  <c r="W877" i="18" s="1"/>
  <c r="M877" i="18"/>
  <c r="T877" i="18" s="1"/>
  <c r="C877" i="18"/>
  <c r="D877" i="18" s="1"/>
  <c r="X876" i="18"/>
  <c r="V876" i="18"/>
  <c r="U876" i="18"/>
  <c r="S876" i="18"/>
  <c r="P876" i="18"/>
  <c r="W876" i="18" s="1"/>
  <c r="M876" i="18"/>
  <c r="T876" i="18" s="1"/>
  <c r="C876" i="18"/>
  <c r="D876" i="18" s="1"/>
  <c r="X875" i="18"/>
  <c r="V875" i="18"/>
  <c r="U875" i="18"/>
  <c r="T875" i="18"/>
  <c r="S875" i="18"/>
  <c r="P875" i="18"/>
  <c r="W875" i="18" s="1"/>
  <c r="M875" i="18"/>
  <c r="D875" i="18"/>
  <c r="C875" i="18"/>
  <c r="X874" i="18"/>
  <c r="V874" i="18"/>
  <c r="U874" i="18"/>
  <c r="S874" i="18"/>
  <c r="P874" i="18"/>
  <c r="W874" i="18" s="1"/>
  <c r="M874" i="18"/>
  <c r="T874" i="18" s="1"/>
  <c r="D874" i="18"/>
  <c r="C874" i="18"/>
  <c r="X873" i="18"/>
  <c r="V873" i="18"/>
  <c r="U873" i="18"/>
  <c r="S873" i="18"/>
  <c r="P873" i="18"/>
  <c r="W873" i="18" s="1"/>
  <c r="M873" i="18"/>
  <c r="T873" i="18" s="1"/>
  <c r="C873" i="18"/>
  <c r="D873" i="18" s="1"/>
  <c r="X872" i="18"/>
  <c r="V872" i="18"/>
  <c r="U872" i="18"/>
  <c r="S872" i="18"/>
  <c r="P872" i="18"/>
  <c r="W872" i="18" s="1"/>
  <c r="M872" i="18"/>
  <c r="T872" i="18" s="1"/>
  <c r="C872" i="18"/>
  <c r="D872" i="18" s="1"/>
  <c r="X871" i="18"/>
  <c r="V871" i="18"/>
  <c r="U871" i="18"/>
  <c r="S871" i="18"/>
  <c r="P871" i="18"/>
  <c r="W871" i="18" s="1"/>
  <c r="M871" i="18"/>
  <c r="T871" i="18" s="1"/>
  <c r="C871" i="18"/>
  <c r="D871" i="18" s="1"/>
  <c r="X870" i="18"/>
  <c r="V870" i="18"/>
  <c r="U870" i="18"/>
  <c r="S870" i="18"/>
  <c r="P870" i="18"/>
  <c r="W870" i="18" s="1"/>
  <c r="M870" i="18"/>
  <c r="T870" i="18" s="1"/>
  <c r="C870" i="18"/>
  <c r="D870" i="18" s="1"/>
  <c r="X869" i="18"/>
  <c r="V869" i="18"/>
  <c r="U869" i="18"/>
  <c r="S869" i="18"/>
  <c r="P869" i="18"/>
  <c r="W869" i="18" s="1"/>
  <c r="M869" i="18"/>
  <c r="T869" i="18" s="1"/>
  <c r="C869" i="18"/>
  <c r="D869" i="18" s="1"/>
  <c r="X868" i="18"/>
  <c r="V868" i="18"/>
  <c r="U868" i="18"/>
  <c r="S868" i="18"/>
  <c r="P868" i="18"/>
  <c r="W868" i="18" s="1"/>
  <c r="M868" i="18"/>
  <c r="T868" i="18" s="1"/>
  <c r="D868" i="18"/>
  <c r="C868" i="18"/>
  <c r="X867" i="18"/>
  <c r="V867" i="18"/>
  <c r="U867" i="18"/>
  <c r="S867" i="18"/>
  <c r="P867" i="18"/>
  <c r="W867" i="18" s="1"/>
  <c r="M867" i="18"/>
  <c r="T867" i="18" s="1"/>
  <c r="C867" i="18"/>
  <c r="D867" i="18" s="1"/>
  <c r="X866" i="18"/>
  <c r="V866" i="18"/>
  <c r="U866" i="18"/>
  <c r="S866" i="18"/>
  <c r="P866" i="18"/>
  <c r="W866" i="18" s="1"/>
  <c r="M866" i="18"/>
  <c r="T866" i="18" s="1"/>
  <c r="C866" i="18"/>
  <c r="D866" i="18" s="1"/>
  <c r="X865" i="18"/>
  <c r="V865" i="18"/>
  <c r="U865" i="18"/>
  <c r="T865" i="18"/>
  <c r="S865" i="18"/>
  <c r="P865" i="18"/>
  <c r="W865" i="18" s="1"/>
  <c r="M865" i="18"/>
  <c r="C865" i="18"/>
  <c r="D865" i="18" s="1"/>
  <c r="X864" i="18"/>
  <c r="V864" i="18"/>
  <c r="U864" i="18"/>
  <c r="S864" i="18"/>
  <c r="P864" i="18"/>
  <c r="W864" i="18" s="1"/>
  <c r="M864" i="18"/>
  <c r="T864" i="18" s="1"/>
  <c r="C864" i="18"/>
  <c r="D864" i="18" s="1"/>
  <c r="X863" i="18"/>
  <c r="V863" i="18"/>
  <c r="U863" i="18"/>
  <c r="S863" i="18"/>
  <c r="P863" i="18"/>
  <c r="W863" i="18" s="1"/>
  <c r="M863" i="18"/>
  <c r="T863" i="18" s="1"/>
  <c r="C863" i="18"/>
  <c r="D863" i="18" s="1"/>
  <c r="X862" i="18"/>
  <c r="V862" i="18"/>
  <c r="U862" i="18"/>
  <c r="S862" i="18"/>
  <c r="P862" i="18"/>
  <c r="W862" i="18" s="1"/>
  <c r="M862" i="18"/>
  <c r="T862" i="18" s="1"/>
  <c r="C862" i="18"/>
  <c r="D862" i="18" s="1"/>
  <c r="X861" i="18"/>
  <c r="V861" i="18"/>
  <c r="U861" i="18"/>
  <c r="S861" i="18"/>
  <c r="P861" i="18"/>
  <c r="W861" i="18" s="1"/>
  <c r="M861" i="18"/>
  <c r="T861" i="18" s="1"/>
  <c r="C861" i="18"/>
  <c r="D861" i="18" s="1"/>
  <c r="X860" i="18"/>
  <c r="V860" i="18"/>
  <c r="U860" i="18"/>
  <c r="S860" i="18"/>
  <c r="P860" i="18"/>
  <c r="W860" i="18" s="1"/>
  <c r="M860" i="18"/>
  <c r="T860" i="18" s="1"/>
  <c r="C860" i="18"/>
  <c r="D860" i="18" s="1"/>
  <c r="X859" i="18"/>
  <c r="V859" i="18"/>
  <c r="U859" i="18"/>
  <c r="T859" i="18"/>
  <c r="S859" i="18"/>
  <c r="P859" i="18"/>
  <c r="W859" i="18" s="1"/>
  <c r="M859" i="18"/>
  <c r="D859" i="18"/>
  <c r="C859" i="18"/>
  <c r="X858" i="18"/>
  <c r="V858" i="18"/>
  <c r="U858" i="18"/>
  <c r="S858" i="18"/>
  <c r="P858" i="18"/>
  <c r="W858" i="18" s="1"/>
  <c r="M858" i="18"/>
  <c r="T858" i="18" s="1"/>
  <c r="D858" i="18"/>
  <c r="C858" i="18"/>
  <c r="X857" i="18"/>
  <c r="V857" i="18"/>
  <c r="U857" i="18"/>
  <c r="S857" i="18"/>
  <c r="P857" i="18"/>
  <c r="W857" i="18" s="1"/>
  <c r="M857" i="18"/>
  <c r="T857" i="18" s="1"/>
  <c r="C857" i="18"/>
  <c r="D857" i="18" s="1"/>
  <c r="X856" i="18"/>
  <c r="V856" i="18"/>
  <c r="U856" i="18"/>
  <c r="S856" i="18"/>
  <c r="P856" i="18"/>
  <c r="W856" i="18" s="1"/>
  <c r="M856" i="18"/>
  <c r="T856" i="18" s="1"/>
  <c r="C856" i="18"/>
  <c r="D856" i="18" s="1"/>
  <c r="X855" i="18"/>
  <c r="V855" i="18"/>
  <c r="U855" i="18"/>
  <c r="S855" i="18"/>
  <c r="P855" i="18"/>
  <c r="W855" i="18" s="1"/>
  <c r="M855" i="18"/>
  <c r="T855" i="18" s="1"/>
  <c r="C855" i="18"/>
  <c r="D855" i="18" s="1"/>
  <c r="X854" i="18"/>
  <c r="V854" i="18"/>
  <c r="U854" i="18"/>
  <c r="S854" i="18"/>
  <c r="P854" i="18"/>
  <c r="W854" i="18" s="1"/>
  <c r="M854" i="18"/>
  <c r="T854" i="18" s="1"/>
  <c r="C854" i="18"/>
  <c r="D854" i="18" s="1"/>
  <c r="X853" i="18"/>
  <c r="V853" i="18"/>
  <c r="U853" i="18"/>
  <c r="S853" i="18"/>
  <c r="P853" i="18"/>
  <c r="W853" i="18" s="1"/>
  <c r="M853" i="18"/>
  <c r="T853" i="18" s="1"/>
  <c r="C853" i="18"/>
  <c r="D853" i="18" s="1"/>
  <c r="X852" i="18"/>
  <c r="V852" i="18"/>
  <c r="U852" i="18"/>
  <c r="S852" i="18"/>
  <c r="P852" i="18"/>
  <c r="W852" i="18" s="1"/>
  <c r="M852" i="18"/>
  <c r="T852" i="18" s="1"/>
  <c r="D852" i="18"/>
  <c r="C852" i="18"/>
  <c r="X851" i="18"/>
  <c r="V851" i="18"/>
  <c r="U851" i="18"/>
  <c r="S851" i="18"/>
  <c r="P851" i="18"/>
  <c r="W851" i="18" s="1"/>
  <c r="M851" i="18"/>
  <c r="T851" i="18" s="1"/>
  <c r="C851" i="18"/>
  <c r="D851" i="18" s="1"/>
  <c r="X850" i="18"/>
  <c r="V850" i="18"/>
  <c r="U850" i="18"/>
  <c r="S850" i="18"/>
  <c r="P850" i="18"/>
  <c r="W850" i="18" s="1"/>
  <c r="M850" i="18"/>
  <c r="T850" i="18" s="1"/>
  <c r="C850" i="18"/>
  <c r="D850" i="18" s="1"/>
  <c r="X849" i="18"/>
  <c r="V849" i="18"/>
  <c r="U849" i="18"/>
  <c r="T849" i="18"/>
  <c r="S849" i="18"/>
  <c r="P849" i="18"/>
  <c r="W849" i="18" s="1"/>
  <c r="M849" i="18"/>
  <c r="C849" i="18"/>
  <c r="D849" i="18" s="1"/>
  <c r="X848" i="18"/>
  <c r="V848" i="18"/>
  <c r="U848" i="18"/>
  <c r="S848" i="18"/>
  <c r="P848" i="18"/>
  <c r="W848" i="18" s="1"/>
  <c r="M848" i="18"/>
  <c r="T848" i="18" s="1"/>
  <c r="C848" i="18"/>
  <c r="D848" i="18" s="1"/>
  <c r="X847" i="18"/>
  <c r="V847" i="18"/>
  <c r="U847" i="18"/>
  <c r="S847" i="18"/>
  <c r="P847" i="18"/>
  <c r="W847" i="18" s="1"/>
  <c r="M847" i="18"/>
  <c r="T847" i="18" s="1"/>
  <c r="C847" i="18"/>
  <c r="D847" i="18" s="1"/>
  <c r="X846" i="18"/>
  <c r="V846" i="18"/>
  <c r="U846" i="18"/>
  <c r="S846" i="18"/>
  <c r="P846" i="18"/>
  <c r="W846" i="18" s="1"/>
  <c r="M846" i="18"/>
  <c r="T846" i="18" s="1"/>
  <c r="C846" i="18"/>
  <c r="D846" i="18" s="1"/>
  <c r="X845" i="18"/>
  <c r="V845" i="18"/>
  <c r="U845" i="18"/>
  <c r="S845" i="18"/>
  <c r="P845" i="18"/>
  <c r="W845" i="18" s="1"/>
  <c r="M845" i="18"/>
  <c r="T845" i="18" s="1"/>
  <c r="C845" i="18"/>
  <c r="D845" i="18" s="1"/>
  <c r="X844" i="18"/>
  <c r="V844" i="18"/>
  <c r="U844" i="18"/>
  <c r="S844" i="18"/>
  <c r="P844" i="18"/>
  <c r="W844" i="18" s="1"/>
  <c r="M844" i="18"/>
  <c r="T844" i="18" s="1"/>
  <c r="C844" i="18"/>
  <c r="D844" i="18" s="1"/>
  <c r="X843" i="18"/>
  <c r="V843" i="18"/>
  <c r="U843" i="18"/>
  <c r="T843" i="18"/>
  <c r="S843" i="18"/>
  <c r="P843" i="18"/>
  <c r="W843" i="18" s="1"/>
  <c r="M843" i="18"/>
  <c r="D843" i="18"/>
  <c r="C843" i="18"/>
  <c r="X842" i="18"/>
  <c r="V842" i="18"/>
  <c r="U842" i="18"/>
  <c r="S842" i="18"/>
  <c r="P842" i="18"/>
  <c r="W842" i="18" s="1"/>
  <c r="M842" i="18"/>
  <c r="T842" i="18" s="1"/>
  <c r="D842" i="18"/>
  <c r="C842" i="18"/>
  <c r="X841" i="18"/>
  <c r="V841" i="18"/>
  <c r="U841" i="18"/>
  <c r="S841" i="18"/>
  <c r="P841" i="18"/>
  <c r="W841" i="18" s="1"/>
  <c r="M841" i="18"/>
  <c r="T841" i="18" s="1"/>
  <c r="C841" i="18"/>
  <c r="D841" i="18" s="1"/>
  <c r="X840" i="18"/>
  <c r="V840" i="18"/>
  <c r="U840" i="18"/>
  <c r="S840" i="18"/>
  <c r="P840" i="18"/>
  <c r="W840" i="18" s="1"/>
  <c r="M840" i="18"/>
  <c r="T840" i="18" s="1"/>
  <c r="C840" i="18"/>
  <c r="D840" i="18" s="1"/>
  <c r="X839" i="18"/>
  <c r="V839" i="18"/>
  <c r="U839" i="18"/>
  <c r="S839" i="18"/>
  <c r="P839" i="18"/>
  <c r="W839" i="18" s="1"/>
  <c r="M839" i="18"/>
  <c r="T839" i="18" s="1"/>
  <c r="C839" i="18"/>
  <c r="D839" i="18" s="1"/>
  <c r="X838" i="18"/>
  <c r="V838" i="18"/>
  <c r="U838" i="18"/>
  <c r="S838" i="18"/>
  <c r="P838" i="18"/>
  <c r="W838" i="18" s="1"/>
  <c r="M838" i="18"/>
  <c r="T838" i="18" s="1"/>
  <c r="C838" i="18"/>
  <c r="D838" i="18" s="1"/>
  <c r="X837" i="18"/>
  <c r="V837" i="18"/>
  <c r="U837" i="18"/>
  <c r="S837" i="18"/>
  <c r="P837" i="18"/>
  <c r="W837" i="18" s="1"/>
  <c r="M837" i="18"/>
  <c r="T837" i="18" s="1"/>
  <c r="C837" i="18"/>
  <c r="D837" i="18" s="1"/>
  <c r="X836" i="18"/>
  <c r="V836" i="18"/>
  <c r="U836" i="18"/>
  <c r="S836" i="18"/>
  <c r="P836" i="18"/>
  <c r="W836" i="18" s="1"/>
  <c r="M836" i="18"/>
  <c r="T836" i="18" s="1"/>
  <c r="D836" i="18"/>
  <c r="C836" i="18"/>
  <c r="X835" i="18"/>
  <c r="V835" i="18"/>
  <c r="U835" i="18"/>
  <c r="S835" i="18"/>
  <c r="P835" i="18"/>
  <c r="W835" i="18" s="1"/>
  <c r="M835" i="18"/>
  <c r="T835" i="18" s="1"/>
  <c r="C835" i="18"/>
  <c r="D835" i="18" s="1"/>
  <c r="X834" i="18"/>
  <c r="V834" i="18"/>
  <c r="U834" i="18"/>
  <c r="S834" i="18"/>
  <c r="P834" i="18"/>
  <c r="W834" i="18" s="1"/>
  <c r="M834" i="18"/>
  <c r="T834" i="18" s="1"/>
  <c r="C834" i="18"/>
  <c r="D834" i="18" s="1"/>
  <c r="X833" i="18"/>
  <c r="V833" i="18"/>
  <c r="U833" i="18"/>
  <c r="T833" i="18"/>
  <c r="S833" i="18"/>
  <c r="P833" i="18"/>
  <c r="W833" i="18" s="1"/>
  <c r="M833" i="18"/>
  <c r="C833" i="18"/>
  <c r="D833" i="18" s="1"/>
  <c r="X832" i="18"/>
  <c r="V832" i="18"/>
  <c r="U832" i="18"/>
  <c r="S832" i="18"/>
  <c r="P832" i="18"/>
  <c r="W832" i="18" s="1"/>
  <c r="M832" i="18"/>
  <c r="T832" i="18" s="1"/>
  <c r="C832" i="18"/>
  <c r="D832" i="18" s="1"/>
  <c r="X831" i="18"/>
  <c r="V831" i="18"/>
  <c r="U831" i="18"/>
  <c r="S831" i="18"/>
  <c r="P831" i="18"/>
  <c r="W831" i="18" s="1"/>
  <c r="M831" i="18"/>
  <c r="T831" i="18" s="1"/>
  <c r="C831" i="18"/>
  <c r="D831" i="18" s="1"/>
  <c r="X830" i="18"/>
  <c r="V830" i="18"/>
  <c r="U830" i="18"/>
  <c r="S830" i="18"/>
  <c r="P830" i="18"/>
  <c r="W830" i="18" s="1"/>
  <c r="M830" i="18"/>
  <c r="T830" i="18" s="1"/>
  <c r="C830" i="18"/>
  <c r="D830" i="18" s="1"/>
  <c r="X829" i="18"/>
  <c r="V829" i="18"/>
  <c r="U829" i="18"/>
  <c r="S829" i="18"/>
  <c r="P829" i="18"/>
  <c r="W829" i="18" s="1"/>
  <c r="M829" i="18"/>
  <c r="T829" i="18" s="1"/>
  <c r="C829" i="18"/>
  <c r="D829" i="18" s="1"/>
  <c r="X828" i="18"/>
  <c r="V828" i="18"/>
  <c r="U828" i="18"/>
  <c r="S828" i="18"/>
  <c r="P828" i="18"/>
  <c r="W828" i="18" s="1"/>
  <c r="M828" i="18"/>
  <c r="T828" i="18" s="1"/>
  <c r="C828" i="18"/>
  <c r="D828" i="18" s="1"/>
  <c r="X827" i="18"/>
  <c r="V827" i="18"/>
  <c r="U827" i="18"/>
  <c r="T827" i="18"/>
  <c r="S827" i="18"/>
  <c r="P827" i="18"/>
  <c r="W827" i="18" s="1"/>
  <c r="M827" i="18"/>
  <c r="D827" i="18"/>
  <c r="C827" i="18"/>
  <c r="X826" i="18"/>
  <c r="V826" i="18"/>
  <c r="U826" i="18"/>
  <c r="S826" i="18"/>
  <c r="P826" i="18"/>
  <c r="W826" i="18" s="1"/>
  <c r="M826" i="18"/>
  <c r="T826" i="18" s="1"/>
  <c r="D826" i="18"/>
  <c r="C826" i="18"/>
  <c r="X825" i="18"/>
  <c r="V825" i="18"/>
  <c r="U825" i="18"/>
  <c r="S825" i="18"/>
  <c r="P825" i="18"/>
  <c r="W825" i="18" s="1"/>
  <c r="M825" i="18"/>
  <c r="T825" i="18" s="1"/>
  <c r="C825" i="18"/>
  <c r="D825" i="18" s="1"/>
  <c r="X824" i="18"/>
  <c r="V824" i="18"/>
  <c r="U824" i="18"/>
  <c r="S824" i="18"/>
  <c r="P824" i="18"/>
  <c r="W824" i="18" s="1"/>
  <c r="M824" i="18"/>
  <c r="T824" i="18" s="1"/>
  <c r="C824" i="18"/>
  <c r="D824" i="18" s="1"/>
  <c r="X823" i="18"/>
  <c r="V823" i="18"/>
  <c r="U823" i="18"/>
  <c r="S823" i="18"/>
  <c r="P823" i="18"/>
  <c r="W823" i="18" s="1"/>
  <c r="M823" i="18"/>
  <c r="T823" i="18" s="1"/>
  <c r="C823" i="18"/>
  <c r="D823" i="18" s="1"/>
  <c r="X822" i="18"/>
  <c r="V822" i="18"/>
  <c r="U822" i="18"/>
  <c r="S822" i="18"/>
  <c r="P822" i="18"/>
  <c r="W822" i="18" s="1"/>
  <c r="M822" i="18"/>
  <c r="T822" i="18" s="1"/>
  <c r="C822" i="18"/>
  <c r="D822" i="18" s="1"/>
  <c r="X821" i="18"/>
  <c r="V821" i="18"/>
  <c r="U821" i="18"/>
  <c r="S821" i="18"/>
  <c r="P821" i="18"/>
  <c r="W821" i="18" s="1"/>
  <c r="M821" i="18"/>
  <c r="T821" i="18" s="1"/>
  <c r="C821" i="18"/>
  <c r="D821" i="18" s="1"/>
  <c r="X820" i="18"/>
  <c r="V820" i="18"/>
  <c r="U820" i="18"/>
  <c r="S820" i="18"/>
  <c r="P820" i="18"/>
  <c r="W820" i="18" s="1"/>
  <c r="M820" i="18"/>
  <c r="T820" i="18" s="1"/>
  <c r="D820" i="18"/>
  <c r="C820" i="18"/>
  <c r="X819" i="18"/>
  <c r="V819" i="18"/>
  <c r="U819" i="18"/>
  <c r="S819" i="18"/>
  <c r="P819" i="18"/>
  <c r="W819" i="18" s="1"/>
  <c r="M819" i="18"/>
  <c r="T819" i="18" s="1"/>
  <c r="C819" i="18"/>
  <c r="D819" i="18" s="1"/>
  <c r="X818" i="18"/>
  <c r="V818" i="18"/>
  <c r="U818" i="18"/>
  <c r="S818" i="18"/>
  <c r="P818" i="18"/>
  <c r="W818" i="18" s="1"/>
  <c r="M818" i="18"/>
  <c r="T818" i="18" s="1"/>
  <c r="C818" i="18"/>
  <c r="D818" i="18" s="1"/>
  <c r="X817" i="18"/>
  <c r="V817" i="18"/>
  <c r="U817" i="18"/>
  <c r="T817" i="18"/>
  <c r="S817" i="18"/>
  <c r="P817" i="18"/>
  <c r="W817" i="18" s="1"/>
  <c r="M817" i="18"/>
  <c r="C817" i="18"/>
  <c r="D817" i="18" s="1"/>
  <c r="X816" i="18"/>
  <c r="V816" i="18"/>
  <c r="U816" i="18"/>
  <c r="S816" i="18"/>
  <c r="P816" i="18"/>
  <c r="W816" i="18" s="1"/>
  <c r="M816" i="18"/>
  <c r="T816" i="18" s="1"/>
  <c r="C816" i="18"/>
  <c r="D816" i="18" s="1"/>
  <c r="X815" i="18"/>
  <c r="V815" i="18"/>
  <c r="U815" i="18"/>
  <c r="S815" i="18"/>
  <c r="P815" i="18"/>
  <c r="W815" i="18" s="1"/>
  <c r="M815" i="18"/>
  <c r="T815" i="18" s="1"/>
  <c r="C815" i="18"/>
  <c r="D815" i="18" s="1"/>
  <c r="X814" i="18"/>
  <c r="V814" i="18"/>
  <c r="U814" i="18"/>
  <c r="S814" i="18"/>
  <c r="P814" i="18"/>
  <c r="W814" i="18" s="1"/>
  <c r="M814" i="18"/>
  <c r="T814" i="18" s="1"/>
  <c r="C814" i="18"/>
  <c r="D814" i="18" s="1"/>
  <c r="X813" i="18"/>
  <c r="V813" i="18"/>
  <c r="U813" i="18"/>
  <c r="T813" i="18"/>
  <c r="S813" i="18"/>
  <c r="P813" i="18"/>
  <c r="W813" i="18" s="1"/>
  <c r="M813" i="18"/>
  <c r="D813" i="18"/>
  <c r="C813" i="18"/>
  <c r="X812" i="18"/>
  <c r="V812" i="18"/>
  <c r="U812" i="18"/>
  <c r="S812" i="18"/>
  <c r="P812" i="18"/>
  <c r="W812" i="18" s="1"/>
  <c r="M812" i="18"/>
  <c r="T812" i="18" s="1"/>
  <c r="C812" i="18"/>
  <c r="D812" i="18" s="1"/>
  <c r="X811" i="18"/>
  <c r="V811" i="18"/>
  <c r="U811" i="18"/>
  <c r="S811" i="18"/>
  <c r="P811" i="18"/>
  <c r="W811" i="18" s="1"/>
  <c r="M811" i="18"/>
  <c r="T811" i="18" s="1"/>
  <c r="C811" i="18"/>
  <c r="D811" i="18" s="1"/>
  <c r="X810" i="18"/>
  <c r="V810" i="18"/>
  <c r="U810" i="18"/>
  <c r="S810" i="18"/>
  <c r="P810" i="18"/>
  <c r="W810" i="18" s="1"/>
  <c r="M810" i="18"/>
  <c r="T810" i="18" s="1"/>
  <c r="C810" i="18"/>
  <c r="D810" i="18" s="1"/>
  <c r="X809" i="18"/>
  <c r="V809" i="18"/>
  <c r="U809" i="18"/>
  <c r="T809" i="18"/>
  <c r="S809" i="18"/>
  <c r="P809" i="18"/>
  <c r="W809" i="18" s="1"/>
  <c r="M809" i="18"/>
  <c r="C809" i="18"/>
  <c r="D809" i="18" s="1"/>
  <c r="X808" i="18"/>
  <c r="V808" i="18"/>
  <c r="U808" i="18"/>
  <c r="S808" i="18"/>
  <c r="P808" i="18"/>
  <c r="W808" i="18" s="1"/>
  <c r="M808" i="18"/>
  <c r="T808" i="18" s="1"/>
  <c r="C808" i="18"/>
  <c r="D808" i="18" s="1"/>
  <c r="X807" i="18"/>
  <c r="V807" i="18"/>
  <c r="U807" i="18"/>
  <c r="S807" i="18"/>
  <c r="P807" i="18"/>
  <c r="W807" i="18" s="1"/>
  <c r="M807" i="18"/>
  <c r="T807" i="18" s="1"/>
  <c r="C807" i="18"/>
  <c r="D807" i="18" s="1"/>
  <c r="X806" i="18"/>
  <c r="V806" i="18"/>
  <c r="U806" i="18"/>
  <c r="S806" i="18"/>
  <c r="P806" i="18"/>
  <c r="W806" i="18" s="1"/>
  <c r="M806" i="18"/>
  <c r="T806" i="18" s="1"/>
  <c r="D806" i="18"/>
  <c r="C806" i="18"/>
  <c r="X805" i="18"/>
  <c r="V805" i="18"/>
  <c r="U805" i="18"/>
  <c r="S805" i="18"/>
  <c r="P805" i="18"/>
  <c r="W805" i="18" s="1"/>
  <c r="M805" i="18"/>
  <c r="T805" i="18" s="1"/>
  <c r="C805" i="18"/>
  <c r="D805" i="18" s="1"/>
  <c r="X804" i="18"/>
  <c r="V804" i="18"/>
  <c r="U804" i="18"/>
  <c r="S804" i="18"/>
  <c r="P804" i="18"/>
  <c r="W804" i="18" s="1"/>
  <c r="M804" i="18"/>
  <c r="T804" i="18" s="1"/>
  <c r="C804" i="18"/>
  <c r="D804" i="18" s="1"/>
  <c r="X803" i="18"/>
  <c r="V803" i="18"/>
  <c r="U803" i="18"/>
  <c r="S803" i="18"/>
  <c r="P803" i="18"/>
  <c r="W803" i="18" s="1"/>
  <c r="M803" i="18"/>
  <c r="T803" i="18" s="1"/>
  <c r="C803" i="18"/>
  <c r="D803" i="18" s="1"/>
  <c r="X802" i="18"/>
  <c r="V802" i="18"/>
  <c r="U802" i="18"/>
  <c r="S802" i="18"/>
  <c r="P802" i="18"/>
  <c r="W802" i="18" s="1"/>
  <c r="M802" i="18"/>
  <c r="T802" i="18" s="1"/>
  <c r="C802" i="18"/>
  <c r="D802" i="18" s="1"/>
  <c r="X801" i="18"/>
  <c r="V801" i="18"/>
  <c r="U801" i="18"/>
  <c r="T801" i="18"/>
  <c r="S801" i="18"/>
  <c r="P801" i="18"/>
  <c r="W801" i="18" s="1"/>
  <c r="M801" i="18"/>
  <c r="C801" i="18"/>
  <c r="D801" i="18" s="1"/>
  <c r="X800" i="18"/>
  <c r="V800" i="18"/>
  <c r="U800" i="18"/>
  <c r="S800" i="18"/>
  <c r="P800" i="18"/>
  <c r="W800" i="18" s="1"/>
  <c r="M800" i="18"/>
  <c r="T800" i="18" s="1"/>
  <c r="C800" i="18"/>
  <c r="D800" i="18" s="1"/>
  <c r="X799" i="18"/>
  <c r="V799" i="18"/>
  <c r="U799" i="18"/>
  <c r="S799" i="18"/>
  <c r="P799" i="18"/>
  <c r="W799" i="18" s="1"/>
  <c r="M799" i="18"/>
  <c r="T799" i="18" s="1"/>
  <c r="C799" i="18"/>
  <c r="D799" i="18" s="1"/>
  <c r="X798" i="18"/>
  <c r="V798" i="18"/>
  <c r="U798" i="18"/>
  <c r="S798" i="18"/>
  <c r="P798" i="18"/>
  <c r="W798" i="18" s="1"/>
  <c r="M798" i="18"/>
  <c r="T798" i="18" s="1"/>
  <c r="D798" i="18"/>
  <c r="C798" i="18"/>
  <c r="X797" i="18"/>
  <c r="V797" i="18"/>
  <c r="U797" i="18"/>
  <c r="S797" i="18"/>
  <c r="P797" i="18"/>
  <c r="W797" i="18" s="1"/>
  <c r="M797" i="18"/>
  <c r="T797" i="18" s="1"/>
  <c r="C797" i="18"/>
  <c r="D797" i="18" s="1"/>
  <c r="X796" i="18"/>
  <c r="V796" i="18"/>
  <c r="U796" i="18"/>
  <c r="S796" i="18"/>
  <c r="P796" i="18"/>
  <c r="W796" i="18" s="1"/>
  <c r="M796" i="18"/>
  <c r="T796" i="18" s="1"/>
  <c r="C796" i="18"/>
  <c r="D796" i="18" s="1"/>
  <c r="X795" i="18"/>
  <c r="V795" i="18"/>
  <c r="U795" i="18"/>
  <c r="S795" i="18"/>
  <c r="P795" i="18"/>
  <c r="W795" i="18" s="1"/>
  <c r="M795" i="18"/>
  <c r="T795" i="18" s="1"/>
  <c r="C795" i="18"/>
  <c r="D795" i="18" s="1"/>
  <c r="X794" i="18"/>
  <c r="V794" i="18"/>
  <c r="U794" i="18"/>
  <c r="S794" i="18"/>
  <c r="P794" i="18"/>
  <c r="W794" i="18" s="1"/>
  <c r="M794" i="18"/>
  <c r="T794" i="18" s="1"/>
  <c r="C794" i="18"/>
  <c r="D794" i="18" s="1"/>
  <c r="X793" i="18"/>
  <c r="V793" i="18"/>
  <c r="U793" i="18"/>
  <c r="T793" i="18"/>
  <c r="S793" i="18"/>
  <c r="P793" i="18"/>
  <c r="W793" i="18" s="1"/>
  <c r="M793" i="18"/>
  <c r="C793" i="18"/>
  <c r="D793" i="18" s="1"/>
  <c r="X792" i="18"/>
  <c r="V792" i="18"/>
  <c r="U792" i="18"/>
  <c r="S792" i="18"/>
  <c r="P792" i="18"/>
  <c r="W792" i="18" s="1"/>
  <c r="M792" i="18"/>
  <c r="T792" i="18" s="1"/>
  <c r="C792" i="18"/>
  <c r="D792" i="18" s="1"/>
  <c r="X791" i="18"/>
  <c r="V791" i="18"/>
  <c r="U791" i="18"/>
  <c r="S791" i="18"/>
  <c r="P791" i="18"/>
  <c r="W791" i="18" s="1"/>
  <c r="M791" i="18"/>
  <c r="T791" i="18" s="1"/>
  <c r="C791" i="18"/>
  <c r="D791" i="18" s="1"/>
  <c r="X790" i="18"/>
  <c r="V790" i="18"/>
  <c r="U790" i="18"/>
  <c r="S790" i="18"/>
  <c r="P790" i="18"/>
  <c r="W790" i="18" s="1"/>
  <c r="M790" i="18"/>
  <c r="T790" i="18" s="1"/>
  <c r="D790" i="18"/>
  <c r="C790" i="18"/>
  <c r="X789" i="18"/>
  <c r="V789" i="18"/>
  <c r="U789" i="18"/>
  <c r="S789" i="18"/>
  <c r="P789" i="18"/>
  <c r="W789" i="18" s="1"/>
  <c r="M789" i="18"/>
  <c r="T789" i="18" s="1"/>
  <c r="C789" i="18"/>
  <c r="D789" i="18" s="1"/>
  <c r="X788" i="18"/>
  <c r="V788" i="18"/>
  <c r="U788" i="18"/>
  <c r="S788" i="18"/>
  <c r="P788" i="18"/>
  <c r="W788" i="18" s="1"/>
  <c r="M788" i="18"/>
  <c r="T788" i="18" s="1"/>
  <c r="C788" i="18"/>
  <c r="D788" i="18" s="1"/>
  <c r="X787" i="18"/>
  <c r="V787" i="18"/>
  <c r="U787" i="18"/>
  <c r="S787" i="18"/>
  <c r="P787" i="18"/>
  <c r="W787" i="18" s="1"/>
  <c r="M787" i="18"/>
  <c r="T787" i="18" s="1"/>
  <c r="C787" i="18"/>
  <c r="D787" i="18" s="1"/>
  <c r="X786" i="18"/>
  <c r="V786" i="18"/>
  <c r="U786" i="18"/>
  <c r="S786" i="18"/>
  <c r="P786" i="18"/>
  <c r="W786" i="18" s="1"/>
  <c r="M786" i="18"/>
  <c r="T786" i="18" s="1"/>
  <c r="C786" i="18"/>
  <c r="D786" i="18" s="1"/>
  <c r="X785" i="18"/>
  <c r="V785" i="18"/>
  <c r="U785" i="18"/>
  <c r="T785" i="18"/>
  <c r="S785" i="18"/>
  <c r="P785" i="18"/>
  <c r="W785" i="18" s="1"/>
  <c r="M785" i="18"/>
  <c r="C785" i="18"/>
  <c r="D785" i="18" s="1"/>
  <c r="X784" i="18"/>
  <c r="V784" i="18"/>
  <c r="U784" i="18"/>
  <c r="S784" i="18"/>
  <c r="P784" i="18"/>
  <c r="W784" i="18" s="1"/>
  <c r="M784" i="18"/>
  <c r="T784" i="18" s="1"/>
  <c r="C784" i="18"/>
  <c r="D784" i="18" s="1"/>
  <c r="X783" i="18"/>
  <c r="V783" i="18"/>
  <c r="U783" i="18"/>
  <c r="S783" i="18"/>
  <c r="P783" i="18"/>
  <c r="W783" i="18" s="1"/>
  <c r="M783" i="18"/>
  <c r="T783" i="18" s="1"/>
  <c r="C783" i="18"/>
  <c r="D783" i="18" s="1"/>
  <c r="X782" i="18"/>
  <c r="V782" i="18"/>
  <c r="U782" i="18"/>
  <c r="S782" i="18"/>
  <c r="P782" i="18"/>
  <c r="W782" i="18" s="1"/>
  <c r="M782" i="18"/>
  <c r="T782" i="18" s="1"/>
  <c r="D782" i="18"/>
  <c r="C782" i="18"/>
  <c r="X781" i="18"/>
  <c r="V781" i="18"/>
  <c r="U781" i="18"/>
  <c r="S781" i="18"/>
  <c r="P781" i="18"/>
  <c r="W781" i="18" s="1"/>
  <c r="M781" i="18"/>
  <c r="T781" i="18" s="1"/>
  <c r="C781" i="18"/>
  <c r="D781" i="18" s="1"/>
  <c r="X780" i="18"/>
  <c r="V780" i="18"/>
  <c r="U780" i="18"/>
  <c r="S780" i="18"/>
  <c r="P780" i="18"/>
  <c r="W780" i="18" s="1"/>
  <c r="M780" i="18"/>
  <c r="T780" i="18" s="1"/>
  <c r="C780" i="18"/>
  <c r="D780" i="18" s="1"/>
  <c r="X779" i="18"/>
  <c r="V779" i="18"/>
  <c r="U779" i="18"/>
  <c r="S779" i="18"/>
  <c r="P779" i="18"/>
  <c r="W779" i="18" s="1"/>
  <c r="M779" i="18"/>
  <c r="T779" i="18" s="1"/>
  <c r="C779" i="18"/>
  <c r="D779" i="18" s="1"/>
  <c r="X778" i="18"/>
  <c r="V778" i="18"/>
  <c r="U778" i="18"/>
  <c r="S778" i="18"/>
  <c r="P778" i="18"/>
  <c r="W778" i="18" s="1"/>
  <c r="M778" i="18"/>
  <c r="T778" i="18" s="1"/>
  <c r="C778" i="18"/>
  <c r="D778" i="18" s="1"/>
  <c r="X777" i="18"/>
  <c r="V777" i="18"/>
  <c r="U777" i="18"/>
  <c r="T777" i="18"/>
  <c r="S777" i="18"/>
  <c r="P777" i="18"/>
  <c r="W777" i="18" s="1"/>
  <c r="M777" i="18"/>
  <c r="C777" i="18"/>
  <c r="D777" i="18" s="1"/>
  <c r="X776" i="18"/>
  <c r="V776" i="18"/>
  <c r="U776" i="18"/>
  <c r="S776" i="18"/>
  <c r="P776" i="18"/>
  <c r="W776" i="18" s="1"/>
  <c r="M776" i="18"/>
  <c r="T776" i="18" s="1"/>
  <c r="C776" i="18"/>
  <c r="D776" i="18" s="1"/>
  <c r="X775" i="18"/>
  <c r="V775" i="18"/>
  <c r="U775" i="18"/>
  <c r="S775" i="18"/>
  <c r="P775" i="18"/>
  <c r="W775" i="18" s="1"/>
  <c r="M775" i="18"/>
  <c r="T775" i="18" s="1"/>
  <c r="C775" i="18"/>
  <c r="D775" i="18" s="1"/>
  <c r="X774" i="18"/>
  <c r="V774" i="18"/>
  <c r="U774" i="18"/>
  <c r="S774" i="18"/>
  <c r="P774" i="18"/>
  <c r="W774" i="18" s="1"/>
  <c r="M774" i="18"/>
  <c r="T774" i="18" s="1"/>
  <c r="D774" i="18"/>
  <c r="C774" i="18"/>
  <c r="X773" i="18"/>
  <c r="V773" i="18"/>
  <c r="U773" i="18"/>
  <c r="S773" i="18"/>
  <c r="P773" i="18"/>
  <c r="W773" i="18" s="1"/>
  <c r="M773" i="18"/>
  <c r="T773" i="18" s="1"/>
  <c r="C773" i="18"/>
  <c r="D773" i="18" s="1"/>
  <c r="X772" i="18"/>
  <c r="V772" i="18"/>
  <c r="U772" i="18"/>
  <c r="S772" i="18"/>
  <c r="P772" i="18"/>
  <c r="W772" i="18" s="1"/>
  <c r="M772" i="18"/>
  <c r="T772" i="18" s="1"/>
  <c r="C772" i="18"/>
  <c r="D772" i="18" s="1"/>
  <c r="X771" i="18"/>
  <c r="V771" i="18"/>
  <c r="U771" i="18"/>
  <c r="S771" i="18"/>
  <c r="P771" i="18"/>
  <c r="W771" i="18" s="1"/>
  <c r="M771" i="18"/>
  <c r="T771" i="18" s="1"/>
  <c r="C771" i="18"/>
  <c r="D771" i="18" s="1"/>
  <c r="X770" i="18"/>
  <c r="V770" i="18"/>
  <c r="U770" i="18"/>
  <c r="S770" i="18"/>
  <c r="P770" i="18"/>
  <c r="W770" i="18" s="1"/>
  <c r="M770" i="18"/>
  <c r="T770" i="18" s="1"/>
  <c r="C770" i="18"/>
  <c r="D770" i="18" s="1"/>
  <c r="X769" i="18"/>
  <c r="V769" i="18"/>
  <c r="U769" i="18"/>
  <c r="T769" i="18"/>
  <c r="S769" i="18"/>
  <c r="P769" i="18"/>
  <c r="W769" i="18" s="1"/>
  <c r="M769" i="18"/>
  <c r="C769" i="18"/>
  <c r="D769" i="18" s="1"/>
  <c r="X768" i="18"/>
  <c r="V768" i="18"/>
  <c r="U768" i="18"/>
  <c r="S768" i="18"/>
  <c r="P768" i="18"/>
  <c r="W768" i="18" s="1"/>
  <c r="M768" i="18"/>
  <c r="T768" i="18" s="1"/>
  <c r="C768" i="18"/>
  <c r="D768" i="18" s="1"/>
  <c r="X767" i="18"/>
  <c r="V767" i="18"/>
  <c r="U767" i="18"/>
  <c r="S767" i="18"/>
  <c r="P767" i="18"/>
  <c r="W767" i="18" s="1"/>
  <c r="M767" i="18"/>
  <c r="T767" i="18" s="1"/>
  <c r="C767" i="18"/>
  <c r="D767" i="18" s="1"/>
  <c r="X766" i="18"/>
  <c r="V766" i="18"/>
  <c r="U766" i="18"/>
  <c r="S766" i="18"/>
  <c r="P766" i="18"/>
  <c r="W766" i="18" s="1"/>
  <c r="M766" i="18"/>
  <c r="T766" i="18" s="1"/>
  <c r="D766" i="18"/>
  <c r="C766" i="18"/>
  <c r="X765" i="18"/>
  <c r="V765" i="18"/>
  <c r="U765" i="18"/>
  <c r="S765" i="18"/>
  <c r="P765" i="18"/>
  <c r="W765" i="18" s="1"/>
  <c r="M765" i="18"/>
  <c r="T765" i="18" s="1"/>
  <c r="C765" i="18"/>
  <c r="D765" i="18" s="1"/>
  <c r="X764" i="18"/>
  <c r="V764" i="18"/>
  <c r="U764" i="18"/>
  <c r="S764" i="18"/>
  <c r="P764" i="18"/>
  <c r="W764" i="18" s="1"/>
  <c r="M764" i="18"/>
  <c r="T764" i="18" s="1"/>
  <c r="C764" i="18"/>
  <c r="D764" i="18" s="1"/>
  <c r="X763" i="18"/>
  <c r="V763" i="18"/>
  <c r="U763" i="18"/>
  <c r="S763" i="18"/>
  <c r="P763" i="18"/>
  <c r="W763" i="18" s="1"/>
  <c r="M763" i="18"/>
  <c r="T763" i="18" s="1"/>
  <c r="C763" i="18"/>
  <c r="D763" i="18" s="1"/>
  <c r="X762" i="18"/>
  <c r="V762" i="18"/>
  <c r="U762" i="18"/>
  <c r="S762" i="18"/>
  <c r="P762" i="18"/>
  <c r="W762" i="18" s="1"/>
  <c r="M762" i="18"/>
  <c r="T762" i="18" s="1"/>
  <c r="C762" i="18"/>
  <c r="D762" i="18" s="1"/>
  <c r="X761" i="18"/>
  <c r="V761" i="18"/>
  <c r="U761" i="18"/>
  <c r="S761" i="18"/>
  <c r="P761" i="18"/>
  <c r="W761" i="18" s="1"/>
  <c r="M761" i="18"/>
  <c r="T761" i="18" s="1"/>
  <c r="C761" i="18"/>
  <c r="D761" i="18" s="1"/>
  <c r="X760" i="18"/>
  <c r="V760" i="18"/>
  <c r="U760" i="18"/>
  <c r="S760" i="18"/>
  <c r="P760" i="18"/>
  <c r="W760" i="18" s="1"/>
  <c r="M760" i="18"/>
  <c r="T760" i="18" s="1"/>
  <c r="C760" i="18"/>
  <c r="D760" i="18" s="1"/>
  <c r="X759" i="18"/>
  <c r="V759" i="18"/>
  <c r="U759" i="18"/>
  <c r="T759" i="18"/>
  <c r="S759" i="18"/>
  <c r="P759" i="18"/>
  <c r="W759" i="18" s="1"/>
  <c r="M759" i="18"/>
  <c r="C759" i="18"/>
  <c r="D759" i="18" s="1"/>
  <c r="X758" i="18"/>
  <c r="V758" i="18"/>
  <c r="U758" i="18"/>
  <c r="S758" i="18"/>
  <c r="P758" i="18"/>
  <c r="W758" i="18" s="1"/>
  <c r="M758" i="18"/>
  <c r="T758" i="18" s="1"/>
  <c r="C758" i="18"/>
  <c r="D758" i="18" s="1"/>
  <c r="X757" i="18"/>
  <c r="V757" i="18"/>
  <c r="U757" i="18"/>
  <c r="S757" i="18"/>
  <c r="P757" i="18"/>
  <c r="W757" i="18" s="1"/>
  <c r="M757" i="18"/>
  <c r="T757" i="18" s="1"/>
  <c r="C757" i="18"/>
  <c r="D757" i="18" s="1"/>
  <c r="X756" i="18"/>
  <c r="V756" i="18"/>
  <c r="U756" i="18"/>
  <c r="S756" i="18"/>
  <c r="P756" i="18"/>
  <c r="W756" i="18" s="1"/>
  <c r="M756" i="18"/>
  <c r="T756" i="18" s="1"/>
  <c r="C756" i="18"/>
  <c r="D756" i="18" s="1"/>
  <c r="X755" i="18"/>
  <c r="V755" i="18"/>
  <c r="U755" i="18"/>
  <c r="T755" i="18"/>
  <c r="S755" i="18"/>
  <c r="P755" i="18"/>
  <c r="W755" i="18" s="1"/>
  <c r="M755" i="18"/>
  <c r="C755" i="18"/>
  <c r="D755" i="18" s="1"/>
  <c r="X754" i="18"/>
  <c r="V754" i="18"/>
  <c r="U754" i="18"/>
  <c r="S754" i="18"/>
  <c r="P754" i="18"/>
  <c r="W754" i="18" s="1"/>
  <c r="M754" i="18"/>
  <c r="T754" i="18" s="1"/>
  <c r="C754" i="18"/>
  <c r="D754" i="18" s="1"/>
  <c r="X753" i="18"/>
  <c r="V753" i="18"/>
  <c r="U753" i="18"/>
  <c r="S753" i="18"/>
  <c r="P753" i="18"/>
  <c r="W753" i="18" s="1"/>
  <c r="M753" i="18"/>
  <c r="T753" i="18" s="1"/>
  <c r="C753" i="18"/>
  <c r="D753" i="18" s="1"/>
  <c r="X752" i="18"/>
  <c r="V752" i="18"/>
  <c r="U752" i="18"/>
  <c r="S752" i="18"/>
  <c r="P752" i="18"/>
  <c r="W752" i="18" s="1"/>
  <c r="M752" i="18"/>
  <c r="T752" i="18" s="1"/>
  <c r="C752" i="18"/>
  <c r="D752" i="18" s="1"/>
  <c r="X751" i="18"/>
  <c r="V751" i="18"/>
  <c r="U751" i="18"/>
  <c r="S751" i="18"/>
  <c r="P751" i="18"/>
  <c r="W751" i="18" s="1"/>
  <c r="M751" i="18"/>
  <c r="T751" i="18" s="1"/>
  <c r="C751" i="18"/>
  <c r="D751" i="18" s="1"/>
  <c r="X750" i="18"/>
  <c r="V750" i="18"/>
  <c r="U750" i="18"/>
  <c r="S750" i="18"/>
  <c r="P750" i="18"/>
  <c r="W750" i="18" s="1"/>
  <c r="M750" i="18"/>
  <c r="T750" i="18" s="1"/>
  <c r="C750" i="18"/>
  <c r="D750" i="18" s="1"/>
  <c r="X749" i="18"/>
  <c r="V749" i="18"/>
  <c r="U749" i="18"/>
  <c r="S749" i="18"/>
  <c r="P749" i="18"/>
  <c r="W749" i="18" s="1"/>
  <c r="M749" i="18"/>
  <c r="T749" i="18" s="1"/>
  <c r="C749" i="18"/>
  <c r="D749" i="18" s="1"/>
  <c r="X748" i="18"/>
  <c r="V748" i="18"/>
  <c r="U748" i="18"/>
  <c r="S748" i="18"/>
  <c r="P748" i="18"/>
  <c r="W748" i="18" s="1"/>
  <c r="M748" i="18"/>
  <c r="T748" i="18" s="1"/>
  <c r="C748" i="18"/>
  <c r="D748" i="18" s="1"/>
  <c r="X747" i="18"/>
  <c r="V747" i="18"/>
  <c r="U747" i="18"/>
  <c r="S747" i="18"/>
  <c r="P747" i="18"/>
  <c r="W747" i="18" s="1"/>
  <c r="M747" i="18"/>
  <c r="T747" i="18" s="1"/>
  <c r="C747" i="18"/>
  <c r="D747" i="18" s="1"/>
  <c r="X746" i="18"/>
  <c r="V746" i="18"/>
  <c r="U746" i="18"/>
  <c r="S746" i="18"/>
  <c r="P746" i="18"/>
  <c r="W746" i="18" s="1"/>
  <c r="M746" i="18"/>
  <c r="T746" i="18" s="1"/>
  <c r="C746" i="18"/>
  <c r="D746" i="18" s="1"/>
  <c r="X745" i="18"/>
  <c r="V745" i="18"/>
  <c r="U745" i="18"/>
  <c r="S745" i="18"/>
  <c r="P745" i="18"/>
  <c r="W745" i="18" s="1"/>
  <c r="M745" i="18"/>
  <c r="T745" i="18" s="1"/>
  <c r="C745" i="18"/>
  <c r="D745" i="18" s="1"/>
  <c r="X744" i="18"/>
  <c r="V744" i="18"/>
  <c r="U744" i="18"/>
  <c r="S744" i="18"/>
  <c r="P744" i="18"/>
  <c r="W744" i="18" s="1"/>
  <c r="M744" i="18"/>
  <c r="T744" i="18" s="1"/>
  <c r="C744" i="18"/>
  <c r="D744" i="18" s="1"/>
  <c r="X743" i="18"/>
  <c r="V743" i="18"/>
  <c r="U743" i="18"/>
  <c r="S743" i="18"/>
  <c r="P743" i="18"/>
  <c r="W743" i="18" s="1"/>
  <c r="M743" i="18"/>
  <c r="T743" i="18" s="1"/>
  <c r="C743" i="18"/>
  <c r="D743" i="18" s="1"/>
  <c r="X742" i="18"/>
  <c r="V742" i="18"/>
  <c r="U742" i="18"/>
  <c r="S742" i="18"/>
  <c r="P742" i="18"/>
  <c r="W742" i="18" s="1"/>
  <c r="M742" i="18"/>
  <c r="T742" i="18" s="1"/>
  <c r="C742" i="18"/>
  <c r="D742" i="18" s="1"/>
  <c r="X741" i="18"/>
  <c r="V741" i="18"/>
  <c r="U741" i="18"/>
  <c r="T741" i="18"/>
  <c r="S741" i="18"/>
  <c r="P741" i="18"/>
  <c r="W741" i="18" s="1"/>
  <c r="M741" i="18"/>
  <c r="C741" i="18"/>
  <c r="D741" i="18" s="1"/>
  <c r="X740" i="18"/>
  <c r="V740" i="18"/>
  <c r="U740" i="18"/>
  <c r="S740" i="18"/>
  <c r="P740" i="18"/>
  <c r="W740" i="18" s="1"/>
  <c r="M740" i="18"/>
  <c r="T740" i="18" s="1"/>
  <c r="C740" i="18"/>
  <c r="D740" i="18" s="1"/>
  <c r="X739" i="18"/>
  <c r="V739" i="18"/>
  <c r="U739" i="18"/>
  <c r="S739" i="18"/>
  <c r="P739" i="18"/>
  <c r="W739" i="18" s="1"/>
  <c r="M739" i="18"/>
  <c r="T739" i="18" s="1"/>
  <c r="C739" i="18"/>
  <c r="D739" i="18" s="1"/>
  <c r="X738" i="18"/>
  <c r="V738" i="18"/>
  <c r="U738" i="18"/>
  <c r="S738" i="18"/>
  <c r="P738" i="18"/>
  <c r="W738" i="18" s="1"/>
  <c r="M738" i="18"/>
  <c r="T738" i="18" s="1"/>
  <c r="C738" i="18"/>
  <c r="D738" i="18" s="1"/>
  <c r="X737" i="18"/>
  <c r="V737" i="18"/>
  <c r="U737" i="18"/>
  <c r="T737" i="18"/>
  <c r="S737" i="18"/>
  <c r="P737" i="18"/>
  <c r="W737" i="18" s="1"/>
  <c r="M737" i="18"/>
  <c r="D737" i="18"/>
  <c r="C737" i="18"/>
  <c r="X736" i="18"/>
  <c r="V736" i="18"/>
  <c r="U736" i="18"/>
  <c r="S736" i="18"/>
  <c r="P736" i="18"/>
  <c r="W736" i="18" s="1"/>
  <c r="M736" i="18"/>
  <c r="T736" i="18" s="1"/>
  <c r="C736" i="18"/>
  <c r="D736" i="18" s="1"/>
  <c r="X735" i="18"/>
  <c r="V735" i="18"/>
  <c r="U735" i="18"/>
  <c r="S735" i="18"/>
  <c r="P735" i="18"/>
  <c r="W735" i="18" s="1"/>
  <c r="M735" i="18"/>
  <c r="T735" i="18" s="1"/>
  <c r="C735" i="18"/>
  <c r="D735" i="18" s="1"/>
  <c r="X734" i="18"/>
  <c r="V734" i="18"/>
  <c r="U734" i="18"/>
  <c r="S734" i="18"/>
  <c r="P734" i="18"/>
  <c r="W734" i="18" s="1"/>
  <c r="M734" i="18"/>
  <c r="T734" i="18" s="1"/>
  <c r="C734" i="18"/>
  <c r="D734" i="18" s="1"/>
  <c r="X733" i="18"/>
  <c r="V733" i="18"/>
  <c r="U733" i="18"/>
  <c r="S733" i="18"/>
  <c r="P733" i="18"/>
  <c r="W733" i="18" s="1"/>
  <c r="M733" i="18"/>
  <c r="T733" i="18" s="1"/>
  <c r="C733" i="18"/>
  <c r="D733" i="18" s="1"/>
  <c r="X732" i="18"/>
  <c r="V732" i="18"/>
  <c r="U732" i="18"/>
  <c r="S732" i="18"/>
  <c r="P732" i="18"/>
  <c r="W732" i="18" s="1"/>
  <c r="M732" i="18"/>
  <c r="T732" i="18" s="1"/>
  <c r="C732" i="18"/>
  <c r="D732" i="18" s="1"/>
  <c r="X731" i="18"/>
  <c r="V731" i="18"/>
  <c r="U731" i="18"/>
  <c r="S731" i="18"/>
  <c r="P731" i="18"/>
  <c r="W731" i="18" s="1"/>
  <c r="M731" i="18"/>
  <c r="T731" i="18" s="1"/>
  <c r="C731" i="18"/>
  <c r="D731" i="18" s="1"/>
  <c r="X730" i="18"/>
  <c r="V730" i="18"/>
  <c r="U730" i="18"/>
  <c r="S730" i="18"/>
  <c r="P730" i="18"/>
  <c r="W730" i="18" s="1"/>
  <c r="M730" i="18"/>
  <c r="T730" i="18" s="1"/>
  <c r="C730" i="18"/>
  <c r="D730" i="18" s="1"/>
  <c r="X729" i="18"/>
  <c r="V729" i="18"/>
  <c r="U729" i="18"/>
  <c r="S729" i="18"/>
  <c r="P729" i="18"/>
  <c r="W729" i="18" s="1"/>
  <c r="M729" i="18"/>
  <c r="T729" i="18" s="1"/>
  <c r="C729" i="18"/>
  <c r="D729" i="18" s="1"/>
  <c r="X728" i="18"/>
  <c r="V728" i="18"/>
  <c r="U728" i="18"/>
  <c r="S728" i="18"/>
  <c r="P728" i="18"/>
  <c r="W728" i="18" s="1"/>
  <c r="M728" i="18"/>
  <c r="T728" i="18" s="1"/>
  <c r="C728" i="18"/>
  <c r="D728" i="18" s="1"/>
  <c r="X727" i="18"/>
  <c r="V727" i="18"/>
  <c r="U727" i="18"/>
  <c r="T727" i="18"/>
  <c r="S727" i="18"/>
  <c r="P727" i="18"/>
  <c r="W727" i="18" s="1"/>
  <c r="M727" i="18"/>
  <c r="C727" i="18"/>
  <c r="D727" i="18" s="1"/>
  <c r="X726" i="18"/>
  <c r="V726" i="18"/>
  <c r="U726" i="18"/>
  <c r="S726" i="18"/>
  <c r="P726" i="18"/>
  <c r="W726" i="18" s="1"/>
  <c r="M726" i="18"/>
  <c r="T726" i="18" s="1"/>
  <c r="C726" i="18"/>
  <c r="D726" i="18" s="1"/>
  <c r="X725" i="18"/>
  <c r="V725" i="18"/>
  <c r="U725" i="18"/>
  <c r="S725" i="18"/>
  <c r="P725" i="18"/>
  <c r="W725" i="18" s="1"/>
  <c r="M725" i="18"/>
  <c r="T725" i="18" s="1"/>
  <c r="C725" i="18"/>
  <c r="D725" i="18" s="1"/>
  <c r="X724" i="18"/>
  <c r="V724" i="18"/>
  <c r="U724" i="18"/>
  <c r="S724" i="18"/>
  <c r="P724" i="18"/>
  <c r="W724" i="18" s="1"/>
  <c r="M724" i="18"/>
  <c r="T724" i="18" s="1"/>
  <c r="C724" i="18"/>
  <c r="D724" i="18" s="1"/>
  <c r="X723" i="18"/>
  <c r="V723" i="18"/>
  <c r="U723" i="18"/>
  <c r="T723" i="18"/>
  <c r="S723" i="18"/>
  <c r="P723" i="18"/>
  <c r="W723" i="18" s="1"/>
  <c r="M723" i="18"/>
  <c r="C723" i="18"/>
  <c r="D723" i="18" s="1"/>
  <c r="X722" i="18"/>
  <c r="V722" i="18"/>
  <c r="U722" i="18"/>
  <c r="S722" i="18"/>
  <c r="P722" i="18"/>
  <c r="W722" i="18" s="1"/>
  <c r="M722" i="18"/>
  <c r="T722" i="18" s="1"/>
  <c r="C722" i="18"/>
  <c r="D722" i="18" s="1"/>
  <c r="X721" i="18"/>
  <c r="V721" i="18"/>
  <c r="U721" i="18"/>
  <c r="S721" i="18"/>
  <c r="P721" i="18"/>
  <c r="W721" i="18" s="1"/>
  <c r="M721" i="18"/>
  <c r="T721" i="18" s="1"/>
  <c r="C721" i="18"/>
  <c r="D721" i="18" s="1"/>
  <c r="X720" i="18"/>
  <c r="V720" i="18"/>
  <c r="U720" i="18"/>
  <c r="S720" i="18"/>
  <c r="P720" i="18"/>
  <c r="W720" i="18" s="1"/>
  <c r="M720" i="18"/>
  <c r="T720" i="18" s="1"/>
  <c r="C720" i="18"/>
  <c r="D720" i="18" s="1"/>
  <c r="X719" i="18"/>
  <c r="V719" i="18"/>
  <c r="U719" i="18"/>
  <c r="S719" i="18"/>
  <c r="P719" i="18"/>
  <c r="W719" i="18" s="1"/>
  <c r="M719" i="18"/>
  <c r="T719" i="18" s="1"/>
  <c r="C719" i="18"/>
  <c r="D719" i="18" s="1"/>
  <c r="X718" i="18"/>
  <c r="V718" i="18"/>
  <c r="U718" i="18"/>
  <c r="S718" i="18"/>
  <c r="P718" i="18"/>
  <c r="W718" i="18" s="1"/>
  <c r="M718" i="18"/>
  <c r="T718" i="18" s="1"/>
  <c r="C718" i="18"/>
  <c r="D718" i="18" s="1"/>
  <c r="X717" i="18"/>
  <c r="V717" i="18"/>
  <c r="U717" i="18"/>
  <c r="S717" i="18"/>
  <c r="P717" i="18"/>
  <c r="W717" i="18" s="1"/>
  <c r="M717" i="18"/>
  <c r="T717" i="18" s="1"/>
  <c r="C717" i="18"/>
  <c r="D717" i="18" s="1"/>
  <c r="X716" i="18"/>
  <c r="V716" i="18"/>
  <c r="U716" i="18"/>
  <c r="S716" i="18"/>
  <c r="P716" i="18"/>
  <c r="W716" i="18" s="1"/>
  <c r="M716" i="18"/>
  <c r="T716" i="18" s="1"/>
  <c r="C716" i="18"/>
  <c r="D716" i="18" s="1"/>
  <c r="X715" i="18"/>
  <c r="V715" i="18"/>
  <c r="U715" i="18"/>
  <c r="S715" i="18"/>
  <c r="P715" i="18"/>
  <c r="W715" i="18" s="1"/>
  <c r="M715" i="18"/>
  <c r="T715" i="18" s="1"/>
  <c r="C715" i="18"/>
  <c r="D715" i="18" s="1"/>
  <c r="X714" i="18"/>
  <c r="V714" i="18"/>
  <c r="U714" i="18"/>
  <c r="S714" i="18"/>
  <c r="P714" i="18"/>
  <c r="W714" i="18" s="1"/>
  <c r="M714" i="18"/>
  <c r="T714" i="18" s="1"/>
  <c r="C714" i="18"/>
  <c r="D714" i="18" s="1"/>
  <c r="X713" i="18"/>
  <c r="V713" i="18"/>
  <c r="U713" i="18"/>
  <c r="S713" i="18"/>
  <c r="P713" i="18"/>
  <c r="W713" i="18" s="1"/>
  <c r="M713" i="18"/>
  <c r="T713" i="18" s="1"/>
  <c r="C713" i="18"/>
  <c r="D713" i="18" s="1"/>
  <c r="X712" i="18"/>
  <c r="V712" i="18"/>
  <c r="U712" i="18"/>
  <c r="S712" i="18"/>
  <c r="P712" i="18"/>
  <c r="W712" i="18" s="1"/>
  <c r="M712" i="18"/>
  <c r="T712" i="18" s="1"/>
  <c r="C712" i="18"/>
  <c r="D712" i="18" s="1"/>
  <c r="X711" i="18"/>
  <c r="V711" i="18"/>
  <c r="U711" i="18"/>
  <c r="S711" i="18"/>
  <c r="P711" i="18"/>
  <c r="W711" i="18" s="1"/>
  <c r="M711" i="18"/>
  <c r="T711" i="18" s="1"/>
  <c r="C711" i="18"/>
  <c r="D711" i="18" s="1"/>
  <c r="X710" i="18"/>
  <c r="V710" i="18"/>
  <c r="U710" i="18"/>
  <c r="S710" i="18"/>
  <c r="P710" i="18"/>
  <c r="W710" i="18" s="1"/>
  <c r="M710" i="18"/>
  <c r="T710" i="18" s="1"/>
  <c r="C710" i="18"/>
  <c r="D710" i="18" s="1"/>
  <c r="X709" i="18"/>
  <c r="V709" i="18"/>
  <c r="U709" i="18"/>
  <c r="T709" i="18"/>
  <c r="S709" i="18"/>
  <c r="P709" i="18"/>
  <c r="W709" i="18" s="1"/>
  <c r="M709" i="18"/>
  <c r="C709" i="18"/>
  <c r="D709" i="18" s="1"/>
  <c r="X708" i="18"/>
  <c r="V708" i="18"/>
  <c r="U708" i="18"/>
  <c r="S708" i="18"/>
  <c r="P708" i="18"/>
  <c r="W708" i="18" s="1"/>
  <c r="M708" i="18"/>
  <c r="T708" i="18" s="1"/>
  <c r="C708" i="18"/>
  <c r="D708" i="18" s="1"/>
  <c r="X707" i="18"/>
  <c r="V707" i="18"/>
  <c r="U707" i="18"/>
  <c r="S707" i="18"/>
  <c r="P707" i="18"/>
  <c r="W707" i="18" s="1"/>
  <c r="M707" i="18"/>
  <c r="T707" i="18" s="1"/>
  <c r="C707" i="18"/>
  <c r="D707" i="18" s="1"/>
  <c r="X706" i="18"/>
  <c r="V706" i="18"/>
  <c r="U706" i="18"/>
  <c r="S706" i="18"/>
  <c r="P706" i="18"/>
  <c r="W706" i="18" s="1"/>
  <c r="M706" i="18"/>
  <c r="T706" i="18" s="1"/>
  <c r="C706" i="18"/>
  <c r="D706" i="18" s="1"/>
  <c r="X705" i="18"/>
  <c r="V705" i="18"/>
  <c r="U705" i="18"/>
  <c r="T705" i="18"/>
  <c r="S705" i="18"/>
  <c r="P705" i="18"/>
  <c r="W705" i="18" s="1"/>
  <c r="M705" i="18"/>
  <c r="D705" i="18"/>
  <c r="C705" i="18"/>
  <c r="X704" i="18"/>
  <c r="V704" i="18"/>
  <c r="U704" i="18"/>
  <c r="S704" i="18"/>
  <c r="P704" i="18"/>
  <c r="W704" i="18" s="1"/>
  <c r="M704" i="18"/>
  <c r="T704" i="18" s="1"/>
  <c r="C704" i="18"/>
  <c r="D704" i="18" s="1"/>
  <c r="X703" i="18"/>
  <c r="V703" i="18"/>
  <c r="U703" i="18"/>
  <c r="S703" i="18"/>
  <c r="P703" i="18"/>
  <c r="W703" i="18" s="1"/>
  <c r="M703" i="18"/>
  <c r="T703" i="18" s="1"/>
  <c r="C703" i="18"/>
  <c r="D703" i="18" s="1"/>
  <c r="X702" i="18"/>
  <c r="V702" i="18"/>
  <c r="U702" i="18"/>
  <c r="S702" i="18"/>
  <c r="P702" i="18"/>
  <c r="W702" i="18" s="1"/>
  <c r="M702" i="18"/>
  <c r="T702" i="18" s="1"/>
  <c r="C702" i="18"/>
  <c r="D702" i="18" s="1"/>
  <c r="X701" i="18"/>
  <c r="V701" i="18"/>
  <c r="U701" i="18"/>
  <c r="S701" i="18"/>
  <c r="P701" i="18"/>
  <c r="W701" i="18" s="1"/>
  <c r="M701" i="18"/>
  <c r="T701" i="18" s="1"/>
  <c r="C701" i="18"/>
  <c r="D701" i="18" s="1"/>
  <c r="X700" i="18"/>
  <c r="V700" i="18"/>
  <c r="U700" i="18"/>
  <c r="S700" i="18"/>
  <c r="P700" i="18"/>
  <c r="W700" i="18" s="1"/>
  <c r="M700" i="18"/>
  <c r="T700" i="18" s="1"/>
  <c r="C700" i="18"/>
  <c r="D700" i="18" s="1"/>
  <c r="X699" i="18"/>
  <c r="V699" i="18"/>
  <c r="U699" i="18"/>
  <c r="S699" i="18"/>
  <c r="P699" i="18"/>
  <c r="W699" i="18" s="1"/>
  <c r="M699" i="18"/>
  <c r="T699" i="18" s="1"/>
  <c r="C699" i="18"/>
  <c r="D699" i="18" s="1"/>
  <c r="X698" i="18"/>
  <c r="V698" i="18"/>
  <c r="U698" i="18"/>
  <c r="S698" i="18"/>
  <c r="P698" i="18"/>
  <c r="W698" i="18" s="1"/>
  <c r="M698" i="18"/>
  <c r="T698" i="18" s="1"/>
  <c r="C698" i="18"/>
  <c r="D698" i="18" s="1"/>
  <c r="X697" i="18"/>
  <c r="V697" i="18"/>
  <c r="U697" i="18"/>
  <c r="S697" i="18"/>
  <c r="P697" i="18"/>
  <c r="W697" i="18" s="1"/>
  <c r="M697" i="18"/>
  <c r="T697" i="18" s="1"/>
  <c r="C697" i="18"/>
  <c r="D697" i="18" s="1"/>
  <c r="X696" i="18"/>
  <c r="V696" i="18"/>
  <c r="U696" i="18"/>
  <c r="S696" i="18"/>
  <c r="P696" i="18"/>
  <c r="W696" i="18" s="1"/>
  <c r="M696" i="18"/>
  <c r="T696" i="18" s="1"/>
  <c r="C696" i="18"/>
  <c r="D696" i="18" s="1"/>
  <c r="X695" i="18"/>
  <c r="V695" i="18"/>
  <c r="U695" i="18"/>
  <c r="T695" i="18"/>
  <c r="S695" i="18"/>
  <c r="P695" i="18"/>
  <c r="W695" i="18" s="1"/>
  <c r="M695" i="18"/>
  <c r="C695" i="18"/>
  <c r="D695" i="18" s="1"/>
  <c r="X694" i="18"/>
  <c r="V694" i="18"/>
  <c r="U694" i="18"/>
  <c r="S694" i="18"/>
  <c r="P694" i="18"/>
  <c r="W694" i="18" s="1"/>
  <c r="M694" i="18"/>
  <c r="T694" i="18" s="1"/>
  <c r="C694" i="18"/>
  <c r="D694" i="18" s="1"/>
  <c r="X693" i="18"/>
  <c r="V693" i="18"/>
  <c r="U693" i="18"/>
  <c r="S693" i="18"/>
  <c r="P693" i="18"/>
  <c r="W693" i="18" s="1"/>
  <c r="M693" i="18"/>
  <c r="T693" i="18" s="1"/>
  <c r="C693" i="18"/>
  <c r="D693" i="18" s="1"/>
  <c r="X692" i="18"/>
  <c r="V692" i="18"/>
  <c r="U692" i="18"/>
  <c r="S692" i="18"/>
  <c r="P692" i="18"/>
  <c r="W692" i="18" s="1"/>
  <c r="M692" i="18"/>
  <c r="T692" i="18" s="1"/>
  <c r="C692" i="18"/>
  <c r="D692" i="18" s="1"/>
  <c r="X691" i="18"/>
  <c r="V691" i="18"/>
  <c r="U691" i="18"/>
  <c r="T691" i="18"/>
  <c r="S691" i="18"/>
  <c r="P691" i="18"/>
  <c r="W691" i="18" s="1"/>
  <c r="M691" i="18"/>
  <c r="C691" i="18"/>
  <c r="D691" i="18" s="1"/>
  <c r="X690" i="18"/>
  <c r="V690" i="18"/>
  <c r="U690" i="18"/>
  <c r="S690" i="18"/>
  <c r="P690" i="18"/>
  <c r="W690" i="18" s="1"/>
  <c r="M690" i="18"/>
  <c r="T690" i="18" s="1"/>
  <c r="C690" i="18"/>
  <c r="D690" i="18" s="1"/>
  <c r="X689" i="18"/>
  <c r="V689" i="18"/>
  <c r="U689" i="18"/>
  <c r="S689" i="18"/>
  <c r="P689" i="18"/>
  <c r="W689" i="18" s="1"/>
  <c r="M689" i="18"/>
  <c r="T689" i="18" s="1"/>
  <c r="C689" i="18"/>
  <c r="D689" i="18" s="1"/>
  <c r="X688" i="18"/>
  <c r="V688" i="18"/>
  <c r="U688" i="18"/>
  <c r="S688" i="18"/>
  <c r="P688" i="18"/>
  <c r="W688" i="18" s="1"/>
  <c r="M688" i="18"/>
  <c r="T688" i="18" s="1"/>
  <c r="C688" i="18"/>
  <c r="D688" i="18" s="1"/>
  <c r="X687" i="18"/>
  <c r="V687" i="18"/>
  <c r="U687" i="18"/>
  <c r="S687" i="18"/>
  <c r="P687" i="18"/>
  <c r="W687" i="18" s="1"/>
  <c r="M687" i="18"/>
  <c r="T687" i="18" s="1"/>
  <c r="C687" i="18"/>
  <c r="D687" i="18" s="1"/>
  <c r="X686" i="18"/>
  <c r="V686" i="18"/>
  <c r="U686" i="18"/>
  <c r="S686" i="18"/>
  <c r="P686" i="18"/>
  <c r="W686" i="18" s="1"/>
  <c r="M686" i="18"/>
  <c r="T686" i="18" s="1"/>
  <c r="C686" i="18"/>
  <c r="D686" i="18" s="1"/>
  <c r="X685" i="18"/>
  <c r="V685" i="18"/>
  <c r="U685" i="18"/>
  <c r="S685" i="18"/>
  <c r="P685" i="18"/>
  <c r="W685" i="18" s="1"/>
  <c r="M685" i="18"/>
  <c r="T685" i="18" s="1"/>
  <c r="C685" i="18"/>
  <c r="D685" i="18" s="1"/>
  <c r="X684" i="18"/>
  <c r="V684" i="18"/>
  <c r="U684" i="18"/>
  <c r="S684" i="18"/>
  <c r="P684" i="18"/>
  <c r="W684" i="18" s="1"/>
  <c r="M684" i="18"/>
  <c r="T684" i="18" s="1"/>
  <c r="C684" i="18"/>
  <c r="D684" i="18" s="1"/>
  <c r="X683" i="18"/>
  <c r="V683" i="18"/>
  <c r="U683" i="18"/>
  <c r="S683" i="18"/>
  <c r="P683" i="18"/>
  <c r="W683" i="18" s="1"/>
  <c r="M683" i="18"/>
  <c r="T683" i="18" s="1"/>
  <c r="C683" i="18"/>
  <c r="D683" i="18" s="1"/>
  <c r="X682" i="18"/>
  <c r="V682" i="18"/>
  <c r="U682" i="18"/>
  <c r="S682" i="18"/>
  <c r="P682" i="18"/>
  <c r="W682" i="18" s="1"/>
  <c r="M682" i="18"/>
  <c r="T682" i="18" s="1"/>
  <c r="C682" i="18"/>
  <c r="D682" i="18" s="1"/>
  <c r="X681" i="18"/>
  <c r="V681" i="18"/>
  <c r="U681" i="18"/>
  <c r="S681" i="18"/>
  <c r="P681" i="18"/>
  <c r="W681" i="18" s="1"/>
  <c r="M681" i="18"/>
  <c r="T681" i="18" s="1"/>
  <c r="C681" i="18"/>
  <c r="D681" i="18" s="1"/>
  <c r="X680" i="18"/>
  <c r="V680" i="18"/>
  <c r="U680" i="18"/>
  <c r="S680" i="18"/>
  <c r="P680" i="18"/>
  <c r="W680" i="18" s="1"/>
  <c r="M680" i="18"/>
  <c r="T680" i="18" s="1"/>
  <c r="C680" i="18"/>
  <c r="D680" i="18" s="1"/>
  <c r="X679" i="18"/>
  <c r="V679" i="18"/>
  <c r="U679" i="18"/>
  <c r="S679" i="18"/>
  <c r="P679" i="18"/>
  <c r="W679" i="18" s="1"/>
  <c r="M679" i="18"/>
  <c r="T679" i="18" s="1"/>
  <c r="C679" i="18"/>
  <c r="D679" i="18" s="1"/>
  <c r="X678" i="18"/>
  <c r="V678" i="18"/>
  <c r="U678" i="18"/>
  <c r="S678" i="18"/>
  <c r="P678" i="18"/>
  <c r="W678" i="18" s="1"/>
  <c r="M678" i="18"/>
  <c r="T678" i="18" s="1"/>
  <c r="C678" i="18"/>
  <c r="D678" i="18" s="1"/>
  <c r="X677" i="18"/>
  <c r="V677" i="18"/>
  <c r="U677" i="18"/>
  <c r="T677" i="18"/>
  <c r="S677" i="18"/>
  <c r="P677" i="18"/>
  <c r="W677" i="18" s="1"/>
  <c r="M677" i="18"/>
  <c r="C677" i="18"/>
  <c r="D677" i="18" s="1"/>
  <c r="X676" i="18"/>
  <c r="V676" i="18"/>
  <c r="U676" i="18"/>
  <c r="S676" i="18"/>
  <c r="P676" i="18"/>
  <c r="W676" i="18" s="1"/>
  <c r="M676" i="18"/>
  <c r="T676" i="18" s="1"/>
  <c r="C676" i="18"/>
  <c r="D676" i="18" s="1"/>
  <c r="X675" i="18"/>
  <c r="V675" i="18"/>
  <c r="U675" i="18"/>
  <c r="S675" i="18"/>
  <c r="P675" i="18"/>
  <c r="W675" i="18" s="1"/>
  <c r="M675" i="18"/>
  <c r="T675" i="18" s="1"/>
  <c r="C675" i="18"/>
  <c r="D675" i="18" s="1"/>
  <c r="X674" i="18"/>
  <c r="V674" i="18"/>
  <c r="U674" i="18"/>
  <c r="S674" i="18"/>
  <c r="P674" i="18"/>
  <c r="W674" i="18" s="1"/>
  <c r="M674" i="18"/>
  <c r="T674" i="18" s="1"/>
  <c r="C674" i="18"/>
  <c r="D674" i="18" s="1"/>
  <c r="X673" i="18"/>
  <c r="V673" i="18"/>
  <c r="U673" i="18"/>
  <c r="T673" i="18"/>
  <c r="S673" i="18"/>
  <c r="P673" i="18"/>
  <c r="W673" i="18" s="1"/>
  <c r="M673" i="18"/>
  <c r="D673" i="18"/>
  <c r="C673" i="18"/>
  <c r="X672" i="18"/>
  <c r="V672" i="18"/>
  <c r="U672" i="18"/>
  <c r="S672" i="18"/>
  <c r="P672" i="18"/>
  <c r="W672" i="18" s="1"/>
  <c r="M672" i="18"/>
  <c r="T672" i="18" s="1"/>
  <c r="C672" i="18"/>
  <c r="D672" i="18" s="1"/>
  <c r="X671" i="18"/>
  <c r="V671" i="18"/>
  <c r="U671" i="18"/>
  <c r="S671" i="18"/>
  <c r="P671" i="18"/>
  <c r="W671" i="18" s="1"/>
  <c r="M671" i="18"/>
  <c r="T671" i="18" s="1"/>
  <c r="C671" i="18"/>
  <c r="D671" i="18" s="1"/>
  <c r="X670" i="18"/>
  <c r="V670" i="18"/>
  <c r="U670" i="18"/>
  <c r="S670" i="18"/>
  <c r="P670" i="18"/>
  <c r="W670" i="18" s="1"/>
  <c r="M670" i="18"/>
  <c r="T670" i="18" s="1"/>
  <c r="C670" i="18"/>
  <c r="D670" i="18" s="1"/>
  <c r="X669" i="18"/>
  <c r="V669" i="18"/>
  <c r="U669" i="18"/>
  <c r="S669" i="18"/>
  <c r="P669" i="18"/>
  <c r="W669" i="18" s="1"/>
  <c r="M669" i="18"/>
  <c r="T669" i="18" s="1"/>
  <c r="C669" i="18"/>
  <c r="D669" i="18" s="1"/>
  <c r="X668" i="18"/>
  <c r="V668" i="18"/>
  <c r="U668" i="18"/>
  <c r="S668" i="18"/>
  <c r="P668" i="18"/>
  <c r="W668" i="18" s="1"/>
  <c r="M668" i="18"/>
  <c r="T668" i="18" s="1"/>
  <c r="C668" i="18"/>
  <c r="D668" i="18" s="1"/>
  <c r="X667" i="18"/>
  <c r="V667" i="18"/>
  <c r="U667" i="18"/>
  <c r="S667" i="18"/>
  <c r="P667" i="18"/>
  <c r="W667" i="18" s="1"/>
  <c r="M667" i="18"/>
  <c r="T667" i="18" s="1"/>
  <c r="C667" i="18"/>
  <c r="D667" i="18" s="1"/>
  <c r="X666" i="18"/>
  <c r="V666" i="18"/>
  <c r="U666" i="18"/>
  <c r="S666" i="18"/>
  <c r="P666" i="18"/>
  <c r="W666" i="18" s="1"/>
  <c r="M666" i="18"/>
  <c r="T666" i="18" s="1"/>
  <c r="C666" i="18"/>
  <c r="D666" i="18" s="1"/>
  <c r="X665" i="18"/>
  <c r="V665" i="18"/>
  <c r="U665" i="18"/>
  <c r="S665" i="18"/>
  <c r="P665" i="18"/>
  <c r="W665" i="18" s="1"/>
  <c r="M665" i="18"/>
  <c r="T665" i="18" s="1"/>
  <c r="C665" i="18"/>
  <c r="D665" i="18" s="1"/>
  <c r="X664" i="18"/>
  <c r="V664" i="18"/>
  <c r="U664" i="18"/>
  <c r="S664" i="18"/>
  <c r="P664" i="18"/>
  <c r="W664" i="18" s="1"/>
  <c r="M664" i="18"/>
  <c r="T664" i="18" s="1"/>
  <c r="C664" i="18"/>
  <c r="D664" i="18" s="1"/>
  <c r="X663" i="18"/>
  <c r="V663" i="18"/>
  <c r="U663" i="18"/>
  <c r="T663" i="18"/>
  <c r="S663" i="18"/>
  <c r="P663" i="18"/>
  <c r="W663" i="18" s="1"/>
  <c r="M663" i="18"/>
  <c r="C663" i="18"/>
  <c r="D663" i="18" s="1"/>
  <c r="X662" i="18"/>
  <c r="V662" i="18"/>
  <c r="U662" i="18"/>
  <c r="S662" i="18"/>
  <c r="P662" i="18"/>
  <c r="W662" i="18" s="1"/>
  <c r="M662" i="18"/>
  <c r="T662" i="18" s="1"/>
  <c r="C662" i="18"/>
  <c r="D662" i="18" s="1"/>
  <c r="X661" i="18"/>
  <c r="V661" i="18"/>
  <c r="U661" i="18"/>
  <c r="S661" i="18"/>
  <c r="P661" i="18"/>
  <c r="W661" i="18" s="1"/>
  <c r="M661" i="18"/>
  <c r="T661" i="18" s="1"/>
  <c r="C661" i="18"/>
  <c r="D661" i="18" s="1"/>
  <c r="X660" i="18"/>
  <c r="V660" i="18"/>
  <c r="U660" i="18"/>
  <c r="S660" i="18"/>
  <c r="P660" i="18"/>
  <c r="W660" i="18" s="1"/>
  <c r="M660" i="18"/>
  <c r="T660" i="18" s="1"/>
  <c r="C660" i="18"/>
  <c r="D660" i="18" s="1"/>
  <c r="X659" i="18"/>
  <c r="V659" i="18"/>
  <c r="U659" i="18"/>
  <c r="T659" i="18"/>
  <c r="S659" i="18"/>
  <c r="P659" i="18"/>
  <c r="W659" i="18" s="1"/>
  <c r="M659" i="18"/>
  <c r="C659" i="18"/>
  <c r="D659" i="18" s="1"/>
  <c r="X658" i="18"/>
  <c r="V658" i="18"/>
  <c r="U658" i="18"/>
  <c r="S658" i="18"/>
  <c r="P658" i="18"/>
  <c r="W658" i="18" s="1"/>
  <c r="M658" i="18"/>
  <c r="T658" i="18" s="1"/>
  <c r="C658" i="18"/>
  <c r="D658" i="18" s="1"/>
  <c r="X657" i="18"/>
  <c r="V657" i="18"/>
  <c r="U657" i="18"/>
  <c r="S657" i="18"/>
  <c r="P657" i="18"/>
  <c r="W657" i="18" s="1"/>
  <c r="M657" i="18"/>
  <c r="T657" i="18" s="1"/>
  <c r="C657" i="18"/>
  <c r="D657" i="18" s="1"/>
  <c r="X656" i="18"/>
  <c r="V656" i="18"/>
  <c r="U656" i="18"/>
  <c r="S656" i="18"/>
  <c r="P656" i="18"/>
  <c r="W656" i="18" s="1"/>
  <c r="M656" i="18"/>
  <c r="T656" i="18" s="1"/>
  <c r="C656" i="18"/>
  <c r="D656" i="18" s="1"/>
  <c r="X655" i="18"/>
  <c r="V655" i="18"/>
  <c r="U655" i="18"/>
  <c r="S655" i="18"/>
  <c r="P655" i="18"/>
  <c r="W655" i="18" s="1"/>
  <c r="M655" i="18"/>
  <c r="T655" i="18" s="1"/>
  <c r="C655" i="18"/>
  <c r="D655" i="18" s="1"/>
  <c r="X654" i="18"/>
  <c r="V654" i="18"/>
  <c r="U654" i="18"/>
  <c r="S654" i="18"/>
  <c r="P654" i="18"/>
  <c r="W654" i="18" s="1"/>
  <c r="M654" i="18"/>
  <c r="T654" i="18" s="1"/>
  <c r="C654" i="18"/>
  <c r="D654" i="18" s="1"/>
  <c r="X653" i="18"/>
  <c r="V653" i="18"/>
  <c r="U653" i="18"/>
  <c r="S653" i="18"/>
  <c r="P653" i="18"/>
  <c r="W653" i="18" s="1"/>
  <c r="M653" i="18"/>
  <c r="T653" i="18" s="1"/>
  <c r="C653" i="18"/>
  <c r="D653" i="18" s="1"/>
  <c r="X652" i="18"/>
  <c r="V652" i="18"/>
  <c r="U652" i="18"/>
  <c r="S652" i="18"/>
  <c r="P652" i="18"/>
  <c r="W652" i="18" s="1"/>
  <c r="M652" i="18"/>
  <c r="T652" i="18" s="1"/>
  <c r="C652" i="18"/>
  <c r="D652" i="18" s="1"/>
  <c r="X651" i="18"/>
  <c r="V651" i="18"/>
  <c r="U651" i="18"/>
  <c r="S651" i="18"/>
  <c r="P651" i="18"/>
  <c r="W651" i="18" s="1"/>
  <c r="M651" i="18"/>
  <c r="T651" i="18" s="1"/>
  <c r="C651" i="18"/>
  <c r="D651" i="18" s="1"/>
  <c r="X650" i="18"/>
  <c r="V650" i="18"/>
  <c r="U650" i="18"/>
  <c r="S650" i="18"/>
  <c r="P650" i="18"/>
  <c r="W650" i="18" s="1"/>
  <c r="M650" i="18"/>
  <c r="T650" i="18" s="1"/>
  <c r="C650" i="18"/>
  <c r="D650" i="18" s="1"/>
  <c r="X649" i="18"/>
  <c r="V649" i="18"/>
  <c r="U649" i="18"/>
  <c r="S649" i="18"/>
  <c r="P649" i="18"/>
  <c r="W649" i="18" s="1"/>
  <c r="M649" i="18"/>
  <c r="T649" i="18" s="1"/>
  <c r="C649" i="18"/>
  <c r="D649" i="18" s="1"/>
  <c r="X648" i="18"/>
  <c r="V648" i="18"/>
  <c r="U648" i="18"/>
  <c r="S648" i="18"/>
  <c r="P648" i="18"/>
  <c r="W648" i="18" s="1"/>
  <c r="M648" i="18"/>
  <c r="T648" i="18" s="1"/>
  <c r="C648" i="18"/>
  <c r="D648" i="18" s="1"/>
  <c r="X647" i="18"/>
  <c r="V647" i="18"/>
  <c r="U647" i="18"/>
  <c r="S647" i="18"/>
  <c r="P647" i="18"/>
  <c r="W647" i="18" s="1"/>
  <c r="M647" i="18"/>
  <c r="T647" i="18" s="1"/>
  <c r="C647" i="18"/>
  <c r="D647" i="18" s="1"/>
  <c r="X646" i="18"/>
  <c r="V646" i="18"/>
  <c r="U646" i="18"/>
  <c r="S646" i="18"/>
  <c r="P646" i="18"/>
  <c r="W646" i="18" s="1"/>
  <c r="M646" i="18"/>
  <c r="T646" i="18" s="1"/>
  <c r="C646" i="18"/>
  <c r="D646" i="18" s="1"/>
  <c r="X645" i="18"/>
  <c r="V645" i="18"/>
  <c r="U645" i="18"/>
  <c r="T645" i="18"/>
  <c r="S645" i="18"/>
  <c r="P645" i="18"/>
  <c r="W645" i="18" s="1"/>
  <c r="M645" i="18"/>
  <c r="C645" i="18"/>
  <c r="D645" i="18" s="1"/>
  <c r="X644" i="18"/>
  <c r="V644" i="18"/>
  <c r="U644" i="18"/>
  <c r="S644" i="18"/>
  <c r="P644" i="18"/>
  <c r="W644" i="18" s="1"/>
  <c r="M644" i="18"/>
  <c r="T644" i="18" s="1"/>
  <c r="C644" i="18"/>
  <c r="D644" i="18" s="1"/>
  <c r="X643" i="18"/>
  <c r="V643" i="18"/>
  <c r="U643" i="18"/>
  <c r="S643" i="18"/>
  <c r="P643" i="18"/>
  <c r="W643" i="18" s="1"/>
  <c r="M643" i="18"/>
  <c r="T643" i="18" s="1"/>
  <c r="C643" i="18"/>
  <c r="D643" i="18" s="1"/>
  <c r="X642" i="18"/>
  <c r="V642" i="18"/>
  <c r="U642" i="18"/>
  <c r="S642" i="18"/>
  <c r="P642" i="18"/>
  <c r="W642" i="18" s="1"/>
  <c r="M642" i="18"/>
  <c r="T642" i="18" s="1"/>
  <c r="C642" i="18"/>
  <c r="D642" i="18" s="1"/>
  <c r="X641" i="18"/>
  <c r="V641" i="18"/>
  <c r="U641" i="18"/>
  <c r="T641" i="18"/>
  <c r="S641" i="18"/>
  <c r="P641" i="18"/>
  <c r="W641" i="18" s="1"/>
  <c r="M641" i="18"/>
  <c r="D641" i="18"/>
  <c r="C641" i="18"/>
  <c r="X640" i="18"/>
  <c r="V640" i="18"/>
  <c r="U640" i="18"/>
  <c r="S640" i="18"/>
  <c r="P640" i="18"/>
  <c r="W640" i="18" s="1"/>
  <c r="M640" i="18"/>
  <c r="T640" i="18" s="1"/>
  <c r="C640" i="18"/>
  <c r="D640" i="18" s="1"/>
  <c r="X639" i="18"/>
  <c r="V639" i="18"/>
  <c r="U639" i="18"/>
  <c r="S639" i="18"/>
  <c r="P639" i="18"/>
  <c r="W639" i="18" s="1"/>
  <c r="M639" i="18"/>
  <c r="T639" i="18" s="1"/>
  <c r="C639" i="18"/>
  <c r="D639" i="18" s="1"/>
  <c r="X638" i="18"/>
  <c r="V638" i="18"/>
  <c r="U638" i="18"/>
  <c r="S638" i="18"/>
  <c r="P638" i="18"/>
  <c r="W638" i="18" s="1"/>
  <c r="M638" i="18"/>
  <c r="T638" i="18" s="1"/>
  <c r="C638" i="18"/>
  <c r="D638" i="18" s="1"/>
  <c r="X637" i="18"/>
  <c r="V637" i="18"/>
  <c r="U637" i="18"/>
  <c r="S637" i="18"/>
  <c r="P637" i="18"/>
  <c r="W637" i="18" s="1"/>
  <c r="M637" i="18"/>
  <c r="T637" i="18" s="1"/>
  <c r="C637" i="18"/>
  <c r="D637" i="18" s="1"/>
  <c r="X636" i="18"/>
  <c r="V636" i="18"/>
  <c r="U636" i="18"/>
  <c r="S636" i="18"/>
  <c r="P636" i="18"/>
  <c r="W636" i="18" s="1"/>
  <c r="M636" i="18"/>
  <c r="T636" i="18" s="1"/>
  <c r="C636" i="18"/>
  <c r="D636" i="18" s="1"/>
  <c r="X635" i="18"/>
  <c r="V635" i="18"/>
  <c r="U635" i="18"/>
  <c r="S635" i="18"/>
  <c r="P635" i="18"/>
  <c r="W635" i="18" s="1"/>
  <c r="M635" i="18"/>
  <c r="T635" i="18" s="1"/>
  <c r="C635" i="18"/>
  <c r="D635" i="18" s="1"/>
  <c r="X634" i="18"/>
  <c r="V634" i="18"/>
  <c r="U634" i="18"/>
  <c r="S634" i="18"/>
  <c r="P634" i="18"/>
  <c r="W634" i="18" s="1"/>
  <c r="M634" i="18"/>
  <c r="T634" i="18" s="1"/>
  <c r="C634" i="18"/>
  <c r="D634" i="18" s="1"/>
  <c r="X633" i="18"/>
  <c r="V633" i="18"/>
  <c r="U633" i="18"/>
  <c r="S633" i="18"/>
  <c r="P633" i="18"/>
  <c r="W633" i="18" s="1"/>
  <c r="M633" i="18"/>
  <c r="T633" i="18" s="1"/>
  <c r="C633" i="18"/>
  <c r="D633" i="18" s="1"/>
  <c r="X632" i="18"/>
  <c r="V632" i="18"/>
  <c r="U632" i="18"/>
  <c r="S632" i="18"/>
  <c r="P632" i="18"/>
  <c r="W632" i="18" s="1"/>
  <c r="M632" i="18"/>
  <c r="T632" i="18" s="1"/>
  <c r="C632" i="18"/>
  <c r="D632" i="18" s="1"/>
  <c r="X631" i="18"/>
  <c r="V631" i="18"/>
  <c r="U631" i="18"/>
  <c r="T631" i="18"/>
  <c r="S631" i="18"/>
  <c r="P631" i="18"/>
  <c r="W631" i="18" s="1"/>
  <c r="M631" i="18"/>
  <c r="C631" i="18"/>
  <c r="D631" i="18" s="1"/>
  <c r="X630" i="18"/>
  <c r="V630" i="18"/>
  <c r="U630" i="18"/>
  <c r="S630" i="18"/>
  <c r="P630" i="18"/>
  <c r="W630" i="18" s="1"/>
  <c r="M630" i="18"/>
  <c r="T630" i="18" s="1"/>
  <c r="C630" i="18"/>
  <c r="D630" i="18" s="1"/>
  <c r="X629" i="18"/>
  <c r="V629" i="18"/>
  <c r="U629" i="18"/>
  <c r="S629" i="18"/>
  <c r="P629" i="18"/>
  <c r="W629" i="18" s="1"/>
  <c r="M629" i="18"/>
  <c r="T629" i="18" s="1"/>
  <c r="C629" i="18"/>
  <c r="D629" i="18" s="1"/>
  <c r="X628" i="18"/>
  <c r="V628" i="18"/>
  <c r="U628" i="18"/>
  <c r="S628" i="18"/>
  <c r="P628" i="18"/>
  <c r="W628" i="18" s="1"/>
  <c r="M628" i="18"/>
  <c r="T628" i="18" s="1"/>
  <c r="C628" i="18"/>
  <c r="D628" i="18" s="1"/>
  <c r="X627" i="18"/>
  <c r="V627" i="18"/>
  <c r="U627" i="18"/>
  <c r="T627" i="18"/>
  <c r="S627" i="18"/>
  <c r="P627" i="18"/>
  <c r="W627" i="18" s="1"/>
  <c r="M627" i="18"/>
  <c r="C627" i="18"/>
  <c r="D627" i="18" s="1"/>
  <c r="X626" i="18"/>
  <c r="V626" i="18"/>
  <c r="U626" i="18"/>
  <c r="S626" i="18"/>
  <c r="P626" i="18"/>
  <c r="W626" i="18" s="1"/>
  <c r="M626" i="18"/>
  <c r="T626" i="18" s="1"/>
  <c r="C626" i="18"/>
  <c r="D626" i="18" s="1"/>
  <c r="X625" i="18"/>
  <c r="V625" i="18"/>
  <c r="U625" i="18"/>
  <c r="S625" i="18"/>
  <c r="P625" i="18"/>
  <c r="W625" i="18" s="1"/>
  <c r="M625" i="18"/>
  <c r="T625" i="18" s="1"/>
  <c r="C625" i="18"/>
  <c r="D625" i="18" s="1"/>
  <c r="X624" i="18"/>
  <c r="V624" i="18"/>
  <c r="U624" i="18"/>
  <c r="S624" i="18"/>
  <c r="P624" i="18"/>
  <c r="W624" i="18" s="1"/>
  <c r="M624" i="18"/>
  <c r="T624" i="18" s="1"/>
  <c r="C624" i="18"/>
  <c r="D624" i="18" s="1"/>
  <c r="X623" i="18"/>
  <c r="V623" i="18"/>
  <c r="U623" i="18"/>
  <c r="S623" i="18"/>
  <c r="P623" i="18"/>
  <c r="W623" i="18" s="1"/>
  <c r="M623" i="18"/>
  <c r="T623" i="18" s="1"/>
  <c r="C623" i="18"/>
  <c r="D623" i="18" s="1"/>
  <c r="X622" i="18"/>
  <c r="V622" i="18"/>
  <c r="U622" i="18"/>
  <c r="S622" i="18"/>
  <c r="P622" i="18"/>
  <c r="W622" i="18" s="1"/>
  <c r="M622" i="18"/>
  <c r="T622" i="18" s="1"/>
  <c r="C622" i="18"/>
  <c r="D622" i="18" s="1"/>
  <c r="X621" i="18"/>
  <c r="V621" i="18"/>
  <c r="U621" i="18"/>
  <c r="S621" i="18"/>
  <c r="P621" i="18"/>
  <c r="W621" i="18" s="1"/>
  <c r="M621" i="18"/>
  <c r="T621" i="18" s="1"/>
  <c r="C621" i="18"/>
  <c r="D621" i="18" s="1"/>
  <c r="X620" i="18"/>
  <c r="V620" i="18"/>
  <c r="U620" i="18"/>
  <c r="S620" i="18"/>
  <c r="P620" i="18"/>
  <c r="W620" i="18" s="1"/>
  <c r="M620" i="18"/>
  <c r="T620" i="18" s="1"/>
  <c r="C620" i="18"/>
  <c r="D620" i="18" s="1"/>
  <c r="X619" i="18"/>
  <c r="V619" i="18"/>
  <c r="U619" i="18"/>
  <c r="S619" i="18"/>
  <c r="P619" i="18"/>
  <c r="W619" i="18" s="1"/>
  <c r="M619" i="18"/>
  <c r="T619" i="18" s="1"/>
  <c r="C619" i="18"/>
  <c r="D619" i="18" s="1"/>
  <c r="X618" i="18"/>
  <c r="V618" i="18"/>
  <c r="U618" i="18"/>
  <c r="S618" i="18"/>
  <c r="P618" i="18"/>
  <c r="W618" i="18" s="1"/>
  <c r="M618" i="18"/>
  <c r="T618" i="18" s="1"/>
  <c r="C618" i="18"/>
  <c r="D618" i="18" s="1"/>
  <c r="X617" i="18"/>
  <c r="V617" i="18"/>
  <c r="U617" i="18"/>
  <c r="S617" i="18"/>
  <c r="P617" i="18"/>
  <c r="W617" i="18" s="1"/>
  <c r="M617" i="18"/>
  <c r="T617" i="18" s="1"/>
  <c r="C617" i="18"/>
  <c r="D617" i="18" s="1"/>
  <c r="X616" i="18"/>
  <c r="V616" i="18"/>
  <c r="U616" i="18"/>
  <c r="S616" i="18"/>
  <c r="P616" i="18"/>
  <c r="W616" i="18" s="1"/>
  <c r="M616" i="18"/>
  <c r="T616" i="18" s="1"/>
  <c r="C616" i="18"/>
  <c r="D616" i="18" s="1"/>
  <c r="X615" i="18"/>
  <c r="V615" i="18"/>
  <c r="U615" i="18"/>
  <c r="T615" i="18"/>
  <c r="S615" i="18"/>
  <c r="P615" i="18"/>
  <c r="W615" i="18" s="1"/>
  <c r="M615" i="18"/>
  <c r="C615" i="18"/>
  <c r="D615" i="18" s="1"/>
  <c r="X614" i="18"/>
  <c r="V614" i="18"/>
  <c r="U614" i="18"/>
  <c r="S614" i="18"/>
  <c r="P614" i="18"/>
  <c r="W614" i="18" s="1"/>
  <c r="M614" i="18"/>
  <c r="T614" i="18" s="1"/>
  <c r="C614" i="18"/>
  <c r="D614" i="18" s="1"/>
  <c r="X613" i="18"/>
  <c r="V613" i="18"/>
  <c r="U613" i="18"/>
  <c r="S613" i="18"/>
  <c r="P613" i="18"/>
  <c r="W613" i="18" s="1"/>
  <c r="M613" i="18"/>
  <c r="T613" i="18" s="1"/>
  <c r="C613" i="18"/>
  <c r="D613" i="18" s="1"/>
  <c r="X612" i="18"/>
  <c r="V612" i="18"/>
  <c r="U612" i="18"/>
  <c r="S612" i="18"/>
  <c r="P612" i="18"/>
  <c r="W612" i="18" s="1"/>
  <c r="M612" i="18"/>
  <c r="T612" i="18" s="1"/>
  <c r="C612" i="18"/>
  <c r="D612" i="18" s="1"/>
  <c r="X611" i="18"/>
  <c r="V611" i="18"/>
  <c r="U611" i="18"/>
  <c r="S611" i="18"/>
  <c r="P611" i="18"/>
  <c r="W611" i="18" s="1"/>
  <c r="M611" i="18"/>
  <c r="T611" i="18" s="1"/>
  <c r="C611" i="18"/>
  <c r="D611" i="18" s="1"/>
  <c r="X610" i="18"/>
  <c r="V610" i="18"/>
  <c r="U610" i="18"/>
  <c r="S610" i="18"/>
  <c r="P610" i="18"/>
  <c r="W610" i="18" s="1"/>
  <c r="M610" i="18"/>
  <c r="T610" i="18" s="1"/>
  <c r="C610" i="18"/>
  <c r="D610" i="18" s="1"/>
  <c r="X609" i="18"/>
  <c r="V609" i="18"/>
  <c r="U609" i="18"/>
  <c r="S609" i="18"/>
  <c r="P609" i="18"/>
  <c r="W609" i="18" s="1"/>
  <c r="M609" i="18"/>
  <c r="T609" i="18" s="1"/>
  <c r="C609" i="18"/>
  <c r="D609" i="18" s="1"/>
  <c r="X608" i="18"/>
  <c r="V608" i="18"/>
  <c r="U608" i="18"/>
  <c r="S608" i="18"/>
  <c r="P608" i="18"/>
  <c r="W608" i="18" s="1"/>
  <c r="M608" i="18"/>
  <c r="T608" i="18" s="1"/>
  <c r="C608" i="18"/>
  <c r="D608" i="18" s="1"/>
  <c r="X607" i="18"/>
  <c r="V607" i="18"/>
  <c r="U607" i="18"/>
  <c r="T607" i="18"/>
  <c r="S607" i="18"/>
  <c r="P607" i="18"/>
  <c r="W607" i="18" s="1"/>
  <c r="M607" i="18"/>
  <c r="C607" i="18"/>
  <c r="D607" i="18" s="1"/>
  <c r="X606" i="18"/>
  <c r="V606" i="18"/>
  <c r="U606" i="18"/>
  <c r="S606" i="18"/>
  <c r="P606" i="18"/>
  <c r="W606" i="18" s="1"/>
  <c r="M606" i="18"/>
  <c r="T606" i="18" s="1"/>
  <c r="C606" i="18"/>
  <c r="D606" i="18" s="1"/>
  <c r="X605" i="18"/>
  <c r="V605" i="18"/>
  <c r="U605" i="18"/>
  <c r="S605" i="18"/>
  <c r="P605" i="18"/>
  <c r="W605" i="18" s="1"/>
  <c r="M605" i="18"/>
  <c r="T605" i="18" s="1"/>
  <c r="C605" i="18"/>
  <c r="D605" i="18" s="1"/>
  <c r="X604" i="18"/>
  <c r="V604" i="18"/>
  <c r="U604" i="18"/>
  <c r="S604" i="18"/>
  <c r="P604" i="18"/>
  <c r="W604" i="18" s="1"/>
  <c r="M604" i="18"/>
  <c r="T604" i="18" s="1"/>
  <c r="C604" i="18"/>
  <c r="D604" i="18" s="1"/>
  <c r="X603" i="18"/>
  <c r="V603" i="18"/>
  <c r="U603" i="18"/>
  <c r="S603" i="18"/>
  <c r="P603" i="18"/>
  <c r="W603" i="18" s="1"/>
  <c r="M603" i="18"/>
  <c r="T603" i="18" s="1"/>
  <c r="C603" i="18"/>
  <c r="D603" i="18" s="1"/>
  <c r="X602" i="18"/>
  <c r="V602" i="18"/>
  <c r="U602" i="18"/>
  <c r="S602" i="18"/>
  <c r="P602" i="18"/>
  <c r="W602" i="18" s="1"/>
  <c r="M602" i="18"/>
  <c r="T602" i="18" s="1"/>
  <c r="C602" i="18"/>
  <c r="D602" i="18" s="1"/>
  <c r="X601" i="18"/>
  <c r="V601" i="18"/>
  <c r="U601" i="18"/>
  <c r="S601" i="18"/>
  <c r="P601" i="18"/>
  <c r="W601" i="18" s="1"/>
  <c r="M601" i="18"/>
  <c r="T601" i="18" s="1"/>
  <c r="C601" i="18"/>
  <c r="D601" i="18" s="1"/>
  <c r="X600" i="18"/>
  <c r="V600" i="18"/>
  <c r="U600" i="18"/>
  <c r="S600" i="18"/>
  <c r="P600" i="18"/>
  <c r="W600" i="18" s="1"/>
  <c r="M600" i="18"/>
  <c r="T600" i="18" s="1"/>
  <c r="C600" i="18"/>
  <c r="D600" i="18" s="1"/>
  <c r="X599" i="18"/>
  <c r="V599" i="18"/>
  <c r="U599" i="18"/>
  <c r="T599" i="18"/>
  <c r="S599" i="18"/>
  <c r="P599" i="18"/>
  <c r="W599" i="18" s="1"/>
  <c r="M599" i="18"/>
  <c r="C599" i="18"/>
  <c r="D599" i="18" s="1"/>
  <c r="X598" i="18"/>
  <c r="V598" i="18"/>
  <c r="U598" i="18"/>
  <c r="S598" i="18"/>
  <c r="P598" i="18"/>
  <c r="W598" i="18" s="1"/>
  <c r="M598" i="18"/>
  <c r="T598" i="18" s="1"/>
  <c r="C598" i="18"/>
  <c r="D598" i="18" s="1"/>
  <c r="X597" i="18"/>
  <c r="V597" i="18"/>
  <c r="U597" i="18"/>
  <c r="S597" i="18"/>
  <c r="P597" i="18"/>
  <c r="W597" i="18" s="1"/>
  <c r="M597" i="18"/>
  <c r="T597" i="18" s="1"/>
  <c r="C597" i="18"/>
  <c r="D597" i="18" s="1"/>
  <c r="X596" i="18"/>
  <c r="V596" i="18"/>
  <c r="U596" i="18"/>
  <c r="S596" i="18"/>
  <c r="P596" i="18"/>
  <c r="W596" i="18" s="1"/>
  <c r="M596" i="18"/>
  <c r="T596" i="18" s="1"/>
  <c r="C596" i="18"/>
  <c r="D596" i="18" s="1"/>
  <c r="X595" i="18"/>
  <c r="V595" i="18"/>
  <c r="U595" i="18"/>
  <c r="S595" i="18"/>
  <c r="P595" i="18"/>
  <c r="W595" i="18" s="1"/>
  <c r="M595" i="18"/>
  <c r="T595" i="18" s="1"/>
  <c r="C595" i="18"/>
  <c r="D595" i="18" s="1"/>
  <c r="X594" i="18"/>
  <c r="V594" i="18"/>
  <c r="U594" i="18"/>
  <c r="S594" i="18"/>
  <c r="P594" i="18"/>
  <c r="W594" i="18" s="1"/>
  <c r="M594" i="18"/>
  <c r="T594" i="18" s="1"/>
  <c r="C594" i="18"/>
  <c r="D594" i="18" s="1"/>
  <c r="X593" i="18"/>
  <c r="V593" i="18"/>
  <c r="U593" i="18"/>
  <c r="S593" i="18"/>
  <c r="P593" i="18"/>
  <c r="W593" i="18" s="1"/>
  <c r="M593" i="18"/>
  <c r="T593" i="18" s="1"/>
  <c r="C593" i="18"/>
  <c r="D593" i="18" s="1"/>
  <c r="X592" i="18"/>
  <c r="V592" i="18"/>
  <c r="U592" i="18"/>
  <c r="S592" i="18"/>
  <c r="P592" i="18"/>
  <c r="W592" i="18" s="1"/>
  <c r="M592" i="18"/>
  <c r="T592" i="18" s="1"/>
  <c r="C592" i="18"/>
  <c r="D592" i="18" s="1"/>
  <c r="X591" i="18"/>
  <c r="V591" i="18"/>
  <c r="U591" i="18"/>
  <c r="T591" i="18"/>
  <c r="S591" i="18"/>
  <c r="P591" i="18"/>
  <c r="W591" i="18" s="1"/>
  <c r="M591" i="18"/>
  <c r="C591" i="18"/>
  <c r="D591" i="18" s="1"/>
  <c r="X590" i="18"/>
  <c r="V590" i="18"/>
  <c r="U590" i="18"/>
  <c r="S590" i="18"/>
  <c r="P590" i="18"/>
  <c r="W590" i="18" s="1"/>
  <c r="M590" i="18"/>
  <c r="T590" i="18" s="1"/>
  <c r="C590" i="18"/>
  <c r="D590" i="18" s="1"/>
  <c r="X589" i="18"/>
  <c r="V589" i="18"/>
  <c r="U589" i="18"/>
  <c r="S589" i="18"/>
  <c r="P589" i="18"/>
  <c r="W589" i="18" s="1"/>
  <c r="M589" i="18"/>
  <c r="T589" i="18" s="1"/>
  <c r="C589" i="18"/>
  <c r="D589" i="18" s="1"/>
  <c r="X588" i="18"/>
  <c r="V588" i="18"/>
  <c r="U588" i="18"/>
  <c r="S588" i="18"/>
  <c r="P588" i="18"/>
  <c r="W588" i="18" s="1"/>
  <c r="M588" i="18"/>
  <c r="T588" i="18" s="1"/>
  <c r="C588" i="18"/>
  <c r="D588" i="18" s="1"/>
  <c r="X587" i="18"/>
  <c r="V587" i="18"/>
  <c r="U587" i="18"/>
  <c r="S587" i="18"/>
  <c r="P587" i="18"/>
  <c r="W587" i="18" s="1"/>
  <c r="M587" i="18"/>
  <c r="T587" i="18" s="1"/>
  <c r="C587" i="18"/>
  <c r="D587" i="18" s="1"/>
  <c r="X586" i="18"/>
  <c r="V586" i="18"/>
  <c r="U586" i="18"/>
  <c r="S586" i="18"/>
  <c r="P586" i="18"/>
  <c r="W586" i="18" s="1"/>
  <c r="M586" i="18"/>
  <c r="T586" i="18" s="1"/>
  <c r="C586" i="18"/>
  <c r="D586" i="18" s="1"/>
  <c r="X585" i="18"/>
  <c r="V585" i="18"/>
  <c r="U585" i="18"/>
  <c r="S585" i="18"/>
  <c r="P585" i="18"/>
  <c r="W585" i="18" s="1"/>
  <c r="M585" i="18"/>
  <c r="T585" i="18" s="1"/>
  <c r="C585" i="18"/>
  <c r="D585" i="18" s="1"/>
  <c r="X584" i="18"/>
  <c r="V584" i="18"/>
  <c r="U584" i="18"/>
  <c r="S584" i="18"/>
  <c r="P584" i="18"/>
  <c r="W584" i="18" s="1"/>
  <c r="M584" i="18"/>
  <c r="T584" i="18" s="1"/>
  <c r="C584" i="18"/>
  <c r="D584" i="18" s="1"/>
  <c r="X583" i="18"/>
  <c r="V583" i="18"/>
  <c r="U583" i="18"/>
  <c r="T583" i="18"/>
  <c r="S583" i="18"/>
  <c r="P583" i="18"/>
  <c r="W583" i="18" s="1"/>
  <c r="M583" i="18"/>
  <c r="C583" i="18"/>
  <c r="D583" i="18" s="1"/>
  <c r="X582" i="18"/>
  <c r="V582" i="18"/>
  <c r="U582" i="18"/>
  <c r="S582" i="18"/>
  <c r="P582" i="18"/>
  <c r="W582" i="18" s="1"/>
  <c r="M582" i="18"/>
  <c r="T582" i="18" s="1"/>
  <c r="C582" i="18"/>
  <c r="D582" i="18" s="1"/>
  <c r="X581" i="18"/>
  <c r="V581" i="18"/>
  <c r="U581" i="18"/>
  <c r="S581" i="18"/>
  <c r="P581" i="18"/>
  <c r="W581" i="18" s="1"/>
  <c r="M581" i="18"/>
  <c r="T581" i="18" s="1"/>
  <c r="C581" i="18"/>
  <c r="D581" i="18" s="1"/>
  <c r="X580" i="18"/>
  <c r="V580" i="18"/>
  <c r="U580" i="18"/>
  <c r="S580" i="18"/>
  <c r="P580" i="18"/>
  <c r="W580" i="18" s="1"/>
  <c r="M580" i="18"/>
  <c r="T580" i="18" s="1"/>
  <c r="C580" i="18"/>
  <c r="D580" i="18" s="1"/>
  <c r="X579" i="18"/>
  <c r="V579" i="18"/>
  <c r="U579" i="18"/>
  <c r="S579" i="18"/>
  <c r="P579" i="18"/>
  <c r="W579" i="18" s="1"/>
  <c r="M579" i="18"/>
  <c r="T579" i="18" s="1"/>
  <c r="C579" i="18"/>
  <c r="D579" i="18" s="1"/>
  <c r="X578" i="18"/>
  <c r="V578" i="18"/>
  <c r="U578" i="18"/>
  <c r="S578" i="18"/>
  <c r="P578" i="18"/>
  <c r="W578" i="18" s="1"/>
  <c r="M578" i="18"/>
  <c r="T578" i="18" s="1"/>
  <c r="C578" i="18"/>
  <c r="D578" i="18" s="1"/>
  <c r="X577" i="18"/>
  <c r="V577" i="18"/>
  <c r="U577" i="18"/>
  <c r="S577" i="18"/>
  <c r="P577" i="18"/>
  <c r="W577" i="18" s="1"/>
  <c r="M577" i="18"/>
  <c r="T577" i="18" s="1"/>
  <c r="C577" i="18"/>
  <c r="D577" i="18" s="1"/>
  <c r="X576" i="18"/>
  <c r="V576" i="18"/>
  <c r="U576" i="18"/>
  <c r="S576" i="18"/>
  <c r="P576" i="18"/>
  <c r="W576" i="18" s="1"/>
  <c r="M576" i="18"/>
  <c r="T576" i="18" s="1"/>
  <c r="C576" i="18"/>
  <c r="D576" i="18" s="1"/>
  <c r="X575" i="18"/>
  <c r="V575" i="18"/>
  <c r="U575" i="18"/>
  <c r="T575" i="18"/>
  <c r="S575" i="18"/>
  <c r="P575" i="18"/>
  <c r="W575" i="18" s="1"/>
  <c r="M575" i="18"/>
  <c r="C575" i="18"/>
  <c r="D575" i="18" s="1"/>
  <c r="X574" i="18"/>
  <c r="V574" i="18"/>
  <c r="U574" i="18"/>
  <c r="S574" i="18"/>
  <c r="P574" i="18"/>
  <c r="W574" i="18" s="1"/>
  <c r="M574" i="18"/>
  <c r="T574" i="18" s="1"/>
  <c r="C574" i="18"/>
  <c r="D574" i="18" s="1"/>
  <c r="X573" i="18"/>
  <c r="V573" i="18"/>
  <c r="U573" i="18"/>
  <c r="S573" i="18"/>
  <c r="P573" i="18"/>
  <c r="W573" i="18" s="1"/>
  <c r="M573" i="18"/>
  <c r="T573" i="18" s="1"/>
  <c r="C573" i="18"/>
  <c r="D573" i="18" s="1"/>
  <c r="X572" i="18"/>
  <c r="V572" i="18"/>
  <c r="U572" i="18"/>
  <c r="S572" i="18"/>
  <c r="P572" i="18"/>
  <c r="W572" i="18" s="1"/>
  <c r="M572" i="18"/>
  <c r="T572" i="18" s="1"/>
  <c r="C572" i="18"/>
  <c r="D572" i="18" s="1"/>
  <c r="X571" i="18"/>
  <c r="V571" i="18"/>
  <c r="U571" i="18"/>
  <c r="S571" i="18"/>
  <c r="P571" i="18"/>
  <c r="W571" i="18" s="1"/>
  <c r="M571" i="18"/>
  <c r="T571" i="18" s="1"/>
  <c r="C571" i="18"/>
  <c r="D571" i="18" s="1"/>
  <c r="X570" i="18"/>
  <c r="V570" i="18"/>
  <c r="U570" i="18"/>
  <c r="S570" i="18"/>
  <c r="P570" i="18"/>
  <c r="W570" i="18" s="1"/>
  <c r="M570" i="18"/>
  <c r="T570" i="18" s="1"/>
  <c r="C570" i="18"/>
  <c r="D570" i="18" s="1"/>
  <c r="X569" i="18"/>
  <c r="V569" i="18"/>
  <c r="U569" i="18"/>
  <c r="S569" i="18"/>
  <c r="P569" i="18"/>
  <c r="W569" i="18" s="1"/>
  <c r="M569" i="18"/>
  <c r="T569" i="18" s="1"/>
  <c r="C569" i="18"/>
  <c r="D569" i="18" s="1"/>
  <c r="X568" i="18"/>
  <c r="V568" i="18"/>
  <c r="U568" i="18"/>
  <c r="S568" i="18"/>
  <c r="P568" i="18"/>
  <c r="W568" i="18" s="1"/>
  <c r="M568" i="18"/>
  <c r="T568" i="18" s="1"/>
  <c r="C568" i="18"/>
  <c r="D568" i="18" s="1"/>
  <c r="X567" i="18"/>
  <c r="V567" i="18"/>
  <c r="U567" i="18"/>
  <c r="T567" i="18"/>
  <c r="S567" i="18"/>
  <c r="P567" i="18"/>
  <c r="W567" i="18" s="1"/>
  <c r="M567" i="18"/>
  <c r="C567" i="18"/>
  <c r="D567" i="18" s="1"/>
  <c r="X566" i="18"/>
  <c r="V566" i="18"/>
  <c r="U566" i="18"/>
  <c r="S566" i="18"/>
  <c r="P566" i="18"/>
  <c r="W566" i="18" s="1"/>
  <c r="M566" i="18"/>
  <c r="T566" i="18" s="1"/>
  <c r="C566" i="18"/>
  <c r="D566" i="18" s="1"/>
  <c r="X565" i="18"/>
  <c r="V565" i="18"/>
  <c r="U565" i="18"/>
  <c r="S565" i="18"/>
  <c r="P565" i="18"/>
  <c r="W565" i="18" s="1"/>
  <c r="M565" i="18"/>
  <c r="T565" i="18" s="1"/>
  <c r="C565" i="18"/>
  <c r="D565" i="18" s="1"/>
  <c r="X564" i="18"/>
  <c r="V564" i="18"/>
  <c r="U564" i="18"/>
  <c r="S564" i="18"/>
  <c r="P564" i="18"/>
  <c r="W564" i="18" s="1"/>
  <c r="M564" i="18"/>
  <c r="T564" i="18" s="1"/>
  <c r="C564" i="18"/>
  <c r="D564" i="18" s="1"/>
  <c r="X563" i="18"/>
  <c r="V563" i="18"/>
  <c r="U563" i="18"/>
  <c r="S563" i="18"/>
  <c r="P563" i="18"/>
  <c r="W563" i="18" s="1"/>
  <c r="M563" i="18"/>
  <c r="T563" i="18" s="1"/>
  <c r="C563" i="18"/>
  <c r="D563" i="18" s="1"/>
  <c r="X562" i="18"/>
  <c r="V562" i="18"/>
  <c r="U562" i="18"/>
  <c r="S562" i="18"/>
  <c r="P562" i="18"/>
  <c r="W562" i="18" s="1"/>
  <c r="M562" i="18"/>
  <c r="T562" i="18" s="1"/>
  <c r="C562" i="18"/>
  <c r="D562" i="18" s="1"/>
  <c r="X561" i="18"/>
  <c r="V561" i="18"/>
  <c r="U561" i="18"/>
  <c r="S561" i="18"/>
  <c r="P561" i="18"/>
  <c r="W561" i="18" s="1"/>
  <c r="M561" i="18"/>
  <c r="T561" i="18" s="1"/>
  <c r="C561" i="18"/>
  <c r="D561" i="18" s="1"/>
  <c r="X560" i="18"/>
  <c r="V560" i="18"/>
  <c r="U560" i="18"/>
  <c r="S560" i="18"/>
  <c r="P560" i="18"/>
  <c r="W560" i="18" s="1"/>
  <c r="M560" i="18"/>
  <c r="T560" i="18" s="1"/>
  <c r="C560" i="18"/>
  <c r="D560" i="18" s="1"/>
  <c r="X559" i="18"/>
  <c r="V559" i="18"/>
  <c r="U559" i="18"/>
  <c r="T559" i="18"/>
  <c r="S559" i="18"/>
  <c r="P559" i="18"/>
  <c r="W559" i="18" s="1"/>
  <c r="M559" i="18"/>
  <c r="C559" i="18"/>
  <c r="D559" i="18" s="1"/>
  <c r="X558" i="18"/>
  <c r="V558" i="18"/>
  <c r="U558" i="18"/>
  <c r="S558" i="18"/>
  <c r="P558" i="18"/>
  <c r="W558" i="18" s="1"/>
  <c r="M558" i="18"/>
  <c r="T558" i="18" s="1"/>
  <c r="C558" i="18"/>
  <c r="D558" i="18" s="1"/>
  <c r="X557" i="18"/>
  <c r="V557" i="18"/>
  <c r="U557" i="18"/>
  <c r="S557" i="18"/>
  <c r="P557" i="18"/>
  <c r="W557" i="18" s="1"/>
  <c r="M557" i="18"/>
  <c r="T557" i="18" s="1"/>
  <c r="C557" i="18"/>
  <c r="D557" i="18" s="1"/>
  <c r="X556" i="18"/>
  <c r="V556" i="18"/>
  <c r="U556" i="18"/>
  <c r="S556" i="18"/>
  <c r="P556" i="18"/>
  <c r="W556" i="18" s="1"/>
  <c r="M556" i="18"/>
  <c r="T556" i="18" s="1"/>
  <c r="C556" i="18"/>
  <c r="D556" i="18" s="1"/>
  <c r="X555" i="18"/>
  <c r="V555" i="18"/>
  <c r="U555" i="18"/>
  <c r="S555" i="18"/>
  <c r="P555" i="18"/>
  <c r="W555" i="18" s="1"/>
  <c r="M555" i="18"/>
  <c r="T555" i="18" s="1"/>
  <c r="C555" i="18"/>
  <c r="D555" i="18" s="1"/>
  <c r="X554" i="18"/>
  <c r="V554" i="18"/>
  <c r="U554" i="18"/>
  <c r="S554" i="18"/>
  <c r="P554" i="18"/>
  <c r="W554" i="18" s="1"/>
  <c r="M554" i="18"/>
  <c r="T554" i="18" s="1"/>
  <c r="C554" i="18"/>
  <c r="D554" i="18" s="1"/>
  <c r="X553" i="18"/>
  <c r="V553" i="18"/>
  <c r="U553" i="18"/>
  <c r="S553" i="18"/>
  <c r="P553" i="18"/>
  <c r="W553" i="18" s="1"/>
  <c r="M553" i="18"/>
  <c r="T553" i="18" s="1"/>
  <c r="C553" i="18"/>
  <c r="D553" i="18" s="1"/>
  <c r="X552" i="18"/>
  <c r="V552" i="18"/>
  <c r="U552" i="18"/>
  <c r="S552" i="18"/>
  <c r="P552" i="18"/>
  <c r="W552" i="18" s="1"/>
  <c r="M552" i="18"/>
  <c r="T552" i="18" s="1"/>
  <c r="C552" i="18"/>
  <c r="D552" i="18" s="1"/>
  <c r="X551" i="18"/>
  <c r="V551" i="18"/>
  <c r="U551" i="18"/>
  <c r="T551" i="18"/>
  <c r="S551" i="18"/>
  <c r="P551" i="18"/>
  <c r="W551" i="18" s="1"/>
  <c r="M551" i="18"/>
  <c r="C551" i="18"/>
  <c r="D551" i="18" s="1"/>
  <c r="X550" i="18"/>
  <c r="V550" i="18"/>
  <c r="U550" i="18"/>
  <c r="S550" i="18"/>
  <c r="P550" i="18"/>
  <c r="W550" i="18" s="1"/>
  <c r="M550" i="18"/>
  <c r="T550" i="18" s="1"/>
  <c r="C550" i="18"/>
  <c r="D550" i="18" s="1"/>
  <c r="X549" i="18"/>
  <c r="V549" i="18"/>
  <c r="U549" i="18"/>
  <c r="S549" i="18"/>
  <c r="P549" i="18"/>
  <c r="W549" i="18" s="1"/>
  <c r="M549" i="18"/>
  <c r="T549" i="18" s="1"/>
  <c r="C549" i="18"/>
  <c r="D549" i="18" s="1"/>
  <c r="X548" i="18"/>
  <c r="V548" i="18"/>
  <c r="U548" i="18"/>
  <c r="S548" i="18"/>
  <c r="P548" i="18"/>
  <c r="W548" i="18" s="1"/>
  <c r="M548" i="18"/>
  <c r="T548" i="18" s="1"/>
  <c r="C548" i="18"/>
  <c r="D548" i="18" s="1"/>
  <c r="X547" i="18"/>
  <c r="V547" i="18"/>
  <c r="U547" i="18"/>
  <c r="S547" i="18"/>
  <c r="P547" i="18"/>
  <c r="W547" i="18" s="1"/>
  <c r="M547" i="18"/>
  <c r="T547" i="18" s="1"/>
  <c r="C547" i="18"/>
  <c r="D547" i="18" s="1"/>
  <c r="X546" i="18"/>
  <c r="V546" i="18"/>
  <c r="U546" i="18"/>
  <c r="S546" i="18"/>
  <c r="P546" i="18"/>
  <c r="W546" i="18" s="1"/>
  <c r="M546" i="18"/>
  <c r="T546" i="18" s="1"/>
  <c r="C546" i="18"/>
  <c r="D546" i="18" s="1"/>
  <c r="X545" i="18"/>
  <c r="V545" i="18"/>
  <c r="U545" i="18"/>
  <c r="S545" i="18"/>
  <c r="P545" i="18"/>
  <c r="W545" i="18" s="1"/>
  <c r="M545" i="18"/>
  <c r="T545" i="18" s="1"/>
  <c r="C545" i="18"/>
  <c r="D545" i="18" s="1"/>
  <c r="X544" i="18"/>
  <c r="V544" i="18"/>
  <c r="U544" i="18"/>
  <c r="S544" i="18"/>
  <c r="P544" i="18"/>
  <c r="W544" i="18" s="1"/>
  <c r="M544" i="18"/>
  <c r="T544" i="18" s="1"/>
  <c r="C544" i="18"/>
  <c r="D544" i="18" s="1"/>
  <c r="X543" i="18"/>
  <c r="V543" i="18"/>
  <c r="U543" i="18"/>
  <c r="T543" i="18"/>
  <c r="S543" i="18"/>
  <c r="P543" i="18"/>
  <c r="W543" i="18" s="1"/>
  <c r="M543" i="18"/>
  <c r="C543" i="18"/>
  <c r="D543" i="18" s="1"/>
  <c r="X542" i="18"/>
  <c r="V542" i="18"/>
  <c r="U542" i="18"/>
  <c r="S542" i="18"/>
  <c r="P542" i="18"/>
  <c r="W542" i="18" s="1"/>
  <c r="M542" i="18"/>
  <c r="T542" i="18" s="1"/>
  <c r="C542" i="18"/>
  <c r="D542" i="18" s="1"/>
  <c r="X541" i="18"/>
  <c r="V541" i="18"/>
  <c r="U541" i="18"/>
  <c r="S541" i="18"/>
  <c r="P541" i="18"/>
  <c r="W541" i="18" s="1"/>
  <c r="M541" i="18"/>
  <c r="T541" i="18" s="1"/>
  <c r="C541" i="18"/>
  <c r="D541" i="18" s="1"/>
  <c r="X540" i="18"/>
  <c r="V540" i="18"/>
  <c r="U540" i="18"/>
  <c r="S540" i="18"/>
  <c r="P540" i="18"/>
  <c r="W540" i="18" s="1"/>
  <c r="M540" i="18"/>
  <c r="T540" i="18" s="1"/>
  <c r="C540" i="18"/>
  <c r="D540" i="18" s="1"/>
  <c r="X539" i="18"/>
  <c r="V539" i="18"/>
  <c r="U539" i="18"/>
  <c r="S539" i="18"/>
  <c r="P539" i="18"/>
  <c r="W539" i="18" s="1"/>
  <c r="M539" i="18"/>
  <c r="T539" i="18" s="1"/>
  <c r="C539" i="18"/>
  <c r="D539" i="18" s="1"/>
  <c r="X538" i="18"/>
  <c r="V538" i="18"/>
  <c r="U538" i="18"/>
  <c r="S538" i="18"/>
  <c r="P538" i="18"/>
  <c r="W538" i="18" s="1"/>
  <c r="M538" i="18"/>
  <c r="T538" i="18" s="1"/>
  <c r="C538" i="18"/>
  <c r="D538" i="18" s="1"/>
  <c r="X537" i="18"/>
  <c r="V537" i="18"/>
  <c r="U537" i="18"/>
  <c r="S537" i="18"/>
  <c r="P537" i="18"/>
  <c r="W537" i="18" s="1"/>
  <c r="M537" i="18"/>
  <c r="T537" i="18" s="1"/>
  <c r="C537" i="18"/>
  <c r="D537" i="18" s="1"/>
  <c r="X536" i="18"/>
  <c r="V536" i="18"/>
  <c r="U536" i="18"/>
  <c r="S536" i="18"/>
  <c r="P536" i="18"/>
  <c r="W536" i="18" s="1"/>
  <c r="M536" i="18"/>
  <c r="T536" i="18" s="1"/>
  <c r="C536" i="18"/>
  <c r="D536" i="18" s="1"/>
  <c r="X535" i="18"/>
  <c r="V535" i="18"/>
  <c r="U535" i="18"/>
  <c r="T535" i="18"/>
  <c r="S535" i="18"/>
  <c r="P535" i="18"/>
  <c r="W535" i="18" s="1"/>
  <c r="M535" i="18"/>
  <c r="C535" i="18"/>
  <c r="D535" i="18" s="1"/>
  <c r="X534" i="18"/>
  <c r="V534" i="18"/>
  <c r="U534" i="18"/>
  <c r="S534" i="18"/>
  <c r="P534" i="18"/>
  <c r="W534" i="18" s="1"/>
  <c r="M534" i="18"/>
  <c r="T534" i="18" s="1"/>
  <c r="C534" i="18"/>
  <c r="D534" i="18" s="1"/>
  <c r="X533" i="18"/>
  <c r="V533" i="18"/>
  <c r="U533" i="18"/>
  <c r="S533" i="18"/>
  <c r="P533" i="18"/>
  <c r="W533" i="18" s="1"/>
  <c r="M533" i="18"/>
  <c r="T533" i="18" s="1"/>
  <c r="C533" i="18"/>
  <c r="D533" i="18" s="1"/>
  <c r="X532" i="18"/>
  <c r="V532" i="18"/>
  <c r="U532" i="18"/>
  <c r="S532" i="18"/>
  <c r="P532" i="18"/>
  <c r="W532" i="18" s="1"/>
  <c r="M532" i="18"/>
  <c r="T532" i="18" s="1"/>
  <c r="C532" i="18"/>
  <c r="D532" i="18" s="1"/>
  <c r="X531" i="18"/>
  <c r="V531" i="18"/>
  <c r="U531" i="18"/>
  <c r="S531" i="18"/>
  <c r="P531" i="18"/>
  <c r="W531" i="18" s="1"/>
  <c r="M531" i="18"/>
  <c r="T531" i="18" s="1"/>
  <c r="C531" i="18"/>
  <c r="D531" i="18" s="1"/>
  <c r="X530" i="18"/>
  <c r="V530" i="18"/>
  <c r="U530" i="18"/>
  <c r="S530" i="18"/>
  <c r="P530" i="18"/>
  <c r="W530" i="18" s="1"/>
  <c r="M530" i="18"/>
  <c r="T530" i="18" s="1"/>
  <c r="C530" i="18"/>
  <c r="D530" i="18" s="1"/>
  <c r="X529" i="18"/>
  <c r="V529" i="18"/>
  <c r="U529" i="18"/>
  <c r="S529" i="18"/>
  <c r="P529" i="18"/>
  <c r="W529" i="18" s="1"/>
  <c r="M529" i="18"/>
  <c r="T529" i="18" s="1"/>
  <c r="C529" i="18"/>
  <c r="D529" i="18" s="1"/>
  <c r="X528" i="18"/>
  <c r="V528" i="18"/>
  <c r="U528" i="18"/>
  <c r="S528" i="18"/>
  <c r="P528" i="18"/>
  <c r="W528" i="18" s="1"/>
  <c r="M528" i="18"/>
  <c r="T528" i="18" s="1"/>
  <c r="C528" i="18"/>
  <c r="D528" i="18" s="1"/>
  <c r="X527" i="18"/>
  <c r="V527" i="18"/>
  <c r="U527" i="18"/>
  <c r="T527" i="18"/>
  <c r="S527" i="18"/>
  <c r="P527" i="18"/>
  <c r="W527" i="18" s="1"/>
  <c r="M527" i="18"/>
  <c r="C527" i="18"/>
  <c r="D527" i="18" s="1"/>
  <c r="X526" i="18"/>
  <c r="V526" i="18"/>
  <c r="U526" i="18"/>
  <c r="S526" i="18"/>
  <c r="P526" i="18"/>
  <c r="W526" i="18" s="1"/>
  <c r="M526" i="18"/>
  <c r="T526" i="18" s="1"/>
  <c r="C526" i="18"/>
  <c r="D526" i="18" s="1"/>
  <c r="X525" i="18"/>
  <c r="V525" i="18"/>
  <c r="U525" i="18"/>
  <c r="S525" i="18"/>
  <c r="P525" i="18"/>
  <c r="W525" i="18" s="1"/>
  <c r="M525" i="18"/>
  <c r="T525" i="18" s="1"/>
  <c r="C525" i="18"/>
  <c r="D525" i="18" s="1"/>
  <c r="X524" i="18"/>
  <c r="V524" i="18"/>
  <c r="U524" i="18"/>
  <c r="S524" i="18"/>
  <c r="P524" i="18"/>
  <c r="W524" i="18" s="1"/>
  <c r="M524" i="18"/>
  <c r="T524" i="18" s="1"/>
  <c r="C524" i="18"/>
  <c r="D524" i="18" s="1"/>
  <c r="X523" i="18"/>
  <c r="V523" i="18"/>
  <c r="U523" i="18"/>
  <c r="S523" i="18"/>
  <c r="P523" i="18"/>
  <c r="W523" i="18" s="1"/>
  <c r="M523" i="18"/>
  <c r="T523" i="18" s="1"/>
  <c r="C523" i="18"/>
  <c r="D523" i="18" s="1"/>
  <c r="X522" i="18"/>
  <c r="V522" i="18"/>
  <c r="U522" i="18"/>
  <c r="S522" i="18"/>
  <c r="P522" i="18"/>
  <c r="W522" i="18" s="1"/>
  <c r="M522" i="18"/>
  <c r="T522" i="18" s="1"/>
  <c r="C522" i="18"/>
  <c r="D522" i="18" s="1"/>
  <c r="X521" i="18"/>
  <c r="V521" i="18"/>
  <c r="U521" i="18"/>
  <c r="S521" i="18"/>
  <c r="P521" i="18"/>
  <c r="W521" i="18" s="1"/>
  <c r="M521" i="18"/>
  <c r="T521" i="18" s="1"/>
  <c r="C521" i="18"/>
  <c r="D521" i="18" s="1"/>
  <c r="X520" i="18"/>
  <c r="V520" i="18"/>
  <c r="U520" i="18"/>
  <c r="S520" i="18"/>
  <c r="P520" i="18"/>
  <c r="W520" i="18" s="1"/>
  <c r="M520" i="18"/>
  <c r="T520" i="18" s="1"/>
  <c r="C520" i="18"/>
  <c r="D520" i="18" s="1"/>
  <c r="X519" i="18"/>
  <c r="V519" i="18"/>
  <c r="U519" i="18"/>
  <c r="T519" i="18"/>
  <c r="S519" i="18"/>
  <c r="P519" i="18"/>
  <c r="W519" i="18" s="1"/>
  <c r="M519" i="18"/>
  <c r="C519" i="18"/>
  <c r="D519" i="18" s="1"/>
  <c r="X518" i="18"/>
  <c r="V518" i="18"/>
  <c r="U518" i="18"/>
  <c r="S518" i="18"/>
  <c r="P518" i="18"/>
  <c r="W518" i="18" s="1"/>
  <c r="M518" i="18"/>
  <c r="T518" i="18" s="1"/>
  <c r="C518" i="18"/>
  <c r="D518" i="18" s="1"/>
  <c r="X517" i="18"/>
  <c r="V517" i="18"/>
  <c r="U517" i="18"/>
  <c r="S517" i="18"/>
  <c r="P517" i="18"/>
  <c r="W517" i="18" s="1"/>
  <c r="M517" i="18"/>
  <c r="T517" i="18" s="1"/>
  <c r="C517" i="18"/>
  <c r="D517" i="18" s="1"/>
  <c r="X516" i="18"/>
  <c r="V516" i="18"/>
  <c r="U516" i="18"/>
  <c r="S516" i="18"/>
  <c r="P516" i="18"/>
  <c r="W516" i="18" s="1"/>
  <c r="M516" i="18"/>
  <c r="T516" i="18" s="1"/>
  <c r="C516" i="18"/>
  <c r="D516" i="18" s="1"/>
  <c r="X515" i="18"/>
  <c r="V515" i="18"/>
  <c r="U515" i="18"/>
  <c r="S515" i="18"/>
  <c r="P515" i="18"/>
  <c r="W515" i="18" s="1"/>
  <c r="M515" i="18"/>
  <c r="T515" i="18" s="1"/>
  <c r="C515" i="18"/>
  <c r="D515" i="18" s="1"/>
  <c r="X514" i="18"/>
  <c r="V514" i="18"/>
  <c r="U514" i="18"/>
  <c r="S514" i="18"/>
  <c r="P514" i="18"/>
  <c r="W514" i="18" s="1"/>
  <c r="M514" i="18"/>
  <c r="T514" i="18" s="1"/>
  <c r="C514" i="18"/>
  <c r="D514" i="18" s="1"/>
  <c r="X513" i="18"/>
  <c r="V513" i="18"/>
  <c r="U513" i="18"/>
  <c r="S513" i="18"/>
  <c r="P513" i="18"/>
  <c r="W513" i="18" s="1"/>
  <c r="M513" i="18"/>
  <c r="T513" i="18" s="1"/>
  <c r="C513" i="18"/>
  <c r="D513" i="18" s="1"/>
  <c r="X512" i="18"/>
  <c r="V512" i="18"/>
  <c r="U512" i="18"/>
  <c r="S512" i="18"/>
  <c r="P512" i="18"/>
  <c r="W512" i="18" s="1"/>
  <c r="M512" i="18"/>
  <c r="T512" i="18" s="1"/>
  <c r="C512" i="18"/>
  <c r="D512" i="18" s="1"/>
  <c r="X511" i="18"/>
  <c r="V511" i="18"/>
  <c r="U511" i="18"/>
  <c r="T511" i="18"/>
  <c r="S511" i="18"/>
  <c r="P511" i="18"/>
  <c r="W511" i="18" s="1"/>
  <c r="M511" i="18"/>
  <c r="C511" i="18"/>
  <c r="D511" i="18" s="1"/>
  <c r="X510" i="18"/>
  <c r="V510" i="18"/>
  <c r="U510" i="18"/>
  <c r="S510" i="18"/>
  <c r="P510" i="18"/>
  <c r="W510" i="18" s="1"/>
  <c r="M510" i="18"/>
  <c r="T510" i="18" s="1"/>
  <c r="C510" i="18"/>
  <c r="D510" i="18" s="1"/>
  <c r="X509" i="18"/>
  <c r="V509" i="18"/>
  <c r="U509" i="18"/>
  <c r="S509" i="18"/>
  <c r="P509" i="18"/>
  <c r="W509" i="18" s="1"/>
  <c r="M509" i="18"/>
  <c r="T509" i="18" s="1"/>
  <c r="C509" i="18"/>
  <c r="D509" i="18" s="1"/>
  <c r="X508" i="18"/>
  <c r="V508" i="18"/>
  <c r="U508" i="18"/>
  <c r="S508" i="18"/>
  <c r="P508" i="18"/>
  <c r="W508" i="18" s="1"/>
  <c r="M508" i="18"/>
  <c r="T508" i="18" s="1"/>
  <c r="C508" i="18"/>
  <c r="D508" i="18" s="1"/>
  <c r="X507" i="18"/>
  <c r="V507" i="18"/>
  <c r="U507" i="18"/>
  <c r="S507" i="18"/>
  <c r="P507" i="18"/>
  <c r="W507" i="18" s="1"/>
  <c r="M507" i="18"/>
  <c r="T507" i="18" s="1"/>
  <c r="C507" i="18"/>
  <c r="D507" i="18" s="1"/>
  <c r="X506" i="18"/>
  <c r="V506" i="18"/>
  <c r="U506" i="18"/>
  <c r="S506" i="18"/>
  <c r="P506" i="18"/>
  <c r="W506" i="18" s="1"/>
  <c r="M506" i="18"/>
  <c r="T506" i="18" s="1"/>
  <c r="C506" i="18"/>
  <c r="D506" i="18" s="1"/>
  <c r="X505" i="18"/>
  <c r="V505" i="18"/>
  <c r="U505" i="18"/>
  <c r="S505" i="18"/>
  <c r="P505" i="18"/>
  <c r="W505" i="18" s="1"/>
  <c r="M505" i="18"/>
  <c r="T505" i="18" s="1"/>
  <c r="C505" i="18"/>
  <c r="D505" i="18" s="1"/>
  <c r="X504" i="18"/>
  <c r="V504" i="18"/>
  <c r="U504" i="18"/>
  <c r="S504" i="18"/>
  <c r="P504" i="18"/>
  <c r="W504" i="18" s="1"/>
  <c r="M504" i="18"/>
  <c r="T504" i="18" s="1"/>
  <c r="C504" i="18"/>
  <c r="D504" i="18" s="1"/>
  <c r="X503" i="18"/>
  <c r="V503" i="18"/>
  <c r="U503" i="18"/>
  <c r="T503" i="18"/>
  <c r="S503" i="18"/>
  <c r="P503" i="18"/>
  <c r="W503" i="18" s="1"/>
  <c r="M503" i="18"/>
  <c r="C503" i="18"/>
  <c r="D503" i="18" s="1"/>
  <c r="X502" i="18"/>
  <c r="V502" i="18"/>
  <c r="U502" i="18"/>
  <c r="S502" i="18"/>
  <c r="P502" i="18"/>
  <c r="W502" i="18" s="1"/>
  <c r="M502" i="18"/>
  <c r="T502" i="18" s="1"/>
  <c r="C502" i="18"/>
  <c r="D502" i="18" s="1"/>
  <c r="X501" i="18"/>
  <c r="V501" i="18"/>
  <c r="U501" i="18"/>
  <c r="S501" i="18"/>
  <c r="P501" i="18"/>
  <c r="W501" i="18" s="1"/>
  <c r="M501" i="18"/>
  <c r="T501" i="18" s="1"/>
  <c r="C501" i="18"/>
  <c r="D501" i="18" s="1"/>
  <c r="X500" i="18"/>
  <c r="V500" i="18"/>
  <c r="U500" i="18"/>
  <c r="S500" i="18"/>
  <c r="P500" i="18"/>
  <c r="W500" i="18" s="1"/>
  <c r="M500" i="18"/>
  <c r="T500" i="18" s="1"/>
  <c r="C500" i="18"/>
  <c r="D500" i="18" s="1"/>
  <c r="X499" i="18"/>
  <c r="V499" i="18"/>
  <c r="U499" i="18"/>
  <c r="S499" i="18"/>
  <c r="P499" i="18"/>
  <c r="W499" i="18" s="1"/>
  <c r="M499" i="18"/>
  <c r="T499" i="18" s="1"/>
  <c r="C499" i="18"/>
  <c r="D499" i="18" s="1"/>
  <c r="X498" i="18"/>
  <c r="V498" i="18"/>
  <c r="U498" i="18"/>
  <c r="S498" i="18"/>
  <c r="P498" i="18"/>
  <c r="W498" i="18" s="1"/>
  <c r="M498" i="18"/>
  <c r="T498" i="18" s="1"/>
  <c r="C498" i="18"/>
  <c r="D498" i="18" s="1"/>
  <c r="X497" i="18"/>
  <c r="V497" i="18"/>
  <c r="U497" i="18"/>
  <c r="S497" i="18"/>
  <c r="P497" i="18"/>
  <c r="W497" i="18" s="1"/>
  <c r="M497" i="18"/>
  <c r="T497" i="18" s="1"/>
  <c r="C497" i="18"/>
  <c r="D497" i="18" s="1"/>
  <c r="X496" i="18"/>
  <c r="V496" i="18"/>
  <c r="U496" i="18"/>
  <c r="S496" i="18"/>
  <c r="P496" i="18"/>
  <c r="W496" i="18" s="1"/>
  <c r="M496" i="18"/>
  <c r="T496" i="18" s="1"/>
  <c r="C496" i="18"/>
  <c r="D496" i="18" s="1"/>
  <c r="X495" i="18"/>
  <c r="V495" i="18"/>
  <c r="U495" i="18"/>
  <c r="T495" i="18"/>
  <c r="S495" i="18"/>
  <c r="P495" i="18"/>
  <c r="W495" i="18" s="1"/>
  <c r="M495" i="18"/>
  <c r="C495" i="18"/>
  <c r="D495" i="18" s="1"/>
  <c r="X494" i="18"/>
  <c r="V494" i="18"/>
  <c r="U494" i="18"/>
  <c r="S494" i="18"/>
  <c r="P494" i="18"/>
  <c r="W494" i="18" s="1"/>
  <c r="M494" i="18"/>
  <c r="T494" i="18" s="1"/>
  <c r="C494" i="18"/>
  <c r="D494" i="18" s="1"/>
  <c r="X493" i="18"/>
  <c r="V493" i="18"/>
  <c r="U493" i="18"/>
  <c r="S493" i="18"/>
  <c r="P493" i="18"/>
  <c r="W493" i="18" s="1"/>
  <c r="M493" i="18"/>
  <c r="T493" i="18" s="1"/>
  <c r="C493" i="18"/>
  <c r="D493" i="18" s="1"/>
  <c r="X492" i="18"/>
  <c r="V492" i="18"/>
  <c r="U492" i="18"/>
  <c r="S492" i="18"/>
  <c r="P492" i="18"/>
  <c r="W492" i="18" s="1"/>
  <c r="M492" i="18"/>
  <c r="T492" i="18" s="1"/>
  <c r="C492" i="18"/>
  <c r="D492" i="18" s="1"/>
  <c r="X491" i="18"/>
  <c r="V491" i="18"/>
  <c r="U491" i="18"/>
  <c r="S491" i="18"/>
  <c r="P491" i="18"/>
  <c r="W491" i="18" s="1"/>
  <c r="M491" i="18"/>
  <c r="T491" i="18" s="1"/>
  <c r="C491" i="18"/>
  <c r="D491" i="18" s="1"/>
  <c r="X490" i="18"/>
  <c r="V490" i="18"/>
  <c r="U490" i="18"/>
  <c r="S490" i="18"/>
  <c r="P490" i="18"/>
  <c r="W490" i="18" s="1"/>
  <c r="M490" i="18"/>
  <c r="T490" i="18" s="1"/>
  <c r="C490" i="18"/>
  <c r="D490" i="18" s="1"/>
  <c r="X489" i="18"/>
  <c r="V489" i="18"/>
  <c r="U489" i="18"/>
  <c r="S489" i="18"/>
  <c r="P489" i="18"/>
  <c r="W489" i="18" s="1"/>
  <c r="M489" i="18"/>
  <c r="T489" i="18" s="1"/>
  <c r="C489" i="18"/>
  <c r="D489" i="18" s="1"/>
  <c r="X488" i="18"/>
  <c r="V488" i="18"/>
  <c r="U488" i="18"/>
  <c r="S488" i="18"/>
  <c r="P488" i="18"/>
  <c r="W488" i="18" s="1"/>
  <c r="M488" i="18"/>
  <c r="T488" i="18" s="1"/>
  <c r="C488" i="18"/>
  <c r="D488" i="18" s="1"/>
  <c r="X487" i="18"/>
  <c r="V487" i="18"/>
  <c r="U487" i="18"/>
  <c r="T487" i="18"/>
  <c r="S487" i="18"/>
  <c r="P487" i="18"/>
  <c r="W487" i="18" s="1"/>
  <c r="M487" i="18"/>
  <c r="C487" i="18"/>
  <c r="D487" i="18" s="1"/>
  <c r="X486" i="18"/>
  <c r="V486" i="18"/>
  <c r="U486" i="18"/>
  <c r="S486" i="18"/>
  <c r="P486" i="18"/>
  <c r="W486" i="18" s="1"/>
  <c r="M486" i="18"/>
  <c r="T486" i="18" s="1"/>
  <c r="C486" i="18"/>
  <c r="D486" i="18" s="1"/>
  <c r="X485" i="18"/>
  <c r="V485" i="18"/>
  <c r="U485" i="18"/>
  <c r="S485" i="18"/>
  <c r="P485" i="18"/>
  <c r="W485" i="18" s="1"/>
  <c r="M485" i="18"/>
  <c r="T485" i="18" s="1"/>
  <c r="C485" i="18"/>
  <c r="D485" i="18" s="1"/>
  <c r="X484" i="18"/>
  <c r="V484" i="18"/>
  <c r="U484" i="18"/>
  <c r="S484" i="18"/>
  <c r="P484" i="18"/>
  <c r="W484" i="18" s="1"/>
  <c r="M484" i="18"/>
  <c r="T484" i="18" s="1"/>
  <c r="C484" i="18"/>
  <c r="D484" i="18" s="1"/>
  <c r="X483" i="18"/>
  <c r="V483" i="18"/>
  <c r="U483" i="18"/>
  <c r="S483" i="18"/>
  <c r="P483" i="18"/>
  <c r="W483" i="18" s="1"/>
  <c r="M483" i="18"/>
  <c r="T483" i="18" s="1"/>
  <c r="C483" i="18"/>
  <c r="D483" i="18" s="1"/>
  <c r="X482" i="18"/>
  <c r="V482" i="18"/>
  <c r="U482" i="18"/>
  <c r="S482" i="18"/>
  <c r="P482" i="18"/>
  <c r="W482" i="18" s="1"/>
  <c r="M482" i="18"/>
  <c r="T482" i="18" s="1"/>
  <c r="C482" i="18"/>
  <c r="D482" i="18" s="1"/>
  <c r="X481" i="18"/>
  <c r="V481" i="18"/>
  <c r="U481" i="18"/>
  <c r="S481" i="18"/>
  <c r="P481" i="18"/>
  <c r="W481" i="18" s="1"/>
  <c r="M481" i="18"/>
  <c r="T481" i="18" s="1"/>
  <c r="C481" i="18"/>
  <c r="D481" i="18" s="1"/>
  <c r="X480" i="18"/>
  <c r="V480" i="18"/>
  <c r="U480" i="18"/>
  <c r="S480" i="18"/>
  <c r="P480" i="18"/>
  <c r="W480" i="18" s="1"/>
  <c r="M480" i="18"/>
  <c r="T480" i="18" s="1"/>
  <c r="C480" i="18"/>
  <c r="D480" i="18" s="1"/>
  <c r="X479" i="18"/>
  <c r="V479" i="18"/>
  <c r="U479" i="18"/>
  <c r="S479" i="18"/>
  <c r="P479" i="18"/>
  <c r="W479" i="18" s="1"/>
  <c r="M479" i="18"/>
  <c r="T479" i="18" s="1"/>
  <c r="C479" i="18"/>
  <c r="D479" i="18" s="1"/>
  <c r="X478" i="18"/>
  <c r="V478" i="18"/>
  <c r="U478" i="18"/>
  <c r="S478" i="18"/>
  <c r="P478" i="18"/>
  <c r="W478" i="18" s="1"/>
  <c r="M478" i="18"/>
  <c r="T478" i="18" s="1"/>
  <c r="C478" i="18"/>
  <c r="D478" i="18" s="1"/>
  <c r="X477" i="18"/>
  <c r="V477" i="18"/>
  <c r="U477" i="18"/>
  <c r="S477" i="18"/>
  <c r="P477" i="18"/>
  <c r="W477" i="18" s="1"/>
  <c r="M477" i="18"/>
  <c r="T477" i="18" s="1"/>
  <c r="C477" i="18"/>
  <c r="D477" i="18" s="1"/>
  <c r="X476" i="18"/>
  <c r="V476" i="18"/>
  <c r="U476" i="18"/>
  <c r="S476" i="18"/>
  <c r="P476" i="18"/>
  <c r="W476" i="18" s="1"/>
  <c r="M476" i="18"/>
  <c r="T476" i="18" s="1"/>
  <c r="C476" i="18"/>
  <c r="D476" i="18" s="1"/>
  <c r="X475" i="18"/>
  <c r="V475" i="18"/>
  <c r="U475" i="18"/>
  <c r="S475" i="18"/>
  <c r="P475" i="18"/>
  <c r="W475" i="18" s="1"/>
  <c r="M475" i="18"/>
  <c r="T475" i="18" s="1"/>
  <c r="C475" i="18"/>
  <c r="D475" i="18" s="1"/>
  <c r="X474" i="18"/>
  <c r="V474" i="18"/>
  <c r="U474" i="18"/>
  <c r="T474" i="18"/>
  <c r="S474" i="18"/>
  <c r="P474" i="18"/>
  <c r="W474" i="18" s="1"/>
  <c r="M474" i="18"/>
  <c r="C474" i="18"/>
  <c r="D474" i="18" s="1"/>
  <c r="X473" i="18"/>
  <c r="V473" i="18"/>
  <c r="U473" i="18"/>
  <c r="T473" i="18"/>
  <c r="S473" i="18"/>
  <c r="P473" i="18"/>
  <c r="W473" i="18" s="1"/>
  <c r="M473" i="18"/>
  <c r="D473" i="18"/>
  <c r="C473" i="18"/>
  <c r="X472" i="18"/>
  <c r="V472" i="18"/>
  <c r="U472" i="18"/>
  <c r="S472" i="18"/>
  <c r="P472" i="18"/>
  <c r="W472" i="18" s="1"/>
  <c r="M472" i="18"/>
  <c r="T472" i="18" s="1"/>
  <c r="C472" i="18"/>
  <c r="D472" i="18" s="1"/>
  <c r="X471" i="18"/>
  <c r="V471" i="18"/>
  <c r="U471" i="18"/>
  <c r="S471" i="18"/>
  <c r="P471" i="18"/>
  <c r="W471" i="18" s="1"/>
  <c r="M471" i="18"/>
  <c r="T471" i="18" s="1"/>
  <c r="C471" i="18"/>
  <c r="D471" i="18" s="1"/>
  <c r="X470" i="18"/>
  <c r="V470" i="18"/>
  <c r="U470" i="18"/>
  <c r="T470" i="18"/>
  <c r="S470" i="18"/>
  <c r="P470" i="18"/>
  <c r="W470" i="18" s="1"/>
  <c r="M470" i="18"/>
  <c r="C470" i="18"/>
  <c r="D470" i="18" s="1"/>
  <c r="X469" i="18"/>
  <c r="V469" i="18"/>
  <c r="U469" i="18"/>
  <c r="T469" i="18"/>
  <c r="S469" i="18"/>
  <c r="P469" i="18"/>
  <c r="W469" i="18" s="1"/>
  <c r="M469" i="18"/>
  <c r="C469" i="18"/>
  <c r="D469" i="18" s="1"/>
  <c r="X468" i="18"/>
  <c r="V468" i="18"/>
  <c r="U468" i="18"/>
  <c r="S468" i="18"/>
  <c r="P468" i="18"/>
  <c r="W468" i="18" s="1"/>
  <c r="M468" i="18"/>
  <c r="T468" i="18" s="1"/>
  <c r="C468" i="18"/>
  <c r="D468" i="18" s="1"/>
  <c r="X467" i="18"/>
  <c r="V467" i="18"/>
  <c r="U467" i="18"/>
  <c r="S467" i="18"/>
  <c r="P467" i="18"/>
  <c r="W467" i="18" s="1"/>
  <c r="M467" i="18"/>
  <c r="T467" i="18" s="1"/>
  <c r="C467" i="18"/>
  <c r="D467" i="18" s="1"/>
  <c r="X466" i="18"/>
  <c r="V466" i="18"/>
  <c r="U466" i="18"/>
  <c r="T466" i="18"/>
  <c r="S466" i="18"/>
  <c r="P466" i="18"/>
  <c r="W466" i="18" s="1"/>
  <c r="M466" i="18"/>
  <c r="C466" i="18"/>
  <c r="D466" i="18" s="1"/>
  <c r="X465" i="18"/>
  <c r="V465" i="18"/>
  <c r="U465" i="18"/>
  <c r="T465" i="18"/>
  <c r="S465" i="18"/>
  <c r="P465" i="18"/>
  <c r="W465" i="18" s="1"/>
  <c r="M465" i="18"/>
  <c r="C465" i="18"/>
  <c r="D465" i="18" s="1"/>
  <c r="X464" i="18"/>
  <c r="V464" i="18"/>
  <c r="U464" i="18"/>
  <c r="S464" i="18"/>
  <c r="P464" i="18"/>
  <c r="W464" i="18" s="1"/>
  <c r="M464" i="18"/>
  <c r="T464" i="18" s="1"/>
  <c r="C464" i="18"/>
  <c r="D464" i="18" s="1"/>
  <c r="X463" i="18"/>
  <c r="V463" i="18"/>
  <c r="U463" i="18"/>
  <c r="S463" i="18"/>
  <c r="P463" i="18"/>
  <c r="W463" i="18" s="1"/>
  <c r="M463" i="18"/>
  <c r="T463" i="18" s="1"/>
  <c r="C463" i="18"/>
  <c r="D463" i="18" s="1"/>
  <c r="X462" i="18"/>
  <c r="V462" i="18"/>
  <c r="U462" i="18"/>
  <c r="S462" i="18"/>
  <c r="P462" i="18"/>
  <c r="W462" i="18" s="1"/>
  <c r="M462" i="18"/>
  <c r="T462" i="18" s="1"/>
  <c r="C462" i="18"/>
  <c r="D462" i="18" s="1"/>
  <c r="X461" i="18"/>
  <c r="V461" i="18"/>
  <c r="U461" i="18"/>
  <c r="S461" i="18"/>
  <c r="P461" i="18"/>
  <c r="W461" i="18" s="1"/>
  <c r="M461" i="18"/>
  <c r="T461" i="18" s="1"/>
  <c r="C461" i="18"/>
  <c r="D461" i="18" s="1"/>
  <c r="X460" i="18"/>
  <c r="V460" i="18"/>
  <c r="U460" i="18"/>
  <c r="S460" i="18"/>
  <c r="P460" i="18"/>
  <c r="W460" i="18" s="1"/>
  <c r="M460" i="18"/>
  <c r="T460" i="18" s="1"/>
  <c r="C460" i="18"/>
  <c r="D460" i="18" s="1"/>
  <c r="X459" i="18"/>
  <c r="V459" i="18"/>
  <c r="U459" i="18"/>
  <c r="S459" i="18"/>
  <c r="P459" i="18"/>
  <c r="W459" i="18" s="1"/>
  <c r="M459" i="18"/>
  <c r="T459" i="18" s="1"/>
  <c r="C459" i="18"/>
  <c r="D459" i="18" s="1"/>
  <c r="X458" i="18"/>
  <c r="V458" i="18"/>
  <c r="U458" i="18"/>
  <c r="T458" i="18"/>
  <c r="S458" i="18"/>
  <c r="P458" i="18"/>
  <c r="W458" i="18" s="1"/>
  <c r="M458" i="18"/>
  <c r="C458" i="18"/>
  <c r="D458" i="18" s="1"/>
  <c r="X457" i="18"/>
  <c r="V457" i="18"/>
  <c r="U457" i="18"/>
  <c r="T457" i="18"/>
  <c r="S457" i="18"/>
  <c r="P457" i="18"/>
  <c r="W457" i="18" s="1"/>
  <c r="M457" i="18"/>
  <c r="D457" i="18"/>
  <c r="C457" i="18"/>
  <c r="X456" i="18"/>
  <c r="V456" i="18"/>
  <c r="U456" i="18"/>
  <c r="S456" i="18"/>
  <c r="P456" i="18"/>
  <c r="W456" i="18" s="1"/>
  <c r="M456" i="18"/>
  <c r="T456" i="18" s="1"/>
  <c r="C456" i="18"/>
  <c r="D456" i="18" s="1"/>
  <c r="X455" i="18"/>
  <c r="V455" i="18"/>
  <c r="U455" i="18"/>
  <c r="S455" i="18"/>
  <c r="P455" i="18"/>
  <c r="W455" i="18" s="1"/>
  <c r="M455" i="18"/>
  <c r="T455" i="18" s="1"/>
  <c r="C455" i="18"/>
  <c r="D455" i="18" s="1"/>
  <c r="X454" i="18"/>
  <c r="V454" i="18"/>
  <c r="U454" i="18"/>
  <c r="S454" i="18"/>
  <c r="P454" i="18"/>
  <c r="W454" i="18" s="1"/>
  <c r="M454" i="18"/>
  <c r="T454" i="18" s="1"/>
  <c r="C454" i="18"/>
  <c r="D454" i="18" s="1"/>
  <c r="X453" i="18"/>
  <c r="V453" i="18"/>
  <c r="U453" i="18"/>
  <c r="T453" i="18"/>
  <c r="S453" i="18"/>
  <c r="P453" i="18"/>
  <c r="W453" i="18" s="1"/>
  <c r="M453" i="18"/>
  <c r="C453" i="18"/>
  <c r="D453" i="18" s="1"/>
  <c r="X452" i="18"/>
  <c r="V452" i="18"/>
  <c r="U452" i="18"/>
  <c r="S452" i="18"/>
  <c r="P452" i="18"/>
  <c r="W452" i="18" s="1"/>
  <c r="M452" i="18"/>
  <c r="T452" i="18" s="1"/>
  <c r="C452" i="18"/>
  <c r="D452" i="18" s="1"/>
  <c r="X451" i="18"/>
  <c r="V451" i="18"/>
  <c r="U451" i="18"/>
  <c r="S451" i="18"/>
  <c r="P451" i="18"/>
  <c r="W451" i="18" s="1"/>
  <c r="M451" i="18"/>
  <c r="T451" i="18" s="1"/>
  <c r="C451" i="18"/>
  <c r="D451" i="18" s="1"/>
  <c r="X450" i="18"/>
  <c r="V450" i="18"/>
  <c r="U450" i="18"/>
  <c r="T450" i="18"/>
  <c r="S450" i="18"/>
  <c r="P450" i="18"/>
  <c r="W450" i="18" s="1"/>
  <c r="M450" i="18"/>
  <c r="C450" i="18"/>
  <c r="D450" i="18" s="1"/>
  <c r="X449" i="18"/>
  <c r="V449" i="18"/>
  <c r="U449" i="18"/>
  <c r="T449" i="18"/>
  <c r="S449" i="18"/>
  <c r="P449" i="18"/>
  <c r="W449" i="18" s="1"/>
  <c r="M449" i="18"/>
  <c r="D449" i="18"/>
  <c r="C449" i="18"/>
  <c r="X448" i="18"/>
  <c r="V448" i="18"/>
  <c r="U448" i="18"/>
  <c r="S448" i="18"/>
  <c r="P448" i="18"/>
  <c r="W448" i="18" s="1"/>
  <c r="M448" i="18"/>
  <c r="T448" i="18" s="1"/>
  <c r="C448" i="18"/>
  <c r="D448" i="18" s="1"/>
  <c r="X447" i="18"/>
  <c r="V447" i="18"/>
  <c r="U447" i="18"/>
  <c r="S447" i="18"/>
  <c r="P447" i="18"/>
  <c r="W447" i="18" s="1"/>
  <c r="M447" i="18"/>
  <c r="T447" i="18" s="1"/>
  <c r="C447" i="18"/>
  <c r="D447" i="18" s="1"/>
  <c r="X446" i="18"/>
  <c r="V446" i="18"/>
  <c r="U446" i="18"/>
  <c r="S446" i="18"/>
  <c r="P446" i="18"/>
  <c r="W446" i="18" s="1"/>
  <c r="M446" i="18"/>
  <c r="T446" i="18" s="1"/>
  <c r="C446" i="18"/>
  <c r="D446" i="18" s="1"/>
  <c r="X445" i="18"/>
  <c r="V445" i="18"/>
  <c r="U445" i="18"/>
  <c r="S445" i="18"/>
  <c r="P445" i="18"/>
  <c r="W445" i="18" s="1"/>
  <c r="M445" i="18"/>
  <c r="T445" i="18" s="1"/>
  <c r="C445" i="18"/>
  <c r="D445" i="18" s="1"/>
  <c r="X444" i="18"/>
  <c r="V444" i="18"/>
  <c r="U444" i="18"/>
  <c r="S444" i="18"/>
  <c r="P444" i="18"/>
  <c r="W444" i="18" s="1"/>
  <c r="M444" i="18"/>
  <c r="T444" i="18" s="1"/>
  <c r="C444" i="18"/>
  <c r="D444" i="18" s="1"/>
  <c r="X443" i="18"/>
  <c r="V443" i="18"/>
  <c r="U443" i="18"/>
  <c r="S443" i="18"/>
  <c r="P443" i="18"/>
  <c r="W443" i="18" s="1"/>
  <c r="M443" i="18"/>
  <c r="T443" i="18" s="1"/>
  <c r="C443" i="18"/>
  <c r="D443" i="18" s="1"/>
  <c r="X442" i="18"/>
  <c r="V442" i="18"/>
  <c r="U442" i="18"/>
  <c r="T442" i="18"/>
  <c r="S442" i="18"/>
  <c r="P442" i="18"/>
  <c r="W442" i="18" s="1"/>
  <c r="M442" i="18"/>
  <c r="C442" i="18"/>
  <c r="D442" i="18" s="1"/>
  <c r="X441" i="18"/>
  <c r="V441" i="18"/>
  <c r="U441" i="18"/>
  <c r="T441" i="18"/>
  <c r="S441" i="18"/>
  <c r="P441" i="18"/>
  <c r="W441" i="18" s="1"/>
  <c r="M441" i="18"/>
  <c r="D441" i="18"/>
  <c r="C441" i="18"/>
  <c r="X440" i="18"/>
  <c r="V440" i="18"/>
  <c r="U440" i="18"/>
  <c r="S440" i="18"/>
  <c r="P440" i="18"/>
  <c r="W440" i="18" s="1"/>
  <c r="M440" i="18"/>
  <c r="T440" i="18" s="1"/>
  <c r="C440" i="18"/>
  <c r="D440" i="18" s="1"/>
  <c r="X439" i="18"/>
  <c r="V439" i="18"/>
  <c r="U439" i="18"/>
  <c r="S439" i="18"/>
  <c r="P439" i="18"/>
  <c r="W439" i="18" s="1"/>
  <c r="M439" i="18"/>
  <c r="T439" i="18" s="1"/>
  <c r="C439" i="18"/>
  <c r="D439" i="18" s="1"/>
  <c r="X438" i="18"/>
  <c r="V438" i="18"/>
  <c r="U438" i="18"/>
  <c r="S438" i="18"/>
  <c r="P438" i="18"/>
  <c r="W438" i="18" s="1"/>
  <c r="M438" i="18"/>
  <c r="T438" i="18" s="1"/>
  <c r="C438" i="18"/>
  <c r="D438" i="18" s="1"/>
  <c r="X437" i="18"/>
  <c r="V437" i="18"/>
  <c r="U437" i="18"/>
  <c r="S437" i="18"/>
  <c r="P437" i="18"/>
  <c r="W437" i="18" s="1"/>
  <c r="M437" i="18"/>
  <c r="T437" i="18" s="1"/>
  <c r="C437" i="18"/>
  <c r="D437" i="18" s="1"/>
  <c r="X436" i="18"/>
  <c r="V436" i="18"/>
  <c r="U436" i="18"/>
  <c r="S436" i="18"/>
  <c r="P436" i="18"/>
  <c r="W436" i="18" s="1"/>
  <c r="M436" i="18"/>
  <c r="T436" i="18" s="1"/>
  <c r="C436" i="18"/>
  <c r="D436" i="18" s="1"/>
  <c r="X435" i="18"/>
  <c r="V435" i="18"/>
  <c r="U435" i="18"/>
  <c r="S435" i="18"/>
  <c r="P435" i="18"/>
  <c r="W435" i="18" s="1"/>
  <c r="M435" i="18"/>
  <c r="T435" i="18" s="1"/>
  <c r="C435" i="18"/>
  <c r="D435" i="18" s="1"/>
  <c r="X434" i="18"/>
  <c r="V434" i="18"/>
  <c r="U434" i="18"/>
  <c r="T434" i="18"/>
  <c r="S434" i="18"/>
  <c r="P434" i="18"/>
  <c r="W434" i="18" s="1"/>
  <c r="M434" i="18"/>
  <c r="C434" i="18"/>
  <c r="D434" i="18" s="1"/>
  <c r="X433" i="18"/>
  <c r="V433" i="18"/>
  <c r="U433" i="18"/>
  <c r="T433" i="18"/>
  <c r="S433" i="18"/>
  <c r="P433" i="18"/>
  <c r="W433" i="18" s="1"/>
  <c r="M433" i="18"/>
  <c r="D433" i="18"/>
  <c r="C433" i="18"/>
  <c r="X432" i="18"/>
  <c r="V432" i="18"/>
  <c r="U432" i="18"/>
  <c r="S432" i="18"/>
  <c r="P432" i="18"/>
  <c r="W432" i="18" s="1"/>
  <c r="M432" i="18"/>
  <c r="T432" i="18" s="1"/>
  <c r="C432" i="18"/>
  <c r="D432" i="18" s="1"/>
  <c r="X431" i="18"/>
  <c r="V431" i="18"/>
  <c r="U431" i="18"/>
  <c r="S431" i="18"/>
  <c r="P431" i="18"/>
  <c r="W431" i="18" s="1"/>
  <c r="M431" i="18"/>
  <c r="T431" i="18" s="1"/>
  <c r="C431" i="18"/>
  <c r="D431" i="18" s="1"/>
  <c r="X430" i="18"/>
  <c r="V430" i="18"/>
  <c r="U430" i="18"/>
  <c r="S430" i="18"/>
  <c r="P430" i="18"/>
  <c r="W430" i="18" s="1"/>
  <c r="M430" i="18"/>
  <c r="T430" i="18" s="1"/>
  <c r="C430" i="18"/>
  <c r="D430" i="18" s="1"/>
  <c r="X429" i="18"/>
  <c r="V429" i="18"/>
  <c r="U429" i="18"/>
  <c r="S429" i="18"/>
  <c r="P429" i="18"/>
  <c r="W429" i="18" s="1"/>
  <c r="M429" i="18"/>
  <c r="T429" i="18" s="1"/>
  <c r="C429" i="18"/>
  <c r="D429" i="18" s="1"/>
  <c r="X428" i="18"/>
  <c r="V428" i="18"/>
  <c r="U428" i="18"/>
  <c r="S428" i="18"/>
  <c r="P428" i="18"/>
  <c r="W428" i="18" s="1"/>
  <c r="M428" i="18"/>
  <c r="T428" i="18" s="1"/>
  <c r="C428" i="18"/>
  <c r="D428" i="18" s="1"/>
  <c r="X427" i="18"/>
  <c r="V427" i="18"/>
  <c r="U427" i="18"/>
  <c r="S427" i="18"/>
  <c r="P427" i="18"/>
  <c r="W427" i="18" s="1"/>
  <c r="M427" i="18"/>
  <c r="T427" i="18" s="1"/>
  <c r="C427" i="18"/>
  <c r="D427" i="18" s="1"/>
  <c r="X426" i="18"/>
  <c r="V426" i="18"/>
  <c r="U426" i="18"/>
  <c r="T426" i="18"/>
  <c r="S426" i="18"/>
  <c r="P426" i="18"/>
  <c r="W426" i="18" s="1"/>
  <c r="M426" i="18"/>
  <c r="C426" i="18"/>
  <c r="D426" i="18" s="1"/>
  <c r="X425" i="18"/>
  <c r="V425" i="18"/>
  <c r="U425" i="18"/>
  <c r="T425" i="18"/>
  <c r="S425" i="18"/>
  <c r="P425" i="18"/>
  <c r="W425" i="18" s="1"/>
  <c r="M425" i="18"/>
  <c r="C425" i="18"/>
  <c r="D425" i="18" s="1"/>
  <c r="X424" i="18"/>
  <c r="V424" i="18"/>
  <c r="U424" i="18"/>
  <c r="S424" i="18"/>
  <c r="P424" i="18"/>
  <c r="W424" i="18" s="1"/>
  <c r="M424" i="18"/>
  <c r="T424" i="18" s="1"/>
  <c r="C424" i="18"/>
  <c r="D424" i="18" s="1"/>
  <c r="X423" i="18"/>
  <c r="V423" i="18"/>
  <c r="U423" i="18"/>
  <c r="S423" i="18"/>
  <c r="P423" i="18"/>
  <c r="W423" i="18" s="1"/>
  <c r="M423" i="18"/>
  <c r="T423" i="18" s="1"/>
  <c r="C423" i="18"/>
  <c r="D423" i="18" s="1"/>
  <c r="X422" i="18"/>
  <c r="V422" i="18"/>
  <c r="U422" i="18"/>
  <c r="S422" i="18"/>
  <c r="P422" i="18"/>
  <c r="W422" i="18" s="1"/>
  <c r="M422" i="18"/>
  <c r="T422" i="18" s="1"/>
  <c r="C422" i="18"/>
  <c r="D422" i="18" s="1"/>
  <c r="X421" i="18"/>
  <c r="V421" i="18"/>
  <c r="U421" i="18"/>
  <c r="S421" i="18"/>
  <c r="P421" i="18"/>
  <c r="W421" i="18" s="1"/>
  <c r="M421" i="18"/>
  <c r="T421" i="18" s="1"/>
  <c r="C421" i="18"/>
  <c r="D421" i="18" s="1"/>
  <c r="X420" i="18"/>
  <c r="V420" i="18"/>
  <c r="U420" i="18"/>
  <c r="S420" i="18"/>
  <c r="P420" i="18"/>
  <c r="W420" i="18" s="1"/>
  <c r="M420" i="18"/>
  <c r="T420" i="18" s="1"/>
  <c r="C420" i="18"/>
  <c r="D420" i="18" s="1"/>
  <c r="X419" i="18"/>
  <c r="V419" i="18"/>
  <c r="U419" i="18"/>
  <c r="S419" i="18"/>
  <c r="P419" i="18"/>
  <c r="W419" i="18" s="1"/>
  <c r="M419" i="18"/>
  <c r="T419" i="18" s="1"/>
  <c r="C419" i="18"/>
  <c r="D419" i="18" s="1"/>
  <c r="X418" i="18"/>
  <c r="V418" i="18"/>
  <c r="U418" i="18"/>
  <c r="S418" i="18"/>
  <c r="P418" i="18"/>
  <c r="W418" i="18" s="1"/>
  <c r="M418" i="18"/>
  <c r="T418" i="18" s="1"/>
  <c r="C418" i="18"/>
  <c r="D418" i="18" s="1"/>
  <c r="X417" i="18"/>
  <c r="V417" i="18"/>
  <c r="U417" i="18"/>
  <c r="S417" i="18"/>
  <c r="P417" i="18"/>
  <c r="W417" i="18" s="1"/>
  <c r="M417" i="18"/>
  <c r="T417" i="18" s="1"/>
  <c r="D417" i="18"/>
  <c r="C417" i="18"/>
  <c r="X416" i="18"/>
  <c r="V416" i="18"/>
  <c r="U416" i="18"/>
  <c r="S416" i="18"/>
  <c r="P416" i="18"/>
  <c r="W416" i="18" s="1"/>
  <c r="M416" i="18"/>
  <c r="T416" i="18" s="1"/>
  <c r="C416" i="18"/>
  <c r="D416" i="18" s="1"/>
  <c r="X415" i="18"/>
  <c r="V415" i="18"/>
  <c r="U415" i="18"/>
  <c r="S415" i="18"/>
  <c r="P415" i="18"/>
  <c r="W415" i="18" s="1"/>
  <c r="M415" i="18"/>
  <c r="T415" i="18" s="1"/>
  <c r="C415" i="18"/>
  <c r="D415" i="18" s="1"/>
  <c r="X414" i="18"/>
  <c r="V414" i="18"/>
  <c r="U414" i="18"/>
  <c r="T414" i="18"/>
  <c r="S414" i="18"/>
  <c r="P414" i="18"/>
  <c r="W414" i="18" s="1"/>
  <c r="M414" i="18"/>
  <c r="C414" i="18"/>
  <c r="D414" i="18" s="1"/>
  <c r="X413" i="18"/>
  <c r="V413" i="18"/>
  <c r="U413" i="18"/>
  <c r="T413" i="18"/>
  <c r="S413" i="18"/>
  <c r="P413" i="18"/>
  <c r="W413" i="18" s="1"/>
  <c r="M413" i="18"/>
  <c r="D413" i="18"/>
  <c r="C413" i="18"/>
  <c r="X412" i="18"/>
  <c r="V412" i="18"/>
  <c r="U412" i="18"/>
  <c r="S412" i="18"/>
  <c r="P412" i="18"/>
  <c r="W412" i="18" s="1"/>
  <c r="M412" i="18"/>
  <c r="T412" i="18" s="1"/>
  <c r="C412" i="18"/>
  <c r="D412" i="18" s="1"/>
  <c r="X411" i="18"/>
  <c r="V411" i="18"/>
  <c r="U411" i="18"/>
  <c r="S411" i="18"/>
  <c r="P411" i="18"/>
  <c r="W411" i="18" s="1"/>
  <c r="M411" i="18"/>
  <c r="T411" i="18" s="1"/>
  <c r="C411" i="18"/>
  <c r="D411" i="18" s="1"/>
  <c r="X410" i="18"/>
  <c r="V410" i="18"/>
  <c r="U410" i="18"/>
  <c r="T410" i="18"/>
  <c r="S410" i="18"/>
  <c r="P410" i="18"/>
  <c r="W410" i="18" s="1"/>
  <c r="M410" i="18"/>
  <c r="C410" i="18"/>
  <c r="D410" i="18" s="1"/>
  <c r="X409" i="18"/>
  <c r="V409" i="18"/>
  <c r="U409" i="18"/>
  <c r="T409" i="18"/>
  <c r="S409" i="18"/>
  <c r="P409" i="18"/>
  <c r="W409" i="18" s="1"/>
  <c r="M409" i="18"/>
  <c r="C409" i="18"/>
  <c r="D409" i="18" s="1"/>
  <c r="X408" i="18"/>
  <c r="V408" i="18"/>
  <c r="U408" i="18"/>
  <c r="S408" i="18"/>
  <c r="P408" i="18"/>
  <c r="W408" i="18" s="1"/>
  <c r="M408" i="18"/>
  <c r="T408" i="18" s="1"/>
  <c r="C408" i="18"/>
  <c r="D408" i="18" s="1"/>
  <c r="X407" i="18"/>
  <c r="V407" i="18"/>
  <c r="U407" i="18"/>
  <c r="S407" i="18"/>
  <c r="P407" i="18"/>
  <c r="W407" i="18" s="1"/>
  <c r="M407" i="18"/>
  <c r="T407" i="18" s="1"/>
  <c r="C407" i="18"/>
  <c r="D407" i="18" s="1"/>
  <c r="X406" i="18"/>
  <c r="V406" i="18"/>
  <c r="U406" i="18"/>
  <c r="S406" i="18"/>
  <c r="P406" i="18"/>
  <c r="W406" i="18" s="1"/>
  <c r="M406" i="18"/>
  <c r="T406" i="18" s="1"/>
  <c r="C406" i="18"/>
  <c r="D406" i="18" s="1"/>
  <c r="X405" i="18"/>
  <c r="V405" i="18"/>
  <c r="U405" i="18"/>
  <c r="S405" i="18"/>
  <c r="P405" i="18"/>
  <c r="W405" i="18" s="1"/>
  <c r="M405" i="18"/>
  <c r="T405" i="18" s="1"/>
  <c r="C405" i="18"/>
  <c r="D405" i="18" s="1"/>
  <c r="X404" i="18"/>
  <c r="V404" i="18"/>
  <c r="U404" i="18"/>
  <c r="S404" i="18"/>
  <c r="P404" i="18"/>
  <c r="W404" i="18" s="1"/>
  <c r="M404" i="18"/>
  <c r="T404" i="18" s="1"/>
  <c r="C404" i="18"/>
  <c r="D404" i="18" s="1"/>
  <c r="X403" i="18"/>
  <c r="V403" i="18"/>
  <c r="U403" i="18"/>
  <c r="S403" i="18"/>
  <c r="P403" i="18"/>
  <c r="W403" i="18" s="1"/>
  <c r="M403" i="18"/>
  <c r="T403" i="18" s="1"/>
  <c r="C403" i="18"/>
  <c r="D403" i="18" s="1"/>
  <c r="X402" i="18"/>
  <c r="V402" i="18"/>
  <c r="U402" i="18"/>
  <c r="S402" i="18"/>
  <c r="P402" i="18"/>
  <c r="W402" i="18" s="1"/>
  <c r="M402" i="18"/>
  <c r="T402" i="18" s="1"/>
  <c r="C402" i="18"/>
  <c r="D402" i="18" s="1"/>
  <c r="X401" i="18"/>
  <c r="V401" i="18"/>
  <c r="U401" i="18"/>
  <c r="S401" i="18"/>
  <c r="P401" i="18"/>
  <c r="W401" i="18" s="1"/>
  <c r="M401" i="18"/>
  <c r="T401" i="18" s="1"/>
  <c r="D401" i="18"/>
  <c r="C401" i="18"/>
  <c r="X400" i="18"/>
  <c r="V400" i="18"/>
  <c r="U400" i="18"/>
  <c r="S400" i="18"/>
  <c r="P400" i="18"/>
  <c r="W400" i="18" s="1"/>
  <c r="M400" i="18"/>
  <c r="T400" i="18" s="1"/>
  <c r="C400" i="18"/>
  <c r="D400" i="18" s="1"/>
  <c r="X399" i="18"/>
  <c r="V399" i="18"/>
  <c r="U399" i="18"/>
  <c r="S399" i="18"/>
  <c r="P399" i="18"/>
  <c r="W399" i="18" s="1"/>
  <c r="M399" i="18"/>
  <c r="T399" i="18" s="1"/>
  <c r="C399" i="18"/>
  <c r="D399" i="18" s="1"/>
  <c r="X398" i="18"/>
  <c r="V398" i="18"/>
  <c r="U398" i="18"/>
  <c r="T398" i="18"/>
  <c r="S398" i="18"/>
  <c r="P398" i="18"/>
  <c r="W398" i="18" s="1"/>
  <c r="M398" i="18"/>
  <c r="C398" i="18"/>
  <c r="D398" i="18" s="1"/>
  <c r="X397" i="18"/>
  <c r="V397" i="18"/>
  <c r="U397" i="18"/>
  <c r="T397" i="18"/>
  <c r="S397" i="18"/>
  <c r="P397" i="18"/>
  <c r="W397" i="18" s="1"/>
  <c r="M397" i="18"/>
  <c r="C397" i="18"/>
  <c r="D397" i="18" s="1"/>
  <c r="X396" i="18"/>
  <c r="V396" i="18"/>
  <c r="U396" i="18"/>
  <c r="S396" i="18"/>
  <c r="P396" i="18"/>
  <c r="W396" i="18" s="1"/>
  <c r="M396" i="18"/>
  <c r="T396" i="18" s="1"/>
  <c r="C396" i="18"/>
  <c r="D396" i="18" s="1"/>
  <c r="X395" i="18"/>
  <c r="V395" i="18"/>
  <c r="U395" i="18"/>
  <c r="S395" i="18"/>
  <c r="P395" i="18"/>
  <c r="W395" i="18" s="1"/>
  <c r="M395" i="18"/>
  <c r="T395" i="18" s="1"/>
  <c r="C395" i="18"/>
  <c r="D395" i="18" s="1"/>
  <c r="X394" i="18"/>
  <c r="V394" i="18"/>
  <c r="U394" i="18"/>
  <c r="T394" i="18"/>
  <c r="S394" i="18"/>
  <c r="P394" i="18"/>
  <c r="W394" i="18" s="1"/>
  <c r="M394" i="18"/>
  <c r="C394" i="18"/>
  <c r="D394" i="18" s="1"/>
  <c r="X393" i="18"/>
  <c r="V393" i="18"/>
  <c r="U393" i="18"/>
  <c r="T393" i="18"/>
  <c r="S393" i="18"/>
  <c r="P393" i="18"/>
  <c r="W393" i="18" s="1"/>
  <c r="M393" i="18"/>
  <c r="C393" i="18"/>
  <c r="D393" i="18" s="1"/>
  <c r="X392" i="18"/>
  <c r="V392" i="18"/>
  <c r="U392" i="18"/>
  <c r="S392" i="18"/>
  <c r="P392" i="18"/>
  <c r="W392" i="18" s="1"/>
  <c r="M392" i="18"/>
  <c r="T392" i="18" s="1"/>
  <c r="C392" i="18"/>
  <c r="D392" i="18" s="1"/>
  <c r="X391" i="18"/>
  <c r="V391" i="18"/>
  <c r="U391" i="18"/>
  <c r="S391" i="18"/>
  <c r="P391" i="18"/>
  <c r="W391" i="18" s="1"/>
  <c r="M391" i="18"/>
  <c r="T391" i="18" s="1"/>
  <c r="C391" i="18"/>
  <c r="D391" i="18" s="1"/>
  <c r="X390" i="18"/>
  <c r="V390" i="18"/>
  <c r="U390" i="18"/>
  <c r="S390" i="18"/>
  <c r="P390" i="18"/>
  <c r="W390" i="18" s="1"/>
  <c r="M390" i="18"/>
  <c r="T390" i="18" s="1"/>
  <c r="C390" i="18"/>
  <c r="D390" i="18" s="1"/>
  <c r="X389" i="18"/>
  <c r="V389" i="18"/>
  <c r="U389" i="18"/>
  <c r="S389" i="18"/>
  <c r="P389" i="18"/>
  <c r="W389" i="18" s="1"/>
  <c r="M389" i="18"/>
  <c r="T389" i="18" s="1"/>
  <c r="C389" i="18"/>
  <c r="D389" i="18" s="1"/>
  <c r="X388" i="18"/>
  <c r="V388" i="18"/>
  <c r="U388" i="18"/>
  <c r="S388" i="18"/>
  <c r="P388" i="18"/>
  <c r="W388" i="18" s="1"/>
  <c r="M388" i="18"/>
  <c r="T388" i="18" s="1"/>
  <c r="C388" i="18"/>
  <c r="D388" i="18" s="1"/>
  <c r="X387" i="18"/>
  <c r="V387" i="18"/>
  <c r="U387" i="18"/>
  <c r="S387" i="18"/>
  <c r="P387" i="18"/>
  <c r="W387" i="18" s="1"/>
  <c r="M387" i="18"/>
  <c r="T387" i="18" s="1"/>
  <c r="C387" i="18"/>
  <c r="D387" i="18" s="1"/>
  <c r="X386" i="18"/>
  <c r="V386" i="18"/>
  <c r="U386" i="18"/>
  <c r="S386" i="18"/>
  <c r="P386" i="18"/>
  <c r="W386" i="18" s="1"/>
  <c r="M386" i="18"/>
  <c r="T386" i="18" s="1"/>
  <c r="C386" i="18"/>
  <c r="D386" i="18" s="1"/>
  <c r="X385" i="18"/>
  <c r="V385" i="18"/>
  <c r="U385" i="18"/>
  <c r="T385" i="18"/>
  <c r="S385" i="18"/>
  <c r="P385" i="18"/>
  <c r="W385" i="18" s="1"/>
  <c r="M385" i="18"/>
  <c r="D385" i="18"/>
  <c r="C385" i="18"/>
  <c r="X384" i="18"/>
  <c r="V384" i="18"/>
  <c r="U384" i="18"/>
  <c r="S384" i="18"/>
  <c r="P384" i="18"/>
  <c r="W384" i="18" s="1"/>
  <c r="M384" i="18"/>
  <c r="T384" i="18" s="1"/>
  <c r="C384" i="18"/>
  <c r="D384" i="18" s="1"/>
  <c r="X383" i="18"/>
  <c r="V383" i="18"/>
  <c r="U383" i="18"/>
  <c r="S383" i="18"/>
  <c r="P383" i="18"/>
  <c r="W383" i="18" s="1"/>
  <c r="M383" i="18"/>
  <c r="T383" i="18" s="1"/>
  <c r="C383" i="18"/>
  <c r="D383" i="18" s="1"/>
  <c r="X382" i="18"/>
  <c r="V382" i="18"/>
  <c r="U382" i="18"/>
  <c r="T382" i="18"/>
  <c r="S382" i="18"/>
  <c r="P382" i="18"/>
  <c r="W382" i="18" s="1"/>
  <c r="M382" i="18"/>
  <c r="C382" i="18"/>
  <c r="D382" i="18" s="1"/>
  <c r="X381" i="18"/>
  <c r="V381" i="18"/>
  <c r="U381" i="18"/>
  <c r="T381" i="18"/>
  <c r="S381" i="18"/>
  <c r="P381" i="18"/>
  <c r="W381" i="18" s="1"/>
  <c r="M381" i="18"/>
  <c r="C381" i="18"/>
  <c r="D381" i="18" s="1"/>
  <c r="X380" i="18"/>
  <c r="V380" i="18"/>
  <c r="U380" i="18"/>
  <c r="S380" i="18"/>
  <c r="P380" i="18"/>
  <c r="W380" i="18" s="1"/>
  <c r="M380" i="18"/>
  <c r="T380" i="18" s="1"/>
  <c r="C380" i="18"/>
  <c r="D380" i="18" s="1"/>
  <c r="X379" i="18"/>
  <c r="V379" i="18"/>
  <c r="U379" i="18"/>
  <c r="S379" i="18"/>
  <c r="P379" i="18"/>
  <c r="W379" i="18" s="1"/>
  <c r="M379" i="18"/>
  <c r="T379" i="18" s="1"/>
  <c r="C379" i="18"/>
  <c r="D379" i="18" s="1"/>
  <c r="X378" i="18"/>
  <c r="V378" i="18"/>
  <c r="U378" i="18"/>
  <c r="T378" i="18"/>
  <c r="S378" i="18"/>
  <c r="P378" i="18"/>
  <c r="W378" i="18" s="1"/>
  <c r="M378" i="18"/>
  <c r="C378" i="18"/>
  <c r="D378" i="18" s="1"/>
  <c r="X377" i="18"/>
  <c r="V377" i="18"/>
  <c r="U377" i="18"/>
  <c r="T377" i="18"/>
  <c r="S377" i="18"/>
  <c r="P377" i="18"/>
  <c r="W377" i="18" s="1"/>
  <c r="M377" i="18"/>
  <c r="C377" i="18"/>
  <c r="D377" i="18" s="1"/>
  <c r="X376" i="18"/>
  <c r="V376" i="18"/>
  <c r="U376" i="18"/>
  <c r="S376" i="18"/>
  <c r="P376" i="18"/>
  <c r="W376" i="18" s="1"/>
  <c r="M376" i="18"/>
  <c r="T376" i="18" s="1"/>
  <c r="C376" i="18"/>
  <c r="D376" i="18" s="1"/>
  <c r="X375" i="18"/>
  <c r="V375" i="18"/>
  <c r="U375" i="18"/>
  <c r="S375" i="18"/>
  <c r="P375" i="18"/>
  <c r="W375" i="18" s="1"/>
  <c r="M375" i="18"/>
  <c r="T375" i="18" s="1"/>
  <c r="C375" i="18"/>
  <c r="D375" i="18" s="1"/>
  <c r="X374" i="18"/>
  <c r="V374" i="18"/>
  <c r="U374" i="18"/>
  <c r="S374" i="18"/>
  <c r="P374" i="18"/>
  <c r="W374" i="18" s="1"/>
  <c r="M374" i="18"/>
  <c r="T374" i="18" s="1"/>
  <c r="C374" i="18"/>
  <c r="D374" i="18" s="1"/>
  <c r="X373" i="18"/>
  <c r="V373" i="18"/>
  <c r="U373" i="18"/>
  <c r="S373" i="18"/>
  <c r="P373" i="18"/>
  <c r="W373" i="18" s="1"/>
  <c r="M373" i="18"/>
  <c r="T373" i="18" s="1"/>
  <c r="C373" i="18"/>
  <c r="D373" i="18" s="1"/>
  <c r="X372" i="18"/>
  <c r="V372" i="18"/>
  <c r="U372" i="18"/>
  <c r="S372" i="18"/>
  <c r="P372" i="18"/>
  <c r="W372" i="18" s="1"/>
  <c r="M372" i="18"/>
  <c r="T372" i="18" s="1"/>
  <c r="C372" i="18"/>
  <c r="D372" i="18" s="1"/>
  <c r="X371" i="18"/>
  <c r="V371" i="18"/>
  <c r="U371" i="18"/>
  <c r="S371" i="18"/>
  <c r="P371" i="18"/>
  <c r="W371" i="18" s="1"/>
  <c r="M371" i="18"/>
  <c r="T371" i="18" s="1"/>
  <c r="C371" i="18"/>
  <c r="D371" i="18" s="1"/>
  <c r="X370" i="18"/>
  <c r="V370" i="18"/>
  <c r="U370" i="18"/>
  <c r="T370" i="18"/>
  <c r="S370" i="18"/>
  <c r="P370" i="18"/>
  <c r="W370" i="18" s="1"/>
  <c r="M370" i="18"/>
  <c r="C370" i="18"/>
  <c r="D370" i="18" s="1"/>
  <c r="X369" i="18"/>
  <c r="V369" i="18"/>
  <c r="U369" i="18"/>
  <c r="T369" i="18"/>
  <c r="S369" i="18"/>
  <c r="P369" i="18"/>
  <c r="W369" i="18" s="1"/>
  <c r="M369" i="18"/>
  <c r="D369" i="18"/>
  <c r="C369" i="18"/>
  <c r="X368" i="18"/>
  <c r="V368" i="18"/>
  <c r="U368" i="18"/>
  <c r="S368" i="18"/>
  <c r="P368" i="18"/>
  <c r="W368" i="18" s="1"/>
  <c r="M368" i="18"/>
  <c r="T368" i="18" s="1"/>
  <c r="C368" i="18"/>
  <c r="D368" i="18" s="1"/>
  <c r="X367" i="18"/>
  <c r="V367" i="18"/>
  <c r="U367" i="18"/>
  <c r="S367" i="18"/>
  <c r="P367" i="18"/>
  <c r="W367" i="18" s="1"/>
  <c r="M367" i="18"/>
  <c r="T367" i="18" s="1"/>
  <c r="C367" i="18"/>
  <c r="D367" i="18" s="1"/>
  <c r="X366" i="18"/>
  <c r="V366" i="18"/>
  <c r="U366" i="18"/>
  <c r="T366" i="18"/>
  <c r="S366" i="18"/>
  <c r="P366" i="18"/>
  <c r="W366" i="18" s="1"/>
  <c r="M366" i="18"/>
  <c r="C366" i="18"/>
  <c r="D366" i="18" s="1"/>
  <c r="X365" i="18"/>
  <c r="V365" i="18"/>
  <c r="U365" i="18"/>
  <c r="T365" i="18"/>
  <c r="S365" i="18"/>
  <c r="P365" i="18"/>
  <c r="W365" i="18" s="1"/>
  <c r="M365" i="18"/>
  <c r="C365" i="18"/>
  <c r="D365" i="18" s="1"/>
  <c r="X364" i="18"/>
  <c r="V364" i="18"/>
  <c r="U364" i="18"/>
  <c r="S364" i="18"/>
  <c r="P364" i="18"/>
  <c r="W364" i="18" s="1"/>
  <c r="M364" i="18"/>
  <c r="T364" i="18" s="1"/>
  <c r="C364" i="18"/>
  <c r="D364" i="18" s="1"/>
  <c r="X363" i="18"/>
  <c r="V363" i="18"/>
  <c r="U363" i="18"/>
  <c r="S363" i="18"/>
  <c r="P363" i="18"/>
  <c r="W363" i="18" s="1"/>
  <c r="M363" i="18"/>
  <c r="T363" i="18" s="1"/>
  <c r="C363" i="18"/>
  <c r="D363" i="18" s="1"/>
  <c r="X362" i="18"/>
  <c r="V362" i="18"/>
  <c r="U362" i="18"/>
  <c r="T362" i="18"/>
  <c r="S362" i="18"/>
  <c r="P362" i="18"/>
  <c r="W362" i="18" s="1"/>
  <c r="M362" i="18"/>
  <c r="C362" i="18"/>
  <c r="D362" i="18" s="1"/>
  <c r="X361" i="18"/>
  <c r="V361" i="18"/>
  <c r="U361" i="18"/>
  <c r="T361" i="18"/>
  <c r="S361" i="18"/>
  <c r="P361" i="18"/>
  <c r="W361" i="18" s="1"/>
  <c r="M361" i="18"/>
  <c r="C361" i="18"/>
  <c r="D361" i="18" s="1"/>
  <c r="X360" i="18"/>
  <c r="V360" i="18"/>
  <c r="U360" i="18"/>
  <c r="S360" i="18"/>
  <c r="P360" i="18"/>
  <c r="W360" i="18" s="1"/>
  <c r="M360" i="18"/>
  <c r="T360" i="18" s="1"/>
  <c r="C360" i="18"/>
  <c r="D360" i="18" s="1"/>
  <c r="X359" i="18"/>
  <c r="V359" i="18"/>
  <c r="U359" i="18"/>
  <c r="S359" i="18"/>
  <c r="P359" i="18"/>
  <c r="W359" i="18" s="1"/>
  <c r="M359" i="18"/>
  <c r="T359" i="18" s="1"/>
  <c r="C359" i="18"/>
  <c r="D359" i="18" s="1"/>
  <c r="X358" i="18"/>
  <c r="V358" i="18"/>
  <c r="U358" i="18"/>
  <c r="S358" i="18"/>
  <c r="P358" i="18"/>
  <c r="W358" i="18" s="1"/>
  <c r="M358" i="18"/>
  <c r="T358" i="18" s="1"/>
  <c r="C358" i="18"/>
  <c r="D358" i="18" s="1"/>
  <c r="X357" i="18"/>
  <c r="V357" i="18"/>
  <c r="U357" i="18"/>
  <c r="S357" i="18"/>
  <c r="P357" i="18"/>
  <c r="W357" i="18" s="1"/>
  <c r="M357" i="18"/>
  <c r="T357" i="18" s="1"/>
  <c r="C357" i="18"/>
  <c r="D357" i="18" s="1"/>
  <c r="X356" i="18"/>
  <c r="V356" i="18"/>
  <c r="U356" i="18"/>
  <c r="S356" i="18"/>
  <c r="P356" i="18"/>
  <c r="W356" i="18" s="1"/>
  <c r="M356" i="18"/>
  <c r="T356" i="18" s="1"/>
  <c r="C356" i="18"/>
  <c r="D356" i="18" s="1"/>
  <c r="X355" i="18"/>
  <c r="V355" i="18"/>
  <c r="U355" i="18"/>
  <c r="S355" i="18"/>
  <c r="P355" i="18"/>
  <c r="W355" i="18" s="1"/>
  <c r="M355" i="18"/>
  <c r="T355" i="18" s="1"/>
  <c r="C355" i="18"/>
  <c r="D355" i="18" s="1"/>
  <c r="X354" i="18"/>
  <c r="V354" i="18"/>
  <c r="U354" i="18"/>
  <c r="T354" i="18"/>
  <c r="S354" i="18"/>
  <c r="P354" i="18"/>
  <c r="W354" i="18" s="1"/>
  <c r="M354" i="18"/>
  <c r="C354" i="18"/>
  <c r="D354" i="18" s="1"/>
  <c r="X353" i="18"/>
  <c r="V353" i="18"/>
  <c r="U353" i="18"/>
  <c r="T353" i="18"/>
  <c r="S353" i="18"/>
  <c r="P353" i="18"/>
  <c r="W353" i="18" s="1"/>
  <c r="M353" i="18"/>
  <c r="D353" i="18"/>
  <c r="C353" i="18"/>
  <c r="X352" i="18"/>
  <c r="V352" i="18"/>
  <c r="U352" i="18"/>
  <c r="S352" i="18"/>
  <c r="P352" i="18"/>
  <c r="W352" i="18" s="1"/>
  <c r="M352" i="18"/>
  <c r="T352" i="18" s="1"/>
  <c r="C352" i="18"/>
  <c r="D352" i="18" s="1"/>
  <c r="X351" i="18"/>
  <c r="V351" i="18"/>
  <c r="U351" i="18"/>
  <c r="S351" i="18"/>
  <c r="P351" i="18"/>
  <c r="W351" i="18" s="1"/>
  <c r="M351" i="18"/>
  <c r="T351" i="18" s="1"/>
  <c r="C351" i="18"/>
  <c r="D351" i="18" s="1"/>
  <c r="X350" i="18"/>
  <c r="V350" i="18"/>
  <c r="U350" i="18"/>
  <c r="T350" i="18"/>
  <c r="S350" i="18"/>
  <c r="P350" i="18"/>
  <c r="W350" i="18" s="1"/>
  <c r="M350" i="18"/>
  <c r="C350" i="18"/>
  <c r="D350" i="18" s="1"/>
  <c r="X349" i="18"/>
  <c r="V349" i="18"/>
  <c r="U349" i="18"/>
  <c r="T349" i="18"/>
  <c r="S349" i="18"/>
  <c r="P349" i="18"/>
  <c r="W349" i="18" s="1"/>
  <c r="M349" i="18"/>
  <c r="C349" i="18"/>
  <c r="D349" i="18" s="1"/>
  <c r="X348" i="18"/>
  <c r="V348" i="18"/>
  <c r="U348" i="18"/>
  <c r="S348" i="18"/>
  <c r="P348" i="18"/>
  <c r="W348" i="18" s="1"/>
  <c r="M348" i="18"/>
  <c r="T348" i="18" s="1"/>
  <c r="C348" i="18"/>
  <c r="D348" i="18" s="1"/>
  <c r="X347" i="18"/>
  <c r="V347" i="18"/>
  <c r="U347" i="18"/>
  <c r="S347" i="18"/>
  <c r="P347" i="18"/>
  <c r="W347" i="18" s="1"/>
  <c r="M347" i="18"/>
  <c r="T347" i="18" s="1"/>
  <c r="C347" i="18"/>
  <c r="D347" i="18" s="1"/>
  <c r="X346" i="18"/>
  <c r="V346" i="18"/>
  <c r="U346" i="18"/>
  <c r="T346" i="18"/>
  <c r="S346" i="18"/>
  <c r="P346" i="18"/>
  <c r="W346" i="18" s="1"/>
  <c r="M346" i="18"/>
  <c r="C346" i="18"/>
  <c r="D346" i="18" s="1"/>
  <c r="X345" i="18"/>
  <c r="V345" i="18"/>
  <c r="U345" i="18"/>
  <c r="T345" i="18"/>
  <c r="S345" i="18"/>
  <c r="P345" i="18"/>
  <c r="W345" i="18" s="1"/>
  <c r="M345" i="18"/>
  <c r="C345" i="18"/>
  <c r="D345" i="18" s="1"/>
  <c r="X344" i="18"/>
  <c r="V344" i="18"/>
  <c r="U344" i="18"/>
  <c r="S344" i="18"/>
  <c r="P344" i="18"/>
  <c r="W344" i="18" s="1"/>
  <c r="M344" i="18"/>
  <c r="T344" i="18" s="1"/>
  <c r="C344" i="18"/>
  <c r="D344" i="18" s="1"/>
  <c r="X343" i="18"/>
  <c r="V343" i="18"/>
  <c r="U343" i="18"/>
  <c r="S343" i="18"/>
  <c r="P343" i="18"/>
  <c r="W343" i="18" s="1"/>
  <c r="M343" i="18"/>
  <c r="T343" i="18" s="1"/>
  <c r="C343" i="18"/>
  <c r="D343" i="18" s="1"/>
  <c r="X342" i="18"/>
  <c r="V342" i="18"/>
  <c r="U342" i="18"/>
  <c r="S342" i="18"/>
  <c r="P342" i="18"/>
  <c r="W342" i="18" s="1"/>
  <c r="M342" i="18"/>
  <c r="T342" i="18" s="1"/>
  <c r="C342" i="18"/>
  <c r="D342" i="18" s="1"/>
  <c r="X341" i="18"/>
  <c r="V341" i="18"/>
  <c r="U341" i="18"/>
  <c r="S341" i="18"/>
  <c r="P341" i="18"/>
  <c r="W341" i="18" s="1"/>
  <c r="M341" i="18"/>
  <c r="T341" i="18" s="1"/>
  <c r="C341" i="18"/>
  <c r="D341" i="18" s="1"/>
  <c r="X340" i="18"/>
  <c r="V340" i="18"/>
  <c r="U340" i="18"/>
  <c r="S340" i="18"/>
  <c r="P340" i="18"/>
  <c r="W340" i="18" s="1"/>
  <c r="M340" i="18"/>
  <c r="T340" i="18" s="1"/>
  <c r="C340" i="18"/>
  <c r="D340" i="18" s="1"/>
  <c r="X339" i="18"/>
  <c r="V339" i="18"/>
  <c r="U339" i="18"/>
  <c r="S339" i="18"/>
  <c r="P339" i="18"/>
  <c r="W339" i="18" s="1"/>
  <c r="M339" i="18"/>
  <c r="T339" i="18" s="1"/>
  <c r="C339" i="18"/>
  <c r="D339" i="18" s="1"/>
  <c r="X338" i="18"/>
  <c r="V338" i="18"/>
  <c r="U338" i="18"/>
  <c r="T338" i="18"/>
  <c r="S338" i="18"/>
  <c r="P338" i="18"/>
  <c r="W338" i="18" s="1"/>
  <c r="M338" i="18"/>
  <c r="C338" i="18"/>
  <c r="D338" i="18" s="1"/>
  <c r="X337" i="18"/>
  <c r="V337" i="18"/>
  <c r="U337" i="18"/>
  <c r="T337" i="18"/>
  <c r="S337" i="18"/>
  <c r="P337" i="18"/>
  <c r="W337" i="18" s="1"/>
  <c r="M337" i="18"/>
  <c r="D337" i="18"/>
  <c r="C337" i="18"/>
  <c r="X336" i="18"/>
  <c r="V336" i="18"/>
  <c r="U336" i="18"/>
  <c r="S336" i="18"/>
  <c r="P336" i="18"/>
  <c r="W336" i="18" s="1"/>
  <c r="M336" i="18"/>
  <c r="T336" i="18" s="1"/>
  <c r="C336" i="18"/>
  <c r="D336" i="18" s="1"/>
  <c r="X335" i="18"/>
  <c r="V335" i="18"/>
  <c r="U335" i="18"/>
  <c r="S335" i="18"/>
  <c r="P335" i="18"/>
  <c r="W335" i="18" s="1"/>
  <c r="M335" i="18"/>
  <c r="T335" i="18" s="1"/>
  <c r="C335" i="18"/>
  <c r="D335" i="18" s="1"/>
  <c r="X334" i="18"/>
  <c r="V334" i="18"/>
  <c r="U334" i="18"/>
  <c r="T334" i="18"/>
  <c r="S334" i="18"/>
  <c r="P334" i="18"/>
  <c r="W334" i="18" s="1"/>
  <c r="M334" i="18"/>
  <c r="C334" i="18"/>
  <c r="D334" i="18" s="1"/>
  <c r="X333" i="18"/>
  <c r="V333" i="18"/>
  <c r="U333" i="18"/>
  <c r="T333" i="18"/>
  <c r="S333" i="18"/>
  <c r="P333" i="18"/>
  <c r="W333" i="18" s="1"/>
  <c r="M333" i="18"/>
  <c r="C333" i="18"/>
  <c r="D333" i="18" s="1"/>
  <c r="X332" i="18"/>
  <c r="V332" i="18"/>
  <c r="U332" i="18"/>
  <c r="S332" i="18"/>
  <c r="P332" i="18"/>
  <c r="W332" i="18" s="1"/>
  <c r="M332" i="18"/>
  <c r="T332" i="18" s="1"/>
  <c r="C332" i="18"/>
  <c r="D332" i="18" s="1"/>
  <c r="X331" i="18"/>
  <c r="V331" i="18"/>
  <c r="U331" i="18"/>
  <c r="S331" i="18"/>
  <c r="P331" i="18"/>
  <c r="W331" i="18" s="1"/>
  <c r="M331" i="18"/>
  <c r="T331" i="18" s="1"/>
  <c r="C331" i="18"/>
  <c r="D331" i="18" s="1"/>
  <c r="X330" i="18"/>
  <c r="V330" i="18"/>
  <c r="U330" i="18"/>
  <c r="T330" i="18"/>
  <c r="S330" i="18"/>
  <c r="P330" i="18"/>
  <c r="W330" i="18" s="1"/>
  <c r="M330" i="18"/>
  <c r="C330" i="18"/>
  <c r="D330" i="18" s="1"/>
  <c r="X329" i="18"/>
  <c r="V329" i="18"/>
  <c r="U329" i="18"/>
  <c r="T329" i="18"/>
  <c r="S329" i="18"/>
  <c r="P329" i="18"/>
  <c r="W329" i="18" s="1"/>
  <c r="M329" i="18"/>
  <c r="C329" i="18"/>
  <c r="D329" i="18" s="1"/>
  <c r="X328" i="18"/>
  <c r="V328" i="18"/>
  <c r="U328" i="18"/>
  <c r="S328" i="18"/>
  <c r="P328" i="18"/>
  <c r="W328" i="18" s="1"/>
  <c r="M328" i="18"/>
  <c r="T328" i="18" s="1"/>
  <c r="C328" i="18"/>
  <c r="D328" i="18" s="1"/>
  <c r="X327" i="18"/>
  <c r="V327" i="18"/>
  <c r="U327" i="18"/>
  <c r="S327" i="18"/>
  <c r="P327" i="18"/>
  <c r="W327" i="18" s="1"/>
  <c r="M327" i="18"/>
  <c r="T327" i="18" s="1"/>
  <c r="C327" i="18"/>
  <c r="D327" i="18" s="1"/>
  <c r="X326" i="18"/>
  <c r="V326" i="18"/>
  <c r="U326" i="18"/>
  <c r="S326" i="18"/>
  <c r="P326" i="18"/>
  <c r="W326" i="18" s="1"/>
  <c r="M326" i="18"/>
  <c r="T326" i="18" s="1"/>
  <c r="C326" i="18"/>
  <c r="D326" i="18" s="1"/>
  <c r="X325" i="18"/>
  <c r="V325" i="18"/>
  <c r="U325" i="18"/>
  <c r="S325" i="18"/>
  <c r="P325" i="18"/>
  <c r="W325" i="18" s="1"/>
  <c r="M325" i="18"/>
  <c r="T325" i="18" s="1"/>
  <c r="C325" i="18"/>
  <c r="D325" i="18" s="1"/>
  <c r="X324" i="18"/>
  <c r="V324" i="18"/>
  <c r="U324" i="18"/>
  <c r="S324" i="18"/>
  <c r="P324" i="18"/>
  <c r="W324" i="18" s="1"/>
  <c r="M324" i="18"/>
  <c r="T324" i="18" s="1"/>
  <c r="C324" i="18"/>
  <c r="D324" i="18" s="1"/>
  <c r="X323" i="18"/>
  <c r="V323" i="18"/>
  <c r="U323" i="18"/>
  <c r="S323" i="18"/>
  <c r="P323" i="18"/>
  <c r="W323" i="18" s="1"/>
  <c r="M323" i="18"/>
  <c r="T323" i="18" s="1"/>
  <c r="C323" i="18"/>
  <c r="D323" i="18" s="1"/>
  <c r="X322" i="18"/>
  <c r="V322" i="18"/>
  <c r="U322" i="18"/>
  <c r="T322" i="18"/>
  <c r="S322" i="18"/>
  <c r="P322" i="18"/>
  <c r="W322" i="18" s="1"/>
  <c r="M322" i="18"/>
  <c r="C322" i="18"/>
  <c r="D322" i="18" s="1"/>
  <c r="X321" i="18"/>
  <c r="V321" i="18"/>
  <c r="U321" i="18"/>
  <c r="T321" i="18"/>
  <c r="S321" i="18"/>
  <c r="P321" i="18"/>
  <c r="W321" i="18" s="1"/>
  <c r="M321" i="18"/>
  <c r="D321" i="18"/>
  <c r="C321" i="18"/>
  <c r="X320" i="18"/>
  <c r="V320" i="18"/>
  <c r="U320" i="18"/>
  <c r="S320" i="18"/>
  <c r="P320" i="18"/>
  <c r="W320" i="18" s="1"/>
  <c r="M320" i="18"/>
  <c r="T320" i="18" s="1"/>
  <c r="C320" i="18"/>
  <c r="D320" i="18" s="1"/>
  <c r="X319" i="18"/>
  <c r="V319" i="18"/>
  <c r="U319" i="18"/>
  <c r="S319" i="18"/>
  <c r="P319" i="18"/>
  <c r="W319" i="18" s="1"/>
  <c r="M319" i="18"/>
  <c r="T319" i="18" s="1"/>
  <c r="C319" i="18"/>
  <c r="D319" i="18" s="1"/>
  <c r="X318" i="18"/>
  <c r="V318" i="18"/>
  <c r="U318" i="18"/>
  <c r="T318" i="18"/>
  <c r="S318" i="18"/>
  <c r="P318" i="18"/>
  <c r="W318" i="18" s="1"/>
  <c r="M318" i="18"/>
  <c r="C318" i="18"/>
  <c r="D318" i="18" s="1"/>
  <c r="X317" i="18"/>
  <c r="V317" i="18"/>
  <c r="U317" i="18"/>
  <c r="T317" i="18"/>
  <c r="S317" i="18"/>
  <c r="P317" i="18"/>
  <c r="W317" i="18" s="1"/>
  <c r="M317" i="18"/>
  <c r="C317" i="18"/>
  <c r="D317" i="18" s="1"/>
  <c r="X316" i="18"/>
  <c r="V316" i="18"/>
  <c r="U316" i="18"/>
  <c r="S316" i="18"/>
  <c r="P316" i="18"/>
  <c r="W316" i="18" s="1"/>
  <c r="M316" i="18"/>
  <c r="T316" i="18" s="1"/>
  <c r="C316" i="18"/>
  <c r="D316" i="18" s="1"/>
  <c r="X315" i="18"/>
  <c r="V315" i="18"/>
  <c r="U315" i="18"/>
  <c r="S315" i="18"/>
  <c r="P315" i="18"/>
  <c r="W315" i="18" s="1"/>
  <c r="M315" i="18"/>
  <c r="T315" i="18" s="1"/>
  <c r="C315" i="18"/>
  <c r="D315" i="18" s="1"/>
  <c r="X314" i="18"/>
  <c r="V314" i="18"/>
  <c r="U314" i="18"/>
  <c r="T314" i="18"/>
  <c r="S314" i="18"/>
  <c r="P314" i="18"/>
  <c r="W314" i="18" s="1"/>
  <c r="M314" i="18"/>
  <c r="C314" i="18"/>
  <c r="D314" i="18" s="1"/>
  <c r="X313" i="18"/>
  <c r="V313" i="18"/>
  <c r="U313" i="18"/>
  <c r="T313" i="18"/>
  <c r="S313" i="18"/>
  <c r="P313" i="18"/>
  <c r="W313" i="18" s="1"/>
  <c r="M313" i="18"/>
  <c r="C313" i="18"/>
  <c r="D313" i="18" s="1"/>
  <c r="X312" i="18"/>
  <c r="V312" i="18"/>
  <c r="U312" i="18"/>
  <c r="S312" i="18"/>
  <c r="P312" i="18"/>
  <c r="W312" i="18" s="1"/>
  <c r="M312" i="18"/>
  <c r="T312" i="18" s="1"/>
  <c r="C312" i="18"/>
  <c r="D312" i="18" s="1"/>
  <c r="X311" i="18"/>
  <c r="V311" i="18"/>
  <c r="U311" i="18"/>
  <c r="S311" i="18"/>
  <c r="P311" i="18"/>
  <c r="W311" i="18" s="1"/>
  <c r="M311" i="18"/>
  <c r="T311" i="18" s="1"/>
  <c r="C311" i="18"/>
  <c r="D311" i="18" s="1"/>
  <c r="X310" i="18"/>
  <c r="V310" i="18"/>
  <c r="U310" i="18"/>
  <c r="S310" i="18"/>
  <c r="P310" i="18"/>
  <c r="W310" i="18" s="1"/>
  <c r="M310" i="18"/>
  <c r="T310" i="18" s="1"/>
  <c r="C310" i="18"/>
  <c r="D310" i="18" s="1"/>
  <c r="X309" i="18"/>
  <c r="V309" i="18"/>
  <c r="U309" i="18"/>
  <c r="S309" i="18"/>
  <c r="P309" i="18"/>
  <c r="W309" i="18" s="1"/>
  <c r="M309" i="18"/>
  <c r="T309" i="18" s="1"/>
  <c r="C309" i="18"/>
  <c r="D309" i="18" s="1"/>
  <c r="X308" i="18"/>
  <c r="V308" i="18"/>
  <c r="U308" i="18"/>
  <c r="S308" i="18"/>
  <c r="P308" i="18"/>
  <c r="W308" i="18" s="1"/>
  <c r="M308" i="18"/>
  <c r="T308" i="18" s="1"/>
  <c r="C308" i="18"/>
  <c r="D308" i="18" s="1"/>
  <c r="X307" i="18"/>
  <c r="V307" i="18"/>
  <c r="U307" i="18"/>
  <c r="S307" i="18"/>
  <c r="P307" i="18"/>
  <c r="W307" i="18" s="1"/>
  <c r="M307" i="18"/>
  <c r="T307" i="18" s="1"/>
  <c r="C307" i="18"/>
  <c r="D307" i="18" s="1"/>
  <c r="X306" i="18"/>
  <c r="V306" i="18"/>
  <c r="U306" i="18"/>
  <c r="T306" i="18"/>
  <c r="S306" i="18"/>
  <c r="P306" i="18"/>
  <c r="W306" i="18" s="1"/>
  <c r="M306" i="18"/>
  <c r="C306" i="18"/>
  <c r="D306" i="18" s="1"/>
  <c r="X305" i="18"/>
  <c r="V305" i="18"/>
  <c r="U305" i="18"/>
  <c r="T305" i="18"/>
  <c r="S305" i="18"/>
  <c r="P305" i="18"/>
  <c r="W305" i="18" s="1"/>
  <c r="M305" i="18"/>
  <c r="D305" i="18"/>
  <c r="C305" i="18"/>
  <c r="X304" i="18"/>
  <c r="V304" i="18"/>
  <c r="U304" i="18"/>
  <c r="S304" i="18"/>
  <c r="P304" i="18"/>
  <c r="W304" i="18" s="1"/>
  <c r="M304" i="18"/>
  <c r="T304" i="18" s="1"/>
  <c r="C304" i="18"/>
  <c r="D304" i="18" s="1"/>
  <c r="X303" i="18"/>
  <c r="V303" i="18"/>
  <c r="U303" i="18"/>
  <c r="S303" i="18"/>
  <c r="P303" i="18"/>
  <c r="W303" i="18" s="1"/>
  <c r="M303" i="18"/>
  <c r="T303" i="18" s="1"/>
  <c r="C303" i="18"/>
  <c r="D303" i="18" s="1"/>
  <c r="X302" i="18"/>
  <c r="V302" i="18"/>
  <c r="U302" i="18"/>
  <c r="T302" i="18"/>
  <c r="S302" i="18"/>
  <c r="P302" i="18"/>
  <c r="W302" i="18" s="1"/>
  <c r="M302" i="18"/>
  <c r="C302" i="18"/>
  <c r="D302" i="18" s="1"/>
  <c r="X301" i="18"/>
  <c r="V301" i="18"/>
  <c r="U301" i="18"/>
  <c r="T301" i="18"/>
  <c r="S301" i="18"/>
  <c r="P301" i="18"/>
  <c r="W301" i="18" s="1"/>
  <c r="M301" i="18"/>
  <c r="C301" i="18"/>
  <c r="D301" i="18" s="1"/>
  <c r="X300" i="18"/>
  <c r="V300" i="18"/>
  <c r="U300" i="18"/>
  <c r="S300" i="18"/>
  <c r="P300" i="18"/>
  <c r="W300" i="18" s="1"/>
  <c r="M300" i="18"/>
  <c r="T300" i="18" s="1"/>
  <c r="C300" i="18"/>
  <c r="D300" i="18" s="1"/>
  <c r="X299" i="18"/>
  <c r="V299" i="18"/>
  <c r="U299" i="18"/>
  <c r="S299" i="18"/>
  <c r="P299" i="18"/>
  <c r="W299" i="18" s="1"/>
  <c r="M299" i="18"/>
  <c r="T299" i="18" s="1"/>
  <c r="C299" i="18"/>
  <c r="D299" i="18" s="1"/>
  <c r="X298" i="18"/>
  <c r="V298" i="18"/>
  <c r="U298" i="18"/>
  <c r="T298" i="18"/>
  <c r="S298" i="18"/>
  <c r="P298" i="18"/>
  <c r="W298" i="18" s="1"/>
  <c r="M298" i="18"/>
  <c r="C298" i="18"/>
  <c r="D298" i="18" s="1"/>
  <c r="X297" i="18"/>
  <c r="V297" i="18"/>
  <c r="U297" i="18"/>
  <c r="T297" i="18"/>
  <c r="S297" i="18"/>
  <c r="P297" i="18"/>
  <c r="W297" i="18" s="1"/>
  <c r="M297" i="18"/>
  <c r="C297" i="18"/>
  <c r="D297" i="18" s="1"/>
  <c r="X296" i="18"/>
  <c r="V296" i="18"/>
  <c r="U296" i="18"/>
  <c r="S296" i="18"/>
  <c r="P296" i="18"/>
  <c r="W296" i="18" s="1"/>
  <c r="M296" i="18"/>
  <c r="T296" i="18" s="1"/>
  <c r="C296" i="18"/>
  <c r="D296" i="18" s="1"/>
  <c r="X295" i="18"/>
  <c r="V295" i="18"/>
  <c r="U295" i="18"/>
  <c r="S295" i="18"/>
  <c r="P295" i="18"/>
  <c r="W295" i="18" s="1"/>
  <c r="M295" i="18"/>
  <c r="T295" i="18" s="1"/>
  <c r="C295" i="18"/>
  <c r="D295" i="18" s="1"/>
  <c r="X294" i="18"/>
  <c r="V294" i="18"/>
  <c r="U294" i="18"/>
  <c r="S294" i="18"/>
  <c r="P294" i="18"/>
  <c r="W294" i="18" s="1"/>
  <c r="M294" i="18"/>
  <c r="T294" i="18" s="1"/>
  <c r="C294" i="18"/>
  <c r="D294" i="18" s="1"/>
  <c r="X293" i="18"/>
  <c r="V293" i="18"/>
  <c r="U293" i="18"/>
  <c r="S293" i="18"/>
  <c r="P293" i="18"/>
  <c r="W293" i="18" s="1"/>
  <c r="M293" i="18"/>
  <c r="T293" i="18" s="1"/>
  <c r="C293" i="18"/>
  <c r="D293" i="18" s="1"/>
  <c r="X292" i="18"/>
  <c r="V292" i="18"/>
  <c r="U292" i="18"/>
  <c r="S292" i="18"/>
  <c r="P292" i="18"/>
  <c r="W292" i="18" s="1"/>
  <c r="M292" i="18"/>
  <c r="T292" i="18" s="1"/>
  <c r="C292" i="18"/>
  <c r="D292" i="18" s="1"/>
  <c r="X291" i="18"/>
  <c r="V291" i="18"/>
  <c r="U291" i="18"/>
  <c r="S291" i="18"/>
  <c r="P291" i="18"/>
  <c r="W291" i="18" s="1"/>
  <c r="M291" i="18"/>
  <c r="T291" i="18" s="1"/>
  <c r="C291" i="18"/>
  <c r="D291" i="18" s="1"/>
  <c r="X290" i="18"/>
  <c r="V290" i="18"/>
  <c r="U290" i="18"/>
  <c r="T290" i="18"/>
  <c r="S290" i="18"/>
  <c r="P290" i="18"/>
  <c r="W290" i="18" s="1"/>
  <c r="M290" i="18"/>
  <c r="C290" i="18"/>
  <c r="D290" i="18" s="1"/>
  <c r="X289" i="18"/>
  <c r="V289" i="18"/>
  <c r="U289" i="18"/>
  <c r="T289" i="18"/>
  <c r="S289" i="18"/>
  <c r="P289" i="18"/>
  <c r="W289" i="18" s="1"/>
  <c r="M289" i="18"/>
  <c r="D289" i="18"/>
  <c r="C289" i="18"/>
  <c r="X288" i="18"/>
  <c r="V288" i="18"/>
  <c r="U288" i="18"/>
  <c r="S288" i="18"/>
  <c r="P288" i="18"/>
  <c r="W288" i="18" s="1"/>
  <c r="M288" i="18"/>
  <c r="T288" i="18" s="1"/>
  <c r="C288" i="18"/>
  <c r="D288" i="18" s="1"/>
  <c r="X287" i="18"/>
  <c r="V287" i="18"/>
  <c r="U287" i="18"/>
  <c r="S287" i="18"/>
  <c r="P287" i="18"/>
  <c r="W287" i="18" s="1"/>
  <c r="M287" i="18"/>
  <c r="T287" i="18" s="1"/>
  <c r="C287" i="18"/>
  <c r="D287" i="18" s="1"/>
  <c r="X286" i="18"/>
  <c r="V286" i="18"/>
  <c r="U286" i="18"/>
  <c r="S286" i="18"/>
  <c r="P286" i="18"/>
  <c r="W286" i="18" s="1"/>
  <c r="M286" i="18"/>
  <c r="T286" i="18" s="1"/>
  <c r="C286" i="18"/>
  <c r="D286" i="18" s="1"/>
  <c r="X285" i="18"/>
  <c r="V285" i="18"/>
  <c r="U285" i="18"/>
  <c r="S285" i="18"/>
  <c r="P285" i="18"/>
  <c r="W285" i="18" s="1"/>
  <c r="M285" i="18"/>
  <c r="T285" i="18" s="1"/>
  <c r="C285" i="18"/>
  <c r="D285" i="18" s="1"/>
  <c r="X284" i="18"/>
  <c r="V284" i="18"/>
  <c r="U284" i="18"/>
  <c r="S284" i="18"/>
  <c r="P284" i="18"/>
  <c r="W284" i="18" s="1"/>
  <c r="M284" i="18"/>
  <c r="T284" i="18" s="1"/>
  <c r="C284" i="18"/>
  <c r="D284" i="18" s="1"/>
  <c r="X283" i="18"/>
  <c r="V283" i="18"/>
  <c r="U283" i="18"/>
  <c r="S283" i="18"/>
  <c r="P283" i="18"/>
  <c r="W283" i="18" s="1"/>
  <c r="M283" i="18"/>
  <c r="T283" i="18" s="1"/>
  <c r="C283" i="18"/>
  <c r="D283" i="18" s="1"/>
  <c r="X282" i="18"/>
  <c r="V282" i="18"/>
  <c r="U282" i="18"/>
  <c r="T282" i="18"/>
  <c r="S282" i="18"/>
  <c r="P282" i="18"/>
  <c r="W282" i="18" s="1"/>
  <c r="M282" i="18"/>
  <c r="C282" i="18"/>
  <c r="D282" i="18" s="1"/>
  <c r="X281" i="18"/>
  <c r="V281" i="18"/>
  <c r="U281" i="18"/>
  <c r="T281" i="18"/>
  <c r="S281" i="18"/>
  <c r="P281" i="18"/>
  <c r="W281" i="18" s="1"/>
  <c r="M281" i="18"/>
  <c r="D281" i="18"/>
  <c r="C281" i="18"/>
  <c r="X280" i="18"/>
  <c r="V280" i="18"/>
  <c r="U280" i="18"/>
  <c r="S280" i="18"/>
  <c r="P280" i="18"/>
  <c r="W280" i="18" s="1"/>
  <c r="M280" i="18"/>
  <c r="T280" i="18" s="1"/>
  <c r="C280" i="18"/>
  <c r="D280" i="18" s="1"/>
  <c r="X279" i="18"/>
  <c r="V279" i="18"/>
  <c r="U279" i="18"/>
  <c r="S279" i="18"/>
  <c r="P279" i="18"/>
  <c r="W279" i="18" s="1"/>
  <c r="M279" i="18"/>
  <c r="T279" i="18" s="1"/>
  <c r="C279" i="18"/>
  <c r="D279" i="18" s="1"/>
  <c r="X278" i="18"/>
  <c r="V278" i="18"/>
  <c r="U278" i="18"/>
  <c r="S278" i="18"/>
  <c r="P278" i="18"/>
  <c r="W278" i="18" s="1"/>
  <c r="M278" i="18"/>
  <c r="T278" i="18" s="1"/>
  <c r="C278" i="18"/>
  <c r="D278" i="18" s="1"/>
  <c r="X277" i="18"/>
  <c r="V277" i="18"/>
  <c r="U277" i="18"/>
  <c r="S277" i="18"/>
  <c r="P277" i="18"/>
  <c r="W277" i="18" s="1"/>
  <c r="M277" i="18"/>
  <c r="T277" i="18" s="1"/>
  <c r="C277" i="18"/>
  <c r="D277" i="18" s="1"/>
  <c r="X276" i="18"/>
  <c r="V276" i="18"/>
  <c r="U276" i="18"/>
  <c r="S276" i="18"/>
  <c r="P276" i="18"/>
  <c r="W276" i="18" s="1"/>
  <c r="M276" i="18"/>
  <c r="T276" i="18" s="1"/>
  <c r="C276" i="18"/>
  <c r="D276" i="18" s="1"/>
  <c r="X275" i="18"/>
  <c r="V275" i="18"/>
  <c r="U275" i="18"/>
  <c r="S275" i="18"/>
  <c r="P275" i="18"/>
  <c r="W275" i="18" s="1"/>
  <c r="M275" i="18"/>
  <c r="T275" i="18" s="1"/>
  <c r="C275" i="18"/>
  <c r="D275" i="18" s="1"/>
  <c r="X274" i="18"/>
  <c r="V274" i="18"/>
  <c r="U274" i="18"/>
  <c r="T274" i="18"/>
  <c r="S274" i="18"/>
  <c r="P274" i="18"/>
  <c r="W274" i="18" s="1"/>
  <c r="M274" i="18"/>
  <c r="C274" i="18"/>
  <c r="D274" i="18" s="1"/>
  <c r="X273" i="18"/>
  <c r="V273" i="18"/>
  <c r="U273" i="18"/>
  <c r="T273" i="18"/>
  <c r="S273" i="18"/>
  <c r="P273" i="18"/>
  <c r="W273" i="18" s="1"/>
  <c r="M273" i="18"/>
  <c r="D273" i="18"/>
  <c r="C273" i="18"/>
  <c r="X272" i="18"/>
  <c r="V272" i="18"/>
  <c r="U272" i="18"/>
  <c r="S272" i="18"/>
  <c r="P272" i="18"/>
  <c r="W272" i="18" s="1"/>
  <c r="M272" i="18"/>
  <c r="T272" i="18" s="1"/>
  <c r="C272" i="18"/>
  <c r="D272" i="18" s="1"/>
  <c r="X271" i="18"/>
  <c r="V271" i="18"/>
  <c r="U271" i="18"/>
  <c r="S271" i="18"/>
  <c r="P271" i="18"/>
  <c r="W271" i="18" s="1"/>
  <c r="M271" i="18"/>
  <c r="T271" i="18" s="1"/>
  <c r="C271" i="18"/>
  <c r="D271" i="18" s="1"/>
  <c r="X270" i="18"/>
  <c r="V270" i="18"/>
  <c r="U270" i="18"/>
  <c r="S270" i="18"/>
  <c r="P270" i="18"/>
  <c r="W270" i="18" s="1"/>
  <c r="M270" i="18"/>
  <c r="T270" i="18" s="1"/>
  <c r="C270" i="18"/>
  <c r="D270" i="18" s="1"/>
  <c r="X269" i="18"/>
  <c r="V269" i="18"/>
  <c r="U269" i="18"/>
  <c r="T269" i="18"/>
  <c r="S269" i="18"/>
  <c r="P269" i="18"/>
  <c r="W269" i="18" s="1"/>
  <c r="M269" i="18"/>
  <c r="D269" i="18"/>
  <c r="C269" i="18"/>
  <c r="X268" i="18"/>
  <c r="V268" i="18"/>
  <c r="U268" i="18"/>
  <c r="S268" i="18"/>
  <c r="P268" i="18"/>
  <c r="W268" i="18" s="1"/>
  <c r="M268" i="18"/>
  <c r="T268" i="18" s="1"/>
  <c r="C268" i="18"/>
  <c r="D268" i="18" s="1"/>
  <c r="X267" i="18"/>
  <c r="V267" i="18"/>
  <c r="U267" i="18"/>
  <c r="S267" i="18"/>
  <c r="P267" i="18"/>
  <c r="W267" i="18" s="1"/>
  <c r="M267" i="18"/>
  <c r="T267" i="18" s="1"/>
  <c r="C267" i="18"/>
  <c r="D267" i="18" s="1"/>
  <c r="X266" i="18"/>
  <c r="V266" i="18"/>
  <c r="U266" i="18"/>
  <c r="S266" i="18"/>
  <c r="P266" i="18"/>
  <c r="W266" i="18" s="1"/>
  <c r="M266" i="18"/>
  <c r="T266" i="18" s="1"/>
  <c r="C266" i="18"/>
  <c r="D266" i="18" s="1"/>
  <c r="X265" i="18"/>
  <c r="V265" i="18"/>
  <c r="U265" i="18"/>
  <c r="S265" i="18"/>
  <c r="P265" i="18"/>
  <c r="W265" i="18" s="1"/>
  <c r="M265" i="18"/>
  <c r="T265" i="18" s="1"/>
  <c r="C265" i="18"/>
  <c r="D265" i="18" s="1"/>
  <c r="X264" i="18"/>
  <c r="V264" i="18"/>
  <c r="U264" i="18"/>
  <c r="S264" i="18"/>
  <c r="P264" i="18"/>
  <c r="W264" i="18" s="1"/>
  <c r="M264" i="18"/>
  <c r="T264" i="18" s="1"/>
  <c r="C264" i="18"/>
  <c r="D264" i="18" s="1"/>
  <c r="X263" i="18"/>
  <c r="V263" i="18"/>
  <c r="U263" i="18"/>
  <c r="S263" i="18"/>
  <c r="P263" i="18"/>
  <c r="W263" i="18" s="1"/>
  <c r="M263" i="18"/>
  <c r="T263" i="18" s="1"/>
  <c r="C263" i="18"/>
  <c r="D263" i="18" s="1"/>
  <c r="X262" i="18"/>
  <c r="V262" i="18"/>
  <c r="U262" i="18"/>
  <c r="S262" i="18"/>
  <c r="P262" i="18"/>
  <c r="W262" i="18" s="1"/>
  <c r="M262" i="18"/>
  <c r="T262" i="18" s="1"/>
  <c r="C262" i="18"/>
  <c r="D262" i="18" s="1"/>
  <c r="X261" i="18"/>
  <c r="V261" i="18"/>
  <c r="U261" i="18"/>
  <c r="T261" i="18"/>
  <c r="S261" i="18"/>
  <c r="P261" i="18"/>
  <c r="W261" i="18" s="1"/>
  <c r="M261" i="18"/>
  <c r="D261" i="18"/>
  <c r="C261" i="18"/>
  <c r="X260" i="18"/>
  <c r="V260" i="18"/>
  <c r="U260" i="18"/>
  <c r="S260" i="18"/>
  <c r="P260" i="18"/>
  <c r="W260" i="18" s="1"/>
  <c r="M260" i="18"/>
  <c r="T260" i="18" s="1"/>
  <c r="C260" i="18"/>
  <c r="D260" i="18" s="1"/>
  <c r="X259" i="18"/>
  <c r="V259" i="18"/>
  <c r="U259" i="18"/>
  <c r="S259" i="18"/>
  <c r="P259" i="18"/>
  <c r="W259" i="18" s="1"/>
  <c r="M259" i="18"/>
  <c r="T259" i="18" s="1"/>
  <c r="C259" i="18"/>
  <c r="D259" i="18" s="1"/>
  <c r="X258" i="18"/>
  <c r="V258" i="18"/>
  <c r="U258" i="18"/>
  <c r="S258" i="18"/>
  <c r="P258" i="18"/>
  <c r="W258" i="18" s="1"/>
  <c r="M258" i="18"/>
  <c r="T258" i="18" s="1"/>
  <c r="C258" i="18"/>
  <c r="D258" i="18" s="1"/>
  <c r="X257" i="18"/>
  <c r="V257" i="18"/>
  <c r="U257" i="18"/>
  <c r="S257" i="18"/>
  <c r="P257" i="18"/>
  <c r="W257" i="18" s="1"/>
  <c r="M257" i="18"/>
  <c r="T257" i="18" s="1"/>
  <c r="C257" i="18"/>
  <c r="D257" i="18" s="1"/>
  <c r="X256" i="18"/>
  <c r="V256" i="18"/>
  <c r="U256" i="18"/>
  <c r="S256" i="18"/>
  <c r="P256" i="18"/>
  <c r="W256" i="18" s="1"/>
  <c r="M256" i="18"/>
  <c r="T256" i="18" s="1"/>
  <c r="C256" i="18"/>
  <c r="D256" i="18" s="1"/>
  <c r="X255" i="18"/>
  <c r="V255" i="18"/>
  <c r="U255" i="18"/>
  <c r="S255" i="18"/>
  <c r="P255" i="18"/>
  <c r="W255" i="18" s="1"/>
  <c r="M255" i="18"/>
  <c r="T255" i="18" s="1"/>
  <c r="C255" i="18"/>
  <c r="D255" i="18" s="1"/>
  <c r="X254" i="18"/>
  <c r="V254" i="18"/>
  <c r="U254" i="18"/>
  <c r="S254" i="18"/>
  <c r="P254" i="18"/>
  <c r="W254" i="18" s="1"/>
  <c r="M254" i="18"/>
  <c r="T254" i="18" s="1"/>
  <c r="C254" i="18"/>
  <c r="D254" i="18" s="1"/>
  <c r="X253" i="18"/>
  <c r="V253" i="18"/>
  <c r="U253" i="18"/>
  <c r="T253" i="18"/>
  <c r="S253" i="18"/>
  <c r="P253" i="18"/>
  <c r="W253" i="18" s="1"/>
  <c r="M253" i="18"/>
  <c r="D253" i="18"/>
  <c r="C253" i="18"/>
  <c r="X252" i="18"/>
  <c r="V252" i="18"/>
  <c r="U252" i="18"/>
  <c r="S252" i="18"/>
  <c r="P252" i="18"/>
  <c r="W252" i="18" s="1"/>
  <c r="M252" i="18"/>
  <c r="T252" i="18" s="1"/>
  <c r="C252" i="18"/>
  <c r="D252" i="18" s="1"/>
  <c r="X251" i="18"/>
  <c r="V251" i="18"/>
  <c r="U251" i="18"/>
  <c r="S251" i="18"/>
  <c r="P251" i="18"/>
  <c r="W251" i="18" s="1"/>
  <c r="M251" i="18"/>
  <c r="T251" i="18" s="1"/>
  <c r="C251" i="18"/>
  <c r="D251" i="18" s="1"/>
  <c r="X250" i="18"/>
  <c r="V250" i="18"/>
  <c r="U250" i="18"/>
  <c r="S250" i="18"/>
  <c r="P250" i="18"/>
  <c r="W250" i="18" s="1"/>
  <c r="M250" i="18"/>
  <c r="T250" i="18" s="1"/>
  <c r="C250" i="18"/>
  <c r="D250" i="18" s="1"/>
  <c r="X249" i="18"/>
  <c r="V249" i="18"/>
  <c r="U249" i="18"/>
  <c r="S249" i="18"/>
  <c r="P249" i="18"/>
  <c r="W249" i="18" s="1"/>
  <c r="M249" i="18"/>
  <c r="T249" i="18" s="1"/>
  <c r="C249" i="18"/>
  <c r="D249" i="18" s="1"/>
  <c r="X248" i="18"/>
  <c r="V248" i="18"/>
  <c r="U248" i="18"/>
  <c r="S248" i="18"/>
  <c r="P248" i="18"/>
  <c r="W248" i="18" s="1"/>
  <c r="M248" i="18"/>
  <c r="T248" i="18" s="1"/>
  <c r="C248" i="18"/>
  <c r="D248" i="18" s="1"/>
  <c r="X247" i="18"/>
  <c r="V247" i="18"/>
  <c r="U247" i="18"/>
  <c r="S247" i="18"/>
  <c r="P247" i="18"/>
  <c r="W247" i="18" s="1"/>
  <c r="M247" i="18"/>
  <c r="T247" i="18" s="1"/>
  <c r="C247" i="18"/>
  <c r="D247" i="18" s="1"/>
  <c r="X246" i="18"/>
  <c r="V246" i="18"/>
  <c r="U246" i="18"/>
  <c r="S246" i="18"/>
  <c r="P246" i="18"/>
  <c r="W246" i="18" s="1"/>
  <c r="M246" i="18"/>
  <c r="T246" i="18" s="1"/>
  <c r="C246" i="18"/>
  <c r="D246" i="18" s="1"/>
  <c r="X245" i="18"/>
  <c r="V245" i="18"/>
  <c r="U245" i="18"/>
  <c r="T245" i="18"/>
  <c r="S245" i="18"/>
  <c r="P245" i="18"/>
  <c r="W245" i="18" s="1"/>
  <c r="M245" i="18"/>
  <c r="D245" i="18"/>
  <c r="C245" i="18"/>
  <c r="X244" i="18"/>
  <c r="V244" i="18"/>
  <c r="U244" i="18"/>
  <c r="S244" i="18"/>
  <c r="P244" i="18"/>
  <c r="W244" i="18" s="1"/>
  <c r="M244" i="18"/>
  <c r="T244" i="18" s="1"/>
  <c r="C244" i="18"/>
  <c r="D244" i="18" s="1"/>
  <c r="X243" i="18"/>
  <c r="V243" i="18"/>
  <c r="U243" i="18"/>
  <c r="S243" i="18"/>
  <c r="P243" i="18"/>
  <c r="W243" i="18" s="1"/>
  <c r="M243" i="18"/>
  <c r="T243" i="18" s="1"/>
  <c r="C243" i="18"/>
  <c r="D243" i="18" s="1"/>
  <c r="X242" i="18"/>
  <c r="V242" i="18"/>
  <c r="U242" i="18"/>
  <c r="S242" i="18"/>
  <c r="P242" i="18"/>
  <c r="W242" i="18" s="1"/>
  <c r="M242" i="18"/>
  <c r="T242" i="18" s="1"/>
  <c r="C242" i="18"/>
  <c r="D242" i="18" s="1"/>
  <c r="X241" i="18"/>
  <c r="V241" i="18"/>
  <c r="U241" i="18"/>
  <c r="S241" i="18"/>
  <c r="P241" i="18"/>
  <c r="W241" i="18" s="1"/>
  <c r="M241" i="18"/>
  <c r="T241" i="18" s="1"/>
  <c r="C241" i="18"/>
  <c r="D241" i="18" s="1"/>
  <c r="X240" i="18"/>
  <c r="V240" i="18"/>
  <c r="U240" i="18"/>
  <c r="S240" i="18"/>
  <c r="P240" i="18"/>
  <c r="W240" i="18" s="1"/>
  <c r="M240" i="18"/>
  <c r="T240" i="18" s="1"/>
  <c r="C240" i="18"/>
  <c r="D240" i="18" s="1"/>
  <c r="X239" i="18"/>
  <c r="V239" i="18"/>
  <c r="U239" i="18"/>
  <c r="S239" i="18"/>
  <c r="P239" i="18"/>
  <c r="W239" i="18" s="1"/>
  <c r="M239" i="18"/>
  <c r="T239" i="18" s="1"/>
  <c r="C239" i="18"/>
  <c r="D239" i="18" s="1"/>
  <c r="X238" i="18"/>
  <c r="V238" i="18"/>
  <c r="U238" i="18"/>
  <c r="S238" i="18"/>
  <c r="P238" i="18"/>
  <c r="W238" i="18" s="1"/>
  <c r="M238" i="18"/>
  <c r="T238" i="18" s="1"/>
  <c r="C238" i="18"/>
  <c r="D238" i="18" s="1"/>
  <c r="X237" i="18"/>
  <c r="V237" i="18"/>
  <c r="U237" i="18"/>
  <c r="T237" i="18"/>
  <c r="S237" i="18"/>
  <c r="P237" i="18"/>
  <c r="W237" i="18" s="1"/>
  <c r="M237" i="18"/>
  <c r="D237" i="18"/>
  <c r="C237" i="18"/>
  <c r="X236" i="18"/>
  <c r="V236" i="18"/>
  <c r="U236" i="18"/>
  <c r="S236" i="18"/>
  <c r="P236" i="18"/>
  <c r="W236" i="18" s="1"/>
  <c r="M236" i="18"/>
  <c r="T236" i="18" s="1"/>
  <c r="C236" i="18"/>
  <c r="D236" i="18" s="1"/>
  <c r="X235" i="18"/>
  <c r="V235" i="18"/>
  <c r="U235" i="18"/>
  <c r="S235" i="18"/>
  <c r="P235" i="18"/>
  <c r="W235" i="18" s="1"/>
  <c r="M235" i="18"/>
  <c r="T235" i="18" s="1"/>
  <c r="C235" i="18"/>
  <c r="D235" i="18" s="1"/>
  <c r="X234" i="18"/>
  <c r="V234" i="18"/>
  <c r="U234" i="18"/>
  <c r="S234" i="18"/>
  <c r="P234" i="18"/>
  <c r="W234" i="18" s="1"/>
  <c r="M234" i="18"/>
  <c r="T234" i="18" s="1"/>
  <c r="C234" i="18"/>
  <c r="D234" i="18" s="1"/>
  <c r="X233" i="18"/>
  <c r="V233" i="18"/>
  <c r="U233" i="18"/>
  <c r="S233" i="18"/>
  <c r="P233" i="18"/>
  <c r="W233" i="18" s="1"/>
  <c r="M233" i="18"/>
  <c r="T233" i="18" s="1"/>
  <c r="C233" i="18"/>
  <c r="D233" i="18" s="1"/>
  <c r="X232" i="18"/>
  <c r="V232" i="18"/>
  <c r="U232" i="18"/>
  <c r="S232" i="18"/>
  <c r="P232" i="18"/>
  <c r="W232" i="18" s="1"/>
  <c r="M232" i="18"/>
  <c r="T232" i="18" s="1"/>
  <c r="C232" i="18"/>
  <c r="D232" i="18" s="1"/>
  <c r="X231" i="18"/>
  <c r="V231" i="18"/>
  <c r="U231" i="18"/>
  <c r="S231" i="18"/>
  <c r="P231" i="18"/>
  <c r="W231" i="18" s="1"/>
  <c r="M231" i="18"/>
  <c r="T231" i="18" s="1"/>
  <c r="C231" i="18"/>
  <c r="D231" i="18" s="1"/>
  <c r="X230" i="18"/>
  <c r="V230" i="18"/>
  <c r="U230" i="18"/>
  <c r="S230" i="18"/>
  <c r="P230" i="18"/>
  <c r="W230" i="18" s="1"/>
  <c r="M230" i="18"/>
  <c r="T230" i="18" s="1"/>
  <c r="C230" i="18"/>
  <c r="D230" i="18" s="1"/>
  <c r="X229" i="18"/>
  <c r="V229" i="18"/>
  <c r="U229" i="18"/>
  <c r="T229" i="18"/>
  <c r="S229" i="18"/>
  <c r="P229" i="18"/>
  <c r="W229" i="18" s="1"/>
  <c r="M229" i="18"/>
  <c r="D229" i="18"/>
  <c r="C229" i="18"/>
  <c r="X228" i="18"/>
  <c r="V228" i="18"/>
  <c r="U228" i="18"/>
  <c r="S228" i="18"/>
  <c r="P228" i="18"/>
  <c r="W228" i="18" s="1"/>
  <c r="M228" i="18"/>
  <c r="T228" i="18" s="1"/>
  <c r="C228" i="18"/>
  <c r="D228" i="18" s="1"/>
  <c r="X227" i="18"/>
  <c r="V227" i="18"/>
  <c r="U227" i="18"/>
  <c r="S227" i="18"/>
  <c r="P227" i="18"/>
  <c r="W227" i="18" s="1"/>
  <c r="M227" i="18"/>
  <c r="T227" i="18" s="1"/>
  <c r="C227" i="18"/>
  <c r="D227" i="18" s="1"/>
  <c r="X226" i="18"/>
  <c r="V226" i="18"/>
  <c r="U226" i="18"/>
  <c r="S226" i="18"/>
  <c r="P226" i="18"/>
  <c r="W226" i="18" s="1"/>
  <c r="M226" i="18"/>
  <c r="T226" i="18" s="1"/>
  <c r="C226" i="18"/>
  <c r="D226" i="18" s="1"/>
  <c r="X225" i="18"/>
  <c r="V225" i="18"/>
  <c r="U225" i="18"/>
  <c r="S225" i="18"/>
  <c r="P225" i="18"/>
  <c r="W225" i="18" s="1"/>
  <c r="M225" i="18"/>
  <c r="T225" i="18" s="1"/>
  <c r="C225" i="18"/>
  <c r="D225" i="18" s="1"/>
  <c r="X224" i="18"/>
  <c r="V224" i="18"/>
  <c r="U224" i="18"/>
  <c r="S224" i="18"/>
  <c r="P224" i="18"/>
  <c r="W224" i="18" s="1"/>
  <c r="M224" i="18"/>
  <c r="T224" i="18" s="1"/>
  <c r="C224" i="18"/>
  <c r="D224" i="18" s="1"/>
  <c r="X223" i="18"/>
  <c r="V223" i="18"/>
  <c r="U223" i="18"/>
  <c r="S223" i="18"/>
  <c r="P223" i="18"/>
  <c r="W223" i="18" s="1"/>
  <c r="M223" i="18"/>
  <c r="T223" i="18" s="1"/>
  <c r="C223" i="18"/>
  <c r="D223" i="18" s="1"/>
  <c r="X222" i="18"/>
  <c r="V222" i="18"/>
  <c r="U222" i="18"/>
  <c r="S222" i="18"/>
  <c r="P222" i="18"/>
  <c r="W222" i="18" s="1"/>
  <c r="M222" i="18"/>
  <c r="T222" i="18" s="1"/>
  <c r="C222" i="18"/>
  <c r="D222" i="18" s="1"/>
  <c r="X221" i="18"/>
  <c r="V221" i="18"/>
  <c r="U221" i="18"/>
  <c r="T221" i="18"/>
  <c r="S221" i="18"/>
  <c r="P221" i="18"/>
  <c r="W221" i="18" s="1"/>
  <c r="M221" i="18"/>
  <c r="D221" i="18"/>
  <c r="C221" i="18"/>
  <c r="X220" i="18"/>
  <c r="V220" i="18"/>
  <c r="U220" i="18"/>
  <c r="S220" i="18"/>
  <c r="P220" i="18"/>
  <c r="W220" i="18" s="1"/>
  <c r="M220" i="18"/>
  <c r="T220" i="18" s="1"/>
  <c r="C220" i="18"/>
  <c r="D220" i="18" s="1"/>
  <c r="X219" i="18"/>
  <c r="V219" i="18"/>
  <c r="U219" i="18"/>
  <c r="S219" i="18"/>
  <c r="P219" i="18"/>
  <c r="W219" i="18" s="1"/>
  <c r="M219" i="18"/>
  <c r="T219" i="18" s="1"/>
  <c r="C219" i="18"/>
  <c r="D219" i="18" s="1"/>
  <c r="X218" i="18"/>
  <c r="V218" i="18"/>
  <c r="U218" i="18"/>
  <c r="S218" i="18"/>
  <c r="P218" i="18"/>
  <c r="W218" i="18" s="1"/>
  <c r="M218" i="18"/>
  <c r="T218" i="18" s="1"/>
  <c r="C218" i="18"/>
  <c r="D218" i="18" s="1"/>
  <c r="X217" i="18"/>
  <c r="V217" i="18"/>
  <c r="U217" i="18"/>
  <c r="S217" i="18"/>
  <c r="P217" i="18"/>
  <c r="W217" i="18" s="1"/>
  <c r="M217" i="18"/>
  <c r="T217" i="18" s="1"/>
  <c r="C217" i="18"/>
  <c r="D217" i="18" s="1"/>
  <c r="X216" i="18"/>
  <c r="V216" i="18"/>
  <c r="U216" i="18"/>
  <c r="S216" i="18"/>
  <c r="P216" i="18"/>
  <c r="W216" i="18" s="1"/>
  <c r="M216" i="18"/>
  <c r="T216" i="18" s="1"/>
  <c r="C216" i="18"/>
  <c r="D216" i="18" s="1"/>
  <c r="X215" i="18"/>
  <c r="V215" i="18"/>
  <c r="U215" i="18"/>
  <c r="S215" i="18"/>
  <c r="P215" i="18"/>
  <c r="W215" i="18" s="1"/>
  <c r="M215" i="18"/>
  <c r="T215" i="18" s="1"/>
  <c r="C215" i="18"/>
  <c r="D215" i="18" s="1"/>
  <c r="X214" i="18"/>
  <c r="V214" i="18"/>
  <c r="U214" i="18"/>
  <c r="S214" i="18"/>
  <c r="P214" i="18"/>
  <c r="W214" i="18" s="1"/>
  <c r="M214" i="18"/>
  <c r="T214" i="18" s="1"/>
  <c r="C214" i="18"/>
  <c r="D214" i="18" s="1"/>
  <c r="X213" i="18"/>
  <c r="V213" i="18"/>
  <c r="U213" i="18"/>
  <c r="T213" i="18"/>
  <c r="S213" i="18"/>
  <c r="P213" i="18"/>
  <c r="W213" i="18" s="1"/>
  <c r="M213" i="18"/>
  <c r="D213" i="18"/>
  <c r="C213" i="18"/>
  <c r="X212" i="18"/>
  <c r="V212" i="18"/>
  <c r="U212" i="18"/>
  <c r="S212" i="18"/>
  <c r="P212" i="18"/>
  <c r="W212" i="18" s="1"/>
  <c r="M212" i="18"/>
  <c r="T212" i="18" s="1"/>
  <c r="C212" i="18"/>
  <c r="D212" i="18" s="1"/>
  <c r="X211" i="18"/>
  <c r="V211" i="18"/>
  <c r="U211" i="18"/>
  <c r="S211" i="18"/>
  <c r="P211" i="18"/>
  <c r="W211" i="18" s="1"/>
  <c r="M211" i="18"/>
  <c r="T211" i="18" s="1"/>
  <c r="C211" i="18"/>
  <c r="D211" i="18" s="1"/>
  <c r="X210" i="18"/>
  <c r="V210" i="18"/>
  <c r="U210" i="18"/>
  <c r="S210" i="18"/>
  <c r="P210" i="18"/>
  <c r="W210" i="18" s="1"/>
  <c r="M210" i="18"/>
  <c r="T210" i="18" s="1"/>
  <c r="C210" i="18"/>
  <c r="D210" i="18" s="1"/>
  <c r="X209" i="18"/>
  <c r="V209" i="18"/>
  <c r="U209" i="18"/>
  <c r="S209" i="18"/>
  <c r="P209" i="18"/>
  <c r="W209" i="18" s="1"/>
  <c r="M209" i="18"/>
  <c r="T209" i="18" s="1"/>
  <c r="C209" i="18"/>
  <c r="D209" i="18" s="1"/>
  <c r="X208" i="18"/>
  <c r="V208" i="18"/>
  <c r="U208" i="18"/>
  <c r="S208" i="18"/>
  <c r="P208" i="18"/>
  <c r="W208" i="18" s="1"/>
  <c r="M208" i="18"/>
  <c r="T208" i="18" s="1"/>
  <c r="C208" i="18"/>
  <c r="D208" i="18" s="1"/>
  <c r="X207" i="18"/>
  <c r="V207" i="18"/>
  <c r="U207" i="18"/>
  <c r="S207" i="18"/>
  <c r="P207" i="18"/>
  <c r="W207" i="18" s="1"/>
  <c r="M207" i="18"/>
  <c r="T207" i="18" s="1"/>
  <c r="C207" i="18"/>
  <c r="D207" i="18" s="1"/>
  <c r="X206" i="18"/>
  <c r="V206" i="18"/>
  <c r="U206" i="18"/>
  <c r="S206" i="18"/>
  <c r="P206" i="18"/>
  <c r="W206" i="18" s="1"/>
  <c r="M206" i="18"/>
  <c r="T206" i="18" s="1"/>
  <c r="C206" i="18"/>
  <c r="D206" i="18" s="1"/>
  <c r="X205" i="18"/>
  <c r="V205" i="18"/>
  <c r="U205" i="18"/>
  <c r="T205" i="18"/>
  <c r="S205" i="18"/>
  <c r="P205" i="18"/>
  <c r="W205" i="18" s="1"/>
  <c r="M205" i="18"/>
  <c r="D205" i="18"/>
  <c r="C205" i="18"/>
  <c r="X204" i="18"/>
  <c r="V204" i="18"/>
  <c r="U204" i="18"/>
  <c r="S204" i="18"/>
  <c r="P204" i="18"/>
  <c r="W204" i="18" s="1"/>
  <c r="M204" i="18"/>
  <c r="T204" i="18" s="1"/>
  <c r="C204" i="18"/>
  <c r="D204" i="18" s="1"/>
  <c r="X203" i="18"/>
  <c r="V203" i="18"/>
  <c r="U203" i="18"/>
  <c r="S203" i="18"/>
  <c r="P203" i="18"/>
  <c r="W203" i="18" s="1"/>
  <c r="M203" i="18"/>
  <c r="T203" i="18" s="1"/>
  <c r="C203" i="18"/>
  <c r="D203" i="18" s="1"/>
  <c r="X202" i="18"/>
  <c r="V202" i="18"/>
  <c r="U202" i="18"/>
  <c r="S202" i="18"/>
  <c r="P202" i="18"/>
  <c r="W202" i="18" s="1"/>
  <c r="M202" i="18"/>
  <c r="T202" i="18" s="1"/>
  <c r="C202" i="18"/>
  <c r="D202" i="18" s="1"/>
  <c r="X201" i="18"/>
  <c r="V201" i="18"/>
  <c r="U201" i="18"/>
  <c r="S201" i="18"/>
  <c r="P201" i="18"/>
  <c r="W201" i="18" s="1"/>
  <c r="M201" i="18"/>
  <c r="T201" i="18" s="1"/>
  <c r="C201" i="18"/>
  <c r="D201" i="18" s="1"/>
  <c r="X200" i="18"/>
  <c r="V200" i="18"/>
  <c r="U200" i="18"/>
  <c r="S200" i="18"/>
  <c r="P200" i="18"/>
  <c r="W200" i="18" s="1"/>
  <c r="M200" i="18"/>
  <c r="T200" i="18" s="1"/>
  <c r="C200" i="18"/>
  <c r="D200" i="18" s="1"/>
  <c r="X199" i="18"/>
  <c r="V199" i="18"/>
  <c r="U199" i="18"/>
  <c r="S199" i="18"/>
  <c r="P199" i="18"/>
  <c r="W199" i="18" s="1"/>
  <c r="M199" i="18"/>
  <c r="T199" i="18" s="1"/>
  <c r="C199" i="18"/>
  <c r="D199" i="18" s="1"/>
  <c r="X198" i="18"/>
  <c r="V198" i="18"/>
  <c r="U198" i="18"/>
  <c r="S198" i="18"/>
  <c r="P198" i="18"/>
  <c r="W198" i="18" s="1"/>
  <c r="M198" i="18"/>
  <c r="T198" i="18" s="1"/>
  <c r="C198" i="18"/>
  <c r="D198" i="18" s="1"/>
  <c r="X197" i="18"/>
  <c r="V197" i="18"/>
  <c r="U197" i="18"/>
  <c r="T197" i="18"/>
  <c r="S197" i="18"/>
  <c r="P197" i="18"/>
  <c r="W197" i="18" s="1"/>
  <c r="M197" i="18"/>
  <c r="D197" i="18"/>
  <c r="C197" i="18"/>
  <c r="X196" i="18"/>
  <c r="V196" i="18"/>
  <c r="U196" i="18"/>
  <c r="S196" i="18"/>
  <c r="P196" i="18"/>
  <c r="W196" i="18" s="1"/>
  <c r="M196" i="18"/>
  <c r="T196" i="18" s="1"/>
  <c r="C196" i="18"/>
  <c r="D196" i="18" s="1"/>
  <c r="X195" i="18"/>
  <c r="V195" i="18"/>
  <c r="U195" i="18"/>
  <c r="S195" i="18"/>
  <c r="P195" i="18"/>
  <c r="W195" i="18" s="1"/>
  <c r="M195" i="18"/>
  <c r="T195" i="18" s="1"/>
  <c r="C195" i="18"/>
  <c r="D195" i="18" s="1"/>
  <c r="X194" i="18"/>
  <c r="V194" i="18"/>
  <c r="U194" i="18"/>
  <c r="S194" i="18"/>
  <c r="P194" i="18"/>
  <c r="W194" i="18" s="1"/>
  <c r="M194" i="18"/>
  <c r="T194" i="18" s="1"/>
  <c r="C194" i="18"/>
  <c r="D194" i="18" s="1"/>
  <c r="X193" i="18"/>
  <c r="V193" i="18"/>
  <c r="U193" i="18"/>
  <c r="S193" i="18"/>
  <c r="P193" i="18"/>
  <c r="W193" i="18" s="1"/>
  <c r="M193" i="18"/>
  <c r="T193" i="18" s="1"/>
  <c r="C193" i="18"/>
  <c r="D193" i="18" s="1"/>
  <c r="X192" i="18"/>
  <c r="V192" i="18"/>
  <c r="U192" i="18"/>
  <c r="S192" i="18"/>
  <c r="P192" i="18"/>
  <c r="W192" i="18" s="1"/>
  <c r="M192" i="18"/>
  <c r="T192" i="18" s="1"/>
  <c r="C192" i="18"/>
  <c r="D192" i="18" s="1"/>
  <c r="X191" i="18"/>
  <c r="V191" i="18"/>
  <c r="U191" i="18"/>
  <c r="S191" i="18"/>
  <c r="P191" i="18"/>
  <c r="W191" i="18" s="1"/>
  <c r="M191" i="18"/>
  <c r="T191" i="18" s="1"/>
  <c r="C191" i="18"/>
  <c r="D191" i="18" s="1"/>
  <c r="X190" i="18"/>
  <c r="V190" i="18"/>
  <c r="U190" i="18"/>
  <c r="S190" i="18"/>
  <c r="P190" i="18"/>
  <c r="W190" i="18" s="1"/>
  <c r="M190" i="18"/>
  <c r="T190" i="18" s="1"/>
  <c r="C190" i="18"/>
  <c r="D190" i="18" s="1"/>
  <c r="X189" i="18"/>
  <c r="V189" i="18"/>
  <c r="U189" i="18"/>
  <c r="T189" i="18"/>
  <c r="S189" i="18"/>
  <c r="P189" i="18"/>
  <c r="W189" i="18" s="1"/>
  <c r="M189" i="18"/>
  <c r="D189" i="18"/>
  <c r="C189" i="18"/>
  <c r="X188" i="18"/>
  <c r="V188" i="18"/>
  <c r="U188" i="18"/>
  <c r="S188" i="18"/>
  <c r="P188" i="18"/>
  <c r="W188" i="18" s="1"/>
  <c r="M188" i="18"/>
  <c r="T188" i="18" s="1"/>
  <c r="C188" i="18"/>
  <c r="D188" i="18" s="1"/>
  <c r="X187" i="18"/>
  <c r="V187" i="18"/>
  <c r="U187" i="18"/>
  <c r="S187" i="18"/>
  <c r="P187" i="18"/>
  <c r="W187" i="18" s="1"/>
  <c r="M187" i="18"/>
  <c r="T187" i="18" s="1"/>
  <c r="C187" i="18"/>
  <c r="D187" i="18" s="1"/>
  <c r="X186" i="18"/>
  <c r="V186" i="18"/>
  <c r="U186" i="18"/>
  <c r="S186" i="18"/>
  <c r="P186" i="18"/>
  <c r="W186" i="18" s="1"/>
  <c r="M186" i="18"/>
  <c r="T186" i="18" s="1"/>
  <c r="C186" i="18"/>
  <c r="D186" i="18" s="1"/>
  <c r="X185" i="18"/>
  <c r="V185" i="18"/>
  <c r="U185" i="18"/>
  <c r="S185" i="18"/>
  <c r="P185" i="18"/>
  <c r="W185" i="18" s="1"/>
  <c r="M185" i="18"/>
  <c r="T185" i="18" s="1"/>
  <c r="C185" i="18"/>
  <c r="D185" i="18" s="1"/>
  <c r="X184" i="18"/>
  <c r="V184" i="18"/>
  <c r="U184" i="18"/>
  <c r="S184" i="18"/>
  <c r="P184" i="18"/>
  <c r="W184" i="18" s="1"/>
  <c r="M184" i="18"/>
  <c r="T184" i="18" s="1"/>
  <c r="C184" i="18"/>
  <c r="D184" i="18" s="1"/>
  <c r="X183" i="18"/>
  <c r="V183" i="18"/>
  <c r="U183" i="18"/>
  <c r="S183" i="18"/>
  <c r="P183" i="18"/>
  <c r="W183" i="18" s="1"/>
  <c r="M183" i="18"/>
  <c r="T183" i="18" s="1"/>
  <c r="C183" i="18"/>
  <c r="D183" i="18" s="1"/>
  <c r="X182" i="18"/>
  <c r="V182" i="18"/>
  <c r="U182" i="18"/>
  <c r="S182" i="18"/>
  <c r="P182" i="18"/>
  <c r="W182" i="18" s="1"/>
  <c r="M182" i="18"/>
  <c r="T182" i="18" s="1"/>
  <c r="C182" i="18"/>
  <c r="D182" i="18" s="1"/>
  <c r="X181" i="18"/>
  <c r="V181" i="18"/>
  <c r="U181" i="18"/>
  <c r="T181" i="18"/>
  <c r="S181" i="18"/>
  <c r="P181" i="18"/>
  <c r="W181" i="18" s="1"/>
  <c r="M181" i="18"/>
  <c r="D181" i="18"/>
  <c r="C181" i="18"/>
  <c r="X180" i="18"/>
  <c r="V180" i="18"/>
  <c r="U180" i="18"/>
  <c r="S180" i="18"/>
  <c r="P180" i="18"/>
  <c r="W180" i="18" s="1"/>
  <c r="M180" i="18"/>
  <c r="T180" i="18" s="1"/>
  <c r="C180" i="18"/>
  <c r="D180" i="18" s="1"/>
  <c r="X179" i="18"/>
  <c r="V179" i="18"/>
  <c r="U179" i="18"/>
  <c r="S179" i="18"/>
  <c r="P179" i="18"/>
  <c r="W179" i="18" s="1"/>
  <c r="M179" i="18"/>
  <c r="T179" i="18" s="1"/>
  <c r="C179" i="18"/>
  <c r="D179" i="18" s="1"/>
  <c r="X178" i="18"/>
  <c r="V178" i="18"/>
  <c r="U178" i="18"/>
  <c r="S178" i="18"/>
  <c r="P178" i="18"/>
  <c r="W178" i="18" s="1"/>
  <c r="M178" i="18"/>
  <c r="T178" i="18" s="1"/>
  <c r="C178" i="18"/>
  <c r="D178" i="18" s="1"/>
  <c r="X177" i="18"/>
  <c r="V177" i="18"/>
  <c r="U177" i="18"/>
  <c r="S177" i="18"/>
  <c r="P177" i="18"/>
  <c r="W177" i="18" s="1"/>
  <c r="M177" i="18"/>
  <c r="T177" i="18" s="1"/>
  <c r="C177" i="18"/>
  <c r="D177" i="18" s="1"/>
  <c r="X176" i="18"/>
  <c r="V176" i="18"/>
  <c r="U176" i="18"/>
  <c r="S176" i="18"/>
  <c r="P176" i="18"/>
  <c r="W176" i="18" s="1"/>
  <c r="M176" i="18"/>
  <c r="T176" i="18" s="1"/>
  <c r="C176" i="18"/>
  <c r="D176" i="18" s="1"/>
  <c r="X175" i="18"/>
  <c r="V175" i="18"/>
  <c r="U175" i="18"/>
  <c r="S175" i="18"/>
  <c r="P175" i="18"/>
  <c r="W175" i="18" s="1"/>
  <c r="M175" i="18"/>
  <c r="T175" i="18" s="1"/>
  <c r="C175" i="18"/>
  <c r="D175" i="18" s="1"/>
  <c r="X174" i="18"/>
  <c r="V174" i="18"/>
  <c r="U174" i="18"/>
  <c r="S174" i="18"/>
  <c r="P174" i="18"/>
  <c r="W174" i="18" s="1"/>
  <c r="M174" i="18"/>
  <c r="T174" i="18" s="1"/>
  <c r="C174" i="18"/>
  <c r="D174" i="18" s="1"/>
  <c r="X173" i="18"/>
  <c r="V173" i="18"/>
  <c r="U173" i="18"/>
  <c r="T173" i="18"/>
  <c r="S173" i="18"/>
  <c r="P173" i="18"/>
  <c r="W173" i="18" s="1"/>
  <c r="M173" i="18"/>
  <c r="D173" i="18"/>
  <c r="C173" i="18"/>
  <c r="X172" i="18"/>
  <c r="V172" i="18"/>
  <c r="U172" i="18"/>
  <c r="S172" i="18"/>
  <c r="P172" i="18"/>
  <c r="W172" i="18" s="1"/>
  <c r="M172" i="18"/>
  <c r="T172" i="18" s="1"/>
  <c r="C172" i="18"/>
  <c r="D172" i="18" s="1"/>
  <c r="X171" i="18"/>
  <c r="V171" i="18"/>
  <c r="U171" i="18"/>
  <c r="S171" i="18"/>
  <c r="P171" i="18"/>
  <c r="W171" i="18" s="1"/>
  <c r="M171" i="18"/>
  <c r="T171" i="18" s="1"/>
  <c r="C171" i="18"/>
  <c r="D171" i="18" s="1"/>
  <c r="X170" i="18"/>
  <c r="V170" i="18"/>
  <c r="U170" i="18"/>
  <c r="S170" i="18"/>
  <c r="P170" i="18"/>
  <c r="W170" i="18" s="1"/>
  <c r="M170" i="18"/>
  <c r="T170" i="18" s="1"/>
  <c r="C170" i="18"/>
  <c r="D170" i="18" s="1"/>
  <c r="X169" i="18"/>
  <c r="V169" i="18"/>
  <c r="U169" i="18"/>
  <c r="S169" i="18"/>
  <c r="P169" i="18"/>
  <c r="W169" i="18" s="1"/>
  <c r="M169" i="18"/>
  <c r="T169" i="18" s="1"/>
  <c r="C169" i="18"/>
  <c r="D169" i="18" s="1"/>
  <c r="X168" i="18"/>
  <c r="V168" i="18"/>
  <c r="U168" i="18"/>
  <c r="S168" i="18"/>
  <c r="P168" i="18"/>
  <c r="W168" i="18" s="1"/>
  <c r="M168" i="18"/>
  <c r="T168" i="18" s="1"/>
  <c r="C168" i="18"/>
  <c r="D168" i="18" s="1"/>
  <c r="X167" i="18"/>
  <c r="V167" i="18"/>
  <c r="U167" i="18"/>
  <c r="S167" i="18"/>
  <c r="P167" i="18"/>
  <c r="W167" i="18" s="1"/>
  <c r="M167" i="18"/>
  <c r="T167" i="18" s="1"/>
  <c r="C167" i="18"/>
  <c r="D167" i="18" s="1"/>
  <c r="X166" i="18"/>
  <c r="V166" i="18"/>
  <c r="U166" i="18"/>
  <c r="S166" i="18"/>
  <c r="P166" i="18"/>
  <c r="W166" i="18" s="1"/>
  <c r="M166" i="18"/>
  <c r="T166" i="18" s="1"/>
  <c r="C166" i="18"/>
  <c r="D166" i="18" s="1"/>
  <c r="X165" i="18"/>
  <c r="V165" i="18"/>
  <c r="U165" i="18"/>
  <c r="T165" i="18"/>
  <c r="S165" i="18"/>
  <c r="P165" i="18"/>
  <c r="W165" i="18" s="1"/>
  <c r="M165" i="18"/>
  <c r="D165" i="18"/>
  <c r="C165" i="18"/>
  <c r="X164" i="18"/>
  <c r="V164" i="18"/>
  <c r="U164" i="18"/>
  <c r="S164" i="18"/>
  <c r="P164" i="18"/>
  <c r="W164" i="18" s="1"/>
  <c r="M164" i="18"/>
  <c r="T164" i="18" s="1"/>
  <c r="C164" i="18"/>
  <c r="D164" i="18" s="1"/>
  <c r="X163" i="18"/>
  <c r="V163" i="18"/>
  <c r="U163" i="18"/>
  <c r="S163" i="18"/>
  <c r="P163" i="18"/>
  <c r="W163" i="18" s="1"/>
  <c r="M163" i="18"/>
  <c r="T163" i="18" s="1"/>
  <c r="C163" i="18"/>
  <c r="D163" i="18" s="1"/>
  <c r="X162" i="18"/>
  <c r="V162" i="18"/>
  <c r="U162" i="18"/>
  <c r="S162" i="18"/>
  <c r="P162" i="18"/>
  <c r="W162" i="18" s="1"/>
  <c r="M162" i="18"/>
  <c r="T162" i="18" s="1"/>
  <c r="C162" i="18"/>
  <c r="D162" i="18" s="1"/>
  <c r="X161" i="18"/>
  <c r="V161" i="18"/>
  <c r="U161" i="18"/>
  <c r="S161" i="18"/>
  <c r="P161" i="18"/>
  <c r="W161" i="18" s="1"/>
  <c r="M161" i="18"/>
  <c r="T161" i="18" s="1"/>
  <c r="C161" i="18"/>
  <c r="D161" i="18" s="1"/>
  <c r="X160" i="18"/>
  <c r="V160" i="18"/>
  <c r="U160" i="18"/>
  <c r="S160" i="18"/>
  <c r="P160" i="18"/>
  <c r="W160" i="18" s="1"/>
  <c r="M160" i="18"/>
  <c r="T160" i="18" s="1"/>
  <c r="C160" i="18"/>
  <c r="D160" i="18" s="1"/>
  <c r="X159" i="18"/>
  <c r="V159" i="18"/>
  <c r="U159" i="18"/>
  <c r="S159" i="18"/>
  <c r="P159" i="18"/>
  <c r="W159" i="18" s="1"/>
  <c r="M159" i="18"/>
  <c r="T159" i="18" s="1"/>
  <c r="C159" i="18"/>
  <c r="D159" i="18" s="1"/>
  <c r="X158" i="18"/>
  <c r="V158" i="18"/>
  <c r="U158" i="18"/>
  <c r="S158" i="18"/>
  <c r="P158" i="18"/>
  <c r="W158" i="18" s="1"/>
  <c r="M158" i="18"/>
  <c r="T158" i="18" s="1"/>
  <c r="C158" i="18"/>
  <c r="D158" i="18" s="1"/>
  <c r="X157" i="18"/>
  <c r="V157" i="18"/>
  <c r="U157" i="18"/>
  <c r="T157" i="18"/>
  <c r="S157" i="18"/>
  <c r="P157" i="18"/>
  <c r="W157" i="18" s="1"/>
  <c r="M157" i="18"/>
  <c r="D157" i="18"/>
  <c r="C157" i="18"/>
  <c r="X156" i="18"/>
  <c r="V156" i="18"/>
  <c r="U156" i="18"/>
  <c r="S156" i="18"/>
  <c r="P156" i="18"/>
  <c r="W156" i="18" s="1"/>
  <c r="M156" i="18"/>
  <c r="T156" i="18" s="1"/>
  <c r="C156" i="18"/>
  <c r="D156" i="18" s="1"/>
  <c r="X155" i="18"/>
  <c r="V155" i="18"/>
  <c r="U155" i="18"/>
  <c r="S155" i="18"/>
  <c r="P155" i="18"/>
  <c r="W155" i="18" s="1"/>
  <c r="M155" i="18"/>
  <c r="T155" i="18" s="1"/>
  <c r="C155" i="18"/>
  <c r="D155" i="18" s="1"/>
  <c r="X154" i="18"/>
  <c r="V154" i="18"/>
  <c r="U154" i="18"/>
  <c r="S154" i="18"/>
  <c r="P154" i="18"/>
  <c r="W154" i="18" s="1"/>
  <c r="M154" i="18"/>
  <c r="T154" i="18" s="1"/>
  <c r="C154" i="18"/>
  <c r="D154" i="18" s="1"/>
  <c r="X153" i="18"/>
  <c r="V153" i="18"/>
  <c r="U153" i="18"/>
  <c r="S153" i="18"/>
  <c r="P153" i="18"/>
  <c r="W153" i="18" s="1"/>
  <c r="M153" i="18"/>
  <c r="T153" i="18" s="1"/>
  <c r="C153" i="18"/>
  <c r="D153" i="18" s="1"/>
  <c r="X152" i="18"/>
  <c r="V152" i="18"/>
  <c r="U152" i="18"/>
  <c r="S152" i="18"/>
  <c r="P152" i="18"/>
  <c r="W152" i="18" s="1"/>
  <c r="M152" i="18"/>
  <c r="T152" i="18" s="1"/>
  <c r="C152" i="18"/>
  <c r="D152" i="18" s="1"/>
  <c r="X151" i="18"/>
  <c r="V151" i="18"/>
  <c r="U151" i="18"/>
  <c r="S151" i="18"/>
  <c r="P151" i="18"/>
  <c r="W151" i="18" s="1"/>
  <c r="M151" i="18"/>
  <c r="T151" i="18" s="1"/>
  <c r="C151" i="18"/>
  <c r="D151" i="18" s="1"/>
  <c r="X150" i="18"/>
  <c r="V150" i="18"/>
  <c r="U150" i="18"/>
  <c r="S150" i="18"/>
  <c r="P150" i="18"/>
  <c r="W150" i="18" s="1"/>
  <c r="M150" i="18"/>
  <c r="T150" i="18" s="1"/>
  <c r="C150" i="18"/>
  <c r="D150" i="18" s="1"/>
  <c r="X149" i="18"/>
  <c r="V149" i="18"/>
  <c r="U149" i="18"/>
  <c r="T149" i="18"/>
  <c r="S149" i="18"/>
  <c r="P149" i="18"/>
  <c r="W149" i="18" s="1"/>
  <c r="M149" i="18"/>
  <c r="D149" i="18"/>
  <c r="C149" i="18"/>
  <c r="X148" i="18"/>
  <c r="V148" i="18"/>
  <c r="U148" i="18"/>
  <c r="S148" i="18"/>
  <c r="P148" i="18"/>
  <c r="W148" i="18" s="1"/>
  <c r="M148" i="18"/>
  <c r="T148" i="18" s="1"/>
  <c r="C148" i="18"/>
  <c r="D148" i="18" s="1"/>
  <c r="X147" i="18"/>
  <c r="V147" i="18"/>
  <c r="U147" i="18"/>
  <c r="S147" i="18"/>
  <c r="P147" i="18"/>
  <c r="W147" i="18" s="1"/>
  <c r="M147" i="18"/>
  <c r="T147" i="18" s="1"/>
  <c r="C147" i="18"/>
  <c r="D147" i="18" s="1"/>
  <c r="X146" i="18"/>
  <c r="V146" i="18"/>
  <c r="U146" i="18"/>
  <c r="S146" i="18"/>
  <c r="P146" i="18"/>
  <c r="W146" i="18" s="1"/>
  <c r="M146" i="18"/>
  <c r="T146" i="18" s="1"/>
  <c r="C146" i="18"/>
  <c r="D146" i="18" s="1"/>
  <c r="X145" i="18"/>
  <c r="V145" i="18"/>
  <c r="U145" i="18"/>
  <c r="S145" i="18"/>
  <c r="P145" i="18"/>
  <c r="W145" i="18" s="1"/>
  <c r="M145" i="18"/>
  <c r="T145" i="18" s="1"/>
  <c r="C145" i="18"/>
  <c r="D145" i="18" s="1"/>
  <c r="X144" i="18"/>
  <c r="V144" i="18"/>
  <c r="U144" i="18"/>
  <c r="S144" i="18"/>
  <c r="P144" i="18"/>
  <c r="W144" i="18" s="1"/>
  <c r="M144" i="18"/>
  <c r="T144" i="18" s="1"/>
  <c r="C144" i="18"/>
  <c r="D144" i="18" s="1"/>
  <c r="X143" i="18"/>
  <c r="V143" i="18"/>
  <c r="U143" i="18"/>
  <c r="S143" i="18"/>
  <c r="P143" i="18"/>
  <c r="W143" i="18" s="1"/>
  <c r="M143" i="18"/>
  <c r="T143" i="18" s="1"/>
  <c r="C143" i="18"/>
  <c r="D143" i="18" s="1"/>
  <c r="X142" i="18"/>
  <c r="V142" i="18"/>
  <c r="U142" i="18"/>
  <c r="S142" i="18"/>
  <c r="P142" i="18"/>
  <c r="W142" i="18" s="1"/>
  <c r="M142" i="18"/>
  <c r="T142" i="18" s="1"/>
  <c r="C142" i="18"/>
  <c r="D142" i="18" s="1"/>
  <c r="X141" i="18"/>
  <c r="V141" i="18"/>
  <c r="U141" i="18"/>
  <c r="T141" i="18"/>
  <c r="S141" i="18"/>
  <c r="P141" i="18"/>
  <c r="W141" i="18" s="1"/>
  <c r="M141" i="18"/>
  <c r="D141" i="18"/>
  <c r="C141" i="18"/>
  <c r="X140" i="18"/>
  <c r="V140" i="18"/>
  <c r="U140" i="18"/>
  <c r="S140" i="18"/>
  <c r="P140" i="18"/>
  <c r="W140" i="18" s="1"/>
  <c r="M140" i="18"/>
  <c r="T140" i="18" s="1"/>
  <c r="C140" i="18"/>
  <c r="D140" i="18" s="1"/>
  <c r="X139" i="18"/>
  <c r="V139" i="18"/>
  <c r="U139" i="18"/>
  <c r="S139" i="18"/>
  <c r="P139" i="18"/>
  <c r="W139" i="18" s="1"/>
  <c r="M139" i="18"/>
  <c r="T139" i="18" s="1"/>
  <c r="C139" i="18"/>
  <c r="D139" i="18" s="1"/>
  <c r="X138" i="18"/>
  <c r="V138" i="18"/>
  <c r="U138" i="18"/>
  <c r="S138" i="18"/>
  <c r="P138" i="18"/>
  <c r="W138" i="18" s="1"/>
  <c r="M138" i="18"/>
  <c r="T138" i="18" s="1"/>
  <c r="C138" i="18"/>
  <c r="D138" i="18" s="1"/>
  <c r="X137" i="18"/>
  <c r="V137" i="18"/>
  <c r="U137" i="18"/>
  <c r="S137" i="18"/>
  <c r="P137" i="18"/>
  <c r="W137" i="18" s="1"/>
  <c r="M137" i="18"/>
  <c r="T137" i="18" s="1"/>
  <c r="C137" i="18"/>
  <c r="D137" i="18" s="1"/>
  <c r="X136" i="18"/>
  <c r="V136" i="18"/>
  <c r="U136" i="18"/>
  <c r="S136" i="18"/>
  <c r="P136" i="18"/>
  <c r="W136" i="18" s="1"/>
  <c r="M136" i="18"/>
  <c r="T136" i="18" s="1"/>
  <c r="C136" i="18"/>
  <c r="D136" i="18" s="1"/>
  <c r="X135" i="18"/>
  <c r="V135" i="18"/>
  <c r="U135" i="18"/>
  <c r="S135" i="18"/>
  <c r="P135" i="18"/>
  <c r="W135" i="18" s="1"/>
  <c r="M135" i="18"/>
  <c r="T135" i="18" s="1"/>
  <c r="C135" i="18"/>
  <c r="D135" i="18" s="1"/>
  <c r="X134" i="18"/>
  <c r="V134" i="18"/>
  <c r="U134" i="18"/>
  <c r="S134" i="18"/>
  <c r="P134" i="18"/>
  <c r="W134" i="18" s="1"/>
  <c r="M134" i="18"/>
  <c r="T134" i="18" s="1"/>
  <c r="C134" i="18"/>
  <c r="D134" i="18" s="1"/>
  <c r="X133" i="18"/>
  <c r="V133" i="18"/>
  <c r="U133" i="18"/>
  <c r="T133" i="18"/>
  <c r="S133" i="18"/>
  <c r="P133" i="18"/>
  <c r="W133" i="18" s="1"/>
  <c r="M133" i="18"/>
  <c r="D133" i="18"/>
  <c r="C133" i="18"/>
  <c r="X132" i="18"/>
  <c r="V132" i="18"/>
  <c r="U132" i="18"/>
  <c r="S132" i="18"/>
  <c r="P132" i="18"/>
  <c r="W132" i="18" s="1"/>
  <c r="M132" i="18"/>
  <c r="T132" i="18" s="1"/>
  <c r="C132" i="18"/>
  <c r="D132" i="18" s="1"/>
  <c r="X131" i="18"/>
  <c r="V131" i="18"/>
  <c r="U131" i="18"/>
  <c r="S131" i="18"/>
  <c r="P131" i="18"/>
  <c r="W131" i="18" s="1"/>
  <c r="M131" i="18"/>
  <c r="T131" i="18" s="1"/>
  <c r="C131" i="18"/>
  <c r="D131" i="18" s="1"/>
  <c r="X130" i="18"/>
  <c r="V130" i="18"/>
  <c r="U130" i="18"/>
  <c r="S130" i="18"/>
  <c r="P130" i="18"/>
  <c r="W130" i="18" s="1"/>
  <c r="M130" i="18"/>
  <c r="T130" i="18" s="1"/>
  <c r="C130" i="18"/>
  <c r="D130" i="18" s="1"/>
  <c r="X129" i="18"/>
  <c r="V129" i="18"/>
  <c r="U129" i="18"/>
  <c r="S129" i="18"/>
  <c r="P129" i="18"/>
  <c r="W129" i="18" s="1"/>
  <c r="M129" i="18"/>
  <c r="T129" i="18" s="1"/>
  <c r="C129" i="18"/>
  <c r="D129" i="18" s="1"/>
  <c r="X128" i="18"/>
  <c r="V128" i="18"/>
  <c r="U128" i="18"/>
  <c r="S128" i="18"/>
  <c r="P128" i="18"/>
  <c r="W128" i="18" s="1"/>
  <c r="M128" i="18"/>
  <c r="T128" i="18" s="1"/>
  <c r="C128" i="18"/>
  <c r="D128" i="18" s="1"/>
  <c r="X127" i="18"/>
  <c r="V127" i="18"/>
  <c r="U127" i="18"/>
  <c r="S127" i="18"/>
  <c r="P127" i="18"/>
  <c r="W127" i="18" s="1"/>
  <c r="M127" i="18"/>
  <c r="T127" i="18" s="1"/>
  <c r="C127" i="18"/>
  <c r="D127" i="18" s="1"/>
  <c r="X126" i="18"/>
  <c r="V126" i="18"/>
  <c r="U126" i="18"/>
  <c r="S126" i="18"/>
  <c r="P126" i="18"/>
  <c r="W126" i="18" s="1"/>
  <c r="M126" i="18"/>
  <c r="T126" i="18" s="1"/>
  <c r="C126" i="18"/>
  <c r="D126" i="18" s="1"/>
  <c r="X125" i="18"/>
  <c r="V125" i="18"/>
  <c r="U125" i="18"/>
  <c r="T125" i="18"/>
  <c r="S125" i="18"/>
  <c r="P125" i="18"/>
  <c r="W125" i="18" s="1"/>
  <c r="M125" i="18"/>
  <c r="D125" i="18"/>
  <c r="C125" i="18"/>
  <c r="X124" i="18"/>
  <c r="V124" i="18"/>
  <c r="U124" i="18"/>
  <c r="S124" i="18"/>
  <c r="P124" i="18"/>
  <c r="W124" i="18" s="1"/>
  <c r="M124" i="18"/>
  <c r="T124" i="18" s="1"/>
  <c r="C124" i="18"/>
  <c r="D124" i="18" s="1"/>
  <c r="X123" i="18"/>
  <c r="V123" i="18"/>
  <c r="U123" i="18"/>
  <c r="S123" i="18"/>
  <c r="P123" i="18"/>
  <c r="W123" i="18" s="1"/>
  <c r="M123" i="18"/>
  <c r="T123" i="18" s="1"/>
  <c r="C123" i="18"/>
  <c r="D123" i="18" s="1"/>
  <c r="X122" i="18"/>
  <c r="V122" i="18"/>
  <c r="U122" i="18"/>
  <c r="S122" i="18"/>
  <c r="P122" i="18"/>
  <c r="W122" i="18" s="1"/>
  <c r="M122" i="18"/>
  <c r="T122" i="18" s="1"/>
  <c r="C122" i="18"/>
  <c r="D122" i="18" s="1"/>
  <c r="X121" i="18"/>
  <c r="V121" i="18"/>
  <c r="U121" i="18"/>
  <c r="S121" i="18"/>
  <c r="P121" i="18"/>
  <c r="W121" i="18" s="1"/>
  <c r="M121" i="18"/>
  <c r="T121" i="18" s="1"/>
  <c r="C121" i="18"/>
  <c r="D121" i="18" s="1"/>
  <c r="X120" i="18"/>
  <c r="V120" i="18"/>
  <c r="U120" i="18"/>
  <c r="S120" i="18"/>
  <c r="P120" i="18"/>
  <c r="W120" i="18" s="1"/>
  <c r="M120" i="18"/>
  <c r="T120" i="18" s="1"/>
  <c r="C120" i="18"/>
  <c r="D120" i="18" s="1"/>
  <c r="X119" i="18"/>
  <c r="V119" i="18"/>
  <c r="U119" i="18"/>
  <c r="S119" i="18"/>
  <c r="P119" i="18"/>
  <c r="W119" i="18" s="1"/>
  <c r="M119" i="18"/>
  <c r="T119" i="18" s="1"/>
  <c r="C119" i="18"/>
  <c r="D119" i="18" s="1"/>
  <c r="X118" i="18"/>
  <c r="V118" i="18"/>
  <c r="U118" i="18"/>
  <c r="S118" i="18"/>
  <c r="P118" i="18"/>
  <c r="W118" i="18" s="1"/>
  <c r="M118" i="18"/>
  <c r="T118" i="18" s="1"/>
  <c r="C118" i="18"/>
  <c r="D118" i="18" s="1"/>
  <c r="X117" i="18"/>
  <c r="V117" i="18"/>
  <c r="U117" i="18"/>
  <c r="T117" i="18"/>
  <c r="S117" i="18"/>
  <c r="P117" i="18"/>
  <c r="W117" i="18" s="1"/>
  <c r="M117" i="18"/>
  <c r="D117" i="18"/>
  <c r="C117" i="18"/>
  <c r="X116" i="18"/>
  <c r="V116" i="18"/>
  <c r="U116" i="18"/>
  <c r="S116" i="18"/>
  <c r="P116" i="18"/>
  <c r="W116" i="18" s="1"/>
  <c r="M116" i="18"/>
  <c r="T116" i="18" s="1"/>
  <c r="C116" i="18"/>
  <c r="D116" i="18" s="1"/>
  <c r="X115" i="18"/>
  <c r="V115" i="18"/>
  <c r="U115" i="18"/>
  <c r="S115" i="18"/>
  <c r="P115" i="18"/>
  <c r="W115" i="18" s="1"/>
  <c r="M115" i="18"/>
  <c r="T115" i="18" s="1"/>
  <c r="C115" i="18"/>
  <c r="D115" i="18" s="1"/>
  <c r="X114" i="18"/>
  <c r="V114" i="18"/>
  <c r="U114" i="18"/>
  <c r="S114" i="18"/>
  <c r="P114" i="18"/>
  <c r="W114" i="18" s="1"/>
  <c r="M114" i="18"/>
  <c r="T114" i="18" s="1"/>
  <c r="C114" i="18"/>
  <c r="D114" i="18" s="1"/>
  <c r="X113" i="18"/>
  <c r="V113" i="18"/>
  <c r="U113" i="18"/>
  <c r="S113" i="18"/>
  <c r="P113" i="18"/>
  <c r="W113" i="18" s="1"/>
  <c r="M113" i="18"/>
  <c r="T113" i="18" s="1"/>
  <c r="C113" i="18"/>
  <c r="D113" i="18" s="1"/>
  <c r="X112" i="18"/>
  <c r="V112" i="18"/>
  <c r="U112" i="18"/>
  <c r="S112" i="18"/>
  <c r="P112" i="18"/>
  <c r="W112" i="18" s="1"/>
  <c r="M112" i="18"/>
  <c r="T112" i="18" s="1"/>
  <c r="C112" i="18"/>
  <c r="D112" i="18" s="1"/>
  <c r="X111" i="18"/>
  <c r="V111" i="18"/>
  <c r="U111" i="18"/>
  <c r="S111" i="18"/>
  <c r="P111" i="18"/>
  <c r="W111" i="18" s="1"/>
  <c r="M111" i="18"/>
  <c r="T111" i="18" s="1"/>
  <c r="C111" i="18"/>
  <c r="D111" i="18" s="1"/>
  <c r="X110" i="18"/>
  <c r="V110" i="18"/>
  <c r="U110" i="18"/>
  <c r="S110" i="18"/>
  <c r="P110" i="18"/>
  <c r="W110" i="18" s="1"/>
  <c r="M110" i="18"/>
  <c r="T110" i="18" s="1"/>
  <c r="C110" i="18"/>
  <c r="D110" i="18" s="1"/>
  <c r="X109" i="18"/>
  <c r="V109" i="18"/>
  <c r="U109" i="18"/>
  <c r="T109" i="18"/>
  <c r="S109" i="18"/>
  <c r="P109" i="18"/>
  <c r="W109" i="18" s="1"/>
  <c r="M109" i="18"/>
  <c r="D109" i="18"/>
  <c r="C109" i="18"/>
  <c r="X108" i="18"/>
  <c r="V108" i="18"/>
  <c r="U108" i="18"/>
  <c r="S108" i="18"/>
  <c r="P108" i="18"/>
  <c r="W108" i="18" s="1"/>
  <c r="M108" i="18"/>
  <c r="T108" i="18" s="1"/>
  <c r="C108" i="18"/>
  <c r="D108" i="18" s="1"/>
  <c r="X107" i="18"/>
  <c r="V107" i="18"/>
  <c r="U107" i="18"/>
  <c r="S107" i="18"/>
  <c r="P107" i="18"/>
  <c r="W107" i="18" s="1"/>
  <c r="M107" i="18"/>
  <c r="T107" i="18" s="1"/>
  <c r="C107" i="18"/>
  <c r="D107" i="18" s="1"/>
  <c r="X106" i="18"/>
  <c r="V106" i="18"/>
  <c r="U106" i="18"/>
  <c r="S106" i="18"/>
  <c r="P106" i="18"/>
  <c r="W106" i="18" s="1"/>
  <c r="M106" i="18"/>
  <c r="T106" i="18" s="1"/>
  <c r="C106" i="18"/>
  <c r="D106" i="18" s="1"/>
  <c r="X105" i="18"/>
  <c r="V105" i="18"/>
  <c r="U105" i="18"/>
  <c r="S105" i="18"/>
  <c r="P105" i="18"/>
  <c r="W105" i="18" s="1"/>
  <c r="M105" i="18"/>
  <c r="T105" i="18" s="1"/>
  <c r="C105" i="18"/>
  <c r="D105" i="18" s="1"/>
  <c r="X104" i="18"/>
  <c r="V104" i="18"/>
  <c r="U104" i="18"/>
  <c r="S104" i="18"/>
  <c r="P104" i="18"/>
  <c r="W104" i="18" s="1"/>
  <c r="M104" i="18"/>
  <c r="T104" i="18" s="1"/>
  <c r="C104" i="18"/>
  <c r="D104" i="18" s="1"/>
  <c r="X103" i="18"/>
  <c r="V103" i="18"/>
  <c r="U103" i="18"/>
  <c r="S103" i="18"/>
  <c r="P103" i="18"/>
  <c r="W103" i="18" s="1"/>
  <c r="M103" i="18"/>
  <c r="T103" i="18" s="1"/>
  <c r="C103" i="18"/>
  <c r="D103" i="18" s="1"/>
  <c r="X102" i="18"/>
  <c r="V102" i="18"/>
  <c r="U102" i="18"/>
  <c r="S102" i="18"/>
  <c r="P102" i="18"/>
  <c r="W102" i="18" s="1"/>
  <c r="M102" i="18"/>
  <c r="T102" i="18" s="1"/>
  <c r="C102" i="18"/>
  <c r="D102" i="18" s="1"/>
  <c r="X101" i="18"/>
  <c r="V101" i="18"/>
  <c r="U101" i="18"/>
  <c r="T101" i="18"/>
  <c r="S101" i="18"/>
  <c r="P101" i="18"/>
  <c r="W101" i="18" s="1"/>
  <c r="M101" i="18"/>
  <c r="D101" i="18"/>
  <c r="C101" i="18"/>
  <c r="X100" i="18"/>
  <c r="V100" i="18"/>
  <c r="U100" i="18"/>
  <c r="S100" i="18"/>
  <c r="P100" i="18"/>
  <c r="W100" i="18" s="1"/>
  <c r="M100" i="18"/>
  <c r="T100" i="18" s="1"/>
  <c r="C100" i="18"/>
  <c r="D100" i="18" s="1"/>
  <c r="X99" i="18"/>
  <c r="V99" i="18"/>
  <c r="U99" i="18"/>
  <c r="S99" i="18"/>
  <c r="P99" i="18"/>
  <c r="W99" i="18" s="1"/>
  <c r="M99" i="18"/>
  <c r="T99" i="18" s="1"/>
  <c r="C99" i="18"/>
  <c r="D99" i="18" s="1"/>
  <c r="X98" i="18"/>
  <c r="V98" i="18"/>
  <c r="U98" i="18"/>
  <c r="S98" i="18"/>
  <c r="P98" i="18"/>
  <c r="W98" i="18" s="1"/>
  <c r="M98" i="18"/>
  <c r="T98" i="18" s="1"/>
  <c r="C98" i="18"/>
  <c r="D98" i="18" s="1"/>
  <c r="X97" i="18"/>
  <c r="V97" i="18"/>
  <c r="U97" i="18"/>
  <c r="S97" i="18"/>
  <c r="P97" i="18"/>
  <c r="W97" i="18" s="1"/>
  <c r="M97" i="18"/>
  <c r="T97" i="18" s="1"/>
  <c r="C97" i="18"/>
  <c r="D97" i="18" s="1"/>
  <c r="X96" i="18"/>
  <c r="V96" i="18"/>
  <c r="U96" i="18"/>
  <c r="S96" i="18"/>
  <c r="P96" i="18"/>
  <c r="W96" i="18" s="1"/>
  <c r="M96" i="18"/>
  <c r="T96" i="18" s="1"/>
  <c r="C96" i="18"/>
  <c r="D96" i="18" s="1"/>
  <c r="X95" i="18"/>
  <c r="V95" i="18"/>
  <c r="U95" i="18"/>
  <c r="S95" i="18"/>
  <c r="P95" i="18"/>
  <c r="W95" i="18" s="1"/>
  <c r="M95" i="18"/>
  <c r="T95" i="18" s="1"/>
  <c r="C95" i="18"/>
  <c r="D95" i="18" s="1"/>
  <c r="X94" i="18"/>
  <c r="V94" i="18"/>
  <c r="U94" i="18"/>
  <c r="S94" i="18"/>
  <c r="P94" i="18"/>
  <c r="W94" i="18" s="1"/>
  <c r="M94" i="18"/>
  <c r="T94" i="18" s="1"/>
  <c r="C94" i="18"/>
  <c r="D94" i="18" s="1"/>
  <c r="X93" i="18"/>
  <c r="V93" i="18"/>
  <c r="U93" i="18"/>
  <c r="T93" i="18"/>
  <c r="S93" i="18"/>
  <c r="P93" i="18"/>
  <c r="W93" i="18" s="1"/>
  <c r="M93" i="18"/>
  <c r="D93" i="18"/>
  <c r="C93" i="18"/>
  <c r="X92" i="18"/>
  <c r="V92" i="18"/>
  <c r="U92" i="18"/>
  <c r="S92" i="18"/>
  <c r="P92" i="18"/>
  <c r="W92" i="18" s="1"/>
  <c r="M92" i="18"/>
  <c r="T92" i="18" s="1"/>
  <c r="C92" i="18"/>
  <c r="D92" i="18" s="1"/>
  <c r="X91" i="18"/>
  <c r="V91" i="18"/>
  <c r="U91" i="18"/>
  <c r="S91" i="18"/>
  <c r="P91" i="18"/>
  <c r="W91" i="18" s="1"/>
  <c r="M91" i="18"/>
  <c r="T91" i="18" s="1"/>
  <c r="C91" i="18"/>
  <c r="D91" i="18" s="1"/>
  <c r="X90" i="18"/>
  <c r="V90" i="18"/>
  <c r="U90" i="18"/>
  <c r="S90" i="18"/>
  <c r="P90" i="18"/>
  <c r="W90" i="18" s="1"/>
  <c r="M90" i="18"/>
  <c r="T90" i="18" s="1"/>
  <c r="C90" i="18"/>
  <c r="D90" i="18" s="1"/>
  <c r="X89" i="18"/>
  <c r="V89" i="18"/>
  <c r="U89" i="18"/>
  <c r="S89" i="18"/>
  <c r="P89" i="18"/>
  <c r="W89" i="18" s="1"/>
  <c r="M89" i="18"/>
  <c r="T89" i="18" s="1"/>
  <c r="C89" i="18"/>
  <c r="D89" i="18" s="1"/>
  <c r="X88" i="18"/>
  <c r="V88" i="18"/>
  <c r="U88" i="18"/>
  <c r="S88" i="18"/>
  <c r="P88" i="18"/>
  <c r="W88" i="18" s="1"/>
  <c r="M88" i="18"/>
  <c r="T88" i="18" s="1"/>
  <c r="C88" i="18"/>
  <c r="D88" i="18" s="1"/>
  <c r="X87" i="18"/>
  <c r="V87" i="18"/>
  <c r="U87" i="18"/>
  <c r="S87" i="18"/>
  <c r="P87" i="18"/>
  <c r="W87" i="18" s="1"/>
  <c r="M87" i="18"/>
  <c r="T87" i="18" s="1"/>
  <c r="C87" i="18"/>
  <c r="D87" i="18" s="1"/>
  <c r="X86" i="18"/>
  <c r="V86" i="18"/>
  <c r="U86" i="18"/>
  <c r="S86" i="18"/>
  <c r="P86" i="18"/>
  <c r="W86" i="18" s="1"/>
  <c r="M86" i="18"/>
  <c r="T86" i="18" s="1"/>
  <c r="C86" i="18"/>
  <c r="D86" i="18" s="1"/>
  <c r="X85" i="18"/>
  <c r="V85" i="18"/>
  <c r="U85" i="18"/>
  <c r="T85" i="18"/>
  <c r="S85" i="18"/>
  <c r="P85" i="18"/>
  <c r="W85" i="18" s="1"/>
  <c r="M85" i="18"/>
  <c r="D85" i="18"/>
  <c r="C85" i="18"/>
  <c r="X84" i="18"/>
  <c r="V84" i="18"/>
  <c r="U84" i="18"/>
  <c r="S84" i="18"/>
  <c r="P84" i="18"/>
  <c r="W84" i="18" s="1"/>
  <c r="M84" i="18"/>
  <c r="T84" i="18" s="1"/>
  <c r="C84" i="18"/>
  <c r="D84" i="18" s="1"/>
  <c r="X83" i="18"/>
  <c r="V83" i="18"/>
  <c r="U83" i="18"/>
  <c r="S83" i="18"/>
  <c r="P83" i="18"/>
  <c r="W83" i="18" s="1"/>
  <c r="M83" i="18"/>
  <c r="T83" i="18" s="1"/>
  <c r="C83" i="18"/>
  <c r="D83" i="18" s="1"/>
  <c r="X82" i="18"/>
  <c r="V82" i="18"/>
  <c r="U82" i="18"/>
  <c r="S82" i="18"/>
  <c r="P82" i="18"/>
  <c r="W82" i="18" s="1"/>
  <c r="M82" i="18"/>
  <c r="T82" i="18" s="1"/>
  <c r="C82" i="18"/>
  <c r="D82" i="18" s="1"/>
  <c r="X81" i="18"/>
  <c r="V81" i="18"/>
  <c r="U81" i="18"/>
  <c r="S81" i="18"/>
  <c r="P81" i="18"/>
  <c r="W81" i="18" s="1"/>
  <c r="M81" i="18"/>
  <c r="T81" i="18" s="1"/>
  <c r="C81" i="18"/>
  <c r="D81" i="18" s="1"/>
  <c r="X80" i="18"/>
  <c r="V80" i="18"/>
  <c r="U80" i="18"/>
  <c r="S80" i="18"/>
  <c r="P80" i="18"/>
  <c r="W80" i="18" s="1"/>
  <c r="M80" i="18"/>
  <c r="T80" i="18" s="1"/>
  <c r="C80" i="18"/>
  <c r="D80" i="18" s="1"/>
  <c r="X79" i="18"/>
  <c r="V79" i="18"/>
  <c r="U79" i="18"/>
  <c r="S79" i="18"/>
  <c r="P79" i="18"/>
  <c r="W79" i="18" s="1"/>
  <c r="M79" i="18"/>
  <c r="T79" i="18" s="1"/>
  <c r="C79" i="18"/>
  <c r="D79" i="18" s="1"/>
  <c r="X78" i="18"/>
  <c r="V78" i="18"/>
  <c r="U78" i="18"/>
  <c r="S78" i="18"/>
  <c r="P78" i="18"/>
  <c r="W78" i="18" s="1"/>
  <c r="M78" i="18"/>
  <c r="T78" i="18" s="1"/>
  <c r="C78" i="18"/>
  <c r="D78" i="18" s="1"/>
  <c r="X77" i="18"/>
  <c r="V77" i="18"/>
  <c r="U77" i="18"/>
  <c r="T77" i="18"/>
  <c r="S77" i="18"/>
  <c r="P77" i="18"/>
  <c r="W77" i="18" s="1"/>
  <c r="M77" i="18"/>
  <c r="D77" i="18"/>
  <c r="C77" i="18"/>
  <c r="X76" i="18"/>
  <c r="V76" i="18"/>
  <c r="U76" i="18"/>
  <c r="S76" i="18"/>
  <c r="P76" i="18"/>
  <c r="W76" i="18" s="1"/>
  <c r="M76" i="18"/>
  <c r="T76" i="18" s="1"/>
  <c r="C76" i="18"/>
  <c r="D76" i="18" s="1"/>
  <c r="X75" i="18"/>
  <c r="V75" i="18"/>
  <c r="U75" i="18"/>
  <c r="S75" i="18"/>
  <c r="P75" i="18"/>
  <c r="W75" i="18" s="1"/>
  <c r="M75" i="18"/>
  <c r="T75" i="18" s="1"/>
  <c r="C75" i="18"/>
  <c r="D75" i="18" s="1"/>
  <c r="X74" i="18"/>
  <c r="V74" i="18"/>
  <c r="U74" i="18"/>
  <c r="S74" i="18"/>
  <c r="P74" i="18"/>
  <c r="W74" i="18" s="1"/>
  <c r="M74" i="18"/>
  <c r="T74" i="18" s="1"/>
  <c r="C74" i="18"/>
  <c r="D74" i="18" s="1"/>
  <c r="X73" i="18"/>
  <c r="V73" i="18"/>
  <c r="U73" i="18"/>
  <c r="S73" i="18"/>
  <c r="P73" i="18"/>
  <c r="W73" i="18" s="1"/>
  <c r="M73" i="18"/>
  <c r="T73" i="18" s="1"/>
  <c r="C73" i="18"/>
  <c r="D73" i="18" s="1"/>
  <c r="X72" i="18"/>
  <c r="V72" i="18"/>
  <c r="U72" i="18"/>
  <c r="S72" i="18"/>
  <c r="P72" i="18"/>
  <c r="W72" i="18" s="1"/>
  <c r="M72" i="18"/>
  <c r="T72" i="18" s="1"/>
  <c r="C72" i="18"/>
  <c r="D72" i="18" s="1"/>
  <c r="X71" i="18"/>
  <c r="V71" i="18"/>
  <c r="U71" i="18"/>
  <c r="S71" i="18"/>
  <c r="P71" i="18"/>
  <c r="W71" i="18" s="1"/>
  <c r="M71" i="18"/>
  <c r="T71" i="18" s="1"/>
  <c r="C71" i="18"/>
  <c r="D71" i="18" s="1"/>
  <c r="X70" i="18"/>
  <c r="V70" i="18"/>
  <c r="U70" i="18"/>
  <c r="S70" i="18"/>
  <c r="P70" i="18"/>
  <c r="W70" i="18" s="1"/>
  <c r="M70" i="18"/>
  <c r="T70" i="18" s="1"/>
  <c r="C70" i="18"/>
  <c r="D70" i="18" s="1"/>
  <c r="X69" i="18"/>
  <c r="V69" i="18"/>
  <c r="U69" i="18"/>
  <c r="T69" i="18"/>
  <c r="S69" i="18"/>
  <c r="P69" i="18"/>
  <c r="W69" i="18" s="1"/>
  <c r="M69" i="18"/>
  <c r="D69" i="18"/>
  <c r="C69" i="18"/>
  <c r="X68" i="18"/>
  <c r="V68" i="18"/>
  <c r="U68" i="18"/>
  <c r="S68" i="18"/>
  <c r="P68" i="18"/>
  <c r="W68" i="18" s="1"/>
  <c r="M68" i="18"/>
  <c r="T68" i="18" s="1"/>
  <c r="C68" i="18"/>
  <c r="D68" i="18" s="1"/>
  <c r="X67" i="18"/>
  <c r="V67" i="18"/>
  <c r="U67" i="18"/>
  <c r="S67" i="18"/>
  <c r="P67" i="18"/>
  <c r="W67" i="18" s="1"/>
  <c r="M67" i="18"/>
  <c r="T67" i="18" s="1"/>
  <c r="C67" i="18"/>
  <c r="D67" i="18" s="1"/>
  <c r="X66" i="18"/>
  <c r="V66" i="18"/>
  <c r="U66" i="18"/>
  <c r="S66" i="18"/>
  <c r="P66" i="18"/>
  <c r="W66" i="18" s="1"/>
  <c r="M66" i="18"/>
  <c r="T66" i="18" s="1"/>
  <c r="C66" i="18"/>
  <c r="D66" i="18" s="1"/>
  <c r="X65" i="18"/>
  <c r="V65" i="18"/>
  <c r="U65" i="18"/>
  <c r="S65" i="18"/>
  <c r="P65" i="18"/>
  <c r="W65" i="18" s="1"/>
  <c r="M65" i="18"/>
  <c r="T65" i="18" s="1"/>
  <c r="C65" i="18"/>
  <c r="D65" i="18" s="1"/>
  <c r="X64" i="18"/>
  <c r="V64" i="18"/>
  <c r="U64" i="18"/>
  <c r="S64" i="18"/>
  <c r="P64" i="18"/>
  <c r="W64" i="18" s="1"/>
  <c r="M64" i="18"/>
  <c r="T64" i="18" s="1"/>
  <c r="C64" i="18"/>
  <c r="D64" i="18" s="1"/>
  <c r="X63" i="18"/>
  <c r="V63" i="18"/>
  <c r="U63" i="18"/>
  <c r="S63" i="18"/>
  <c r="P63" i="18"/>
  <c r="W63" i="18" s="1"/>
  <c r="M63" i="18"/>
  <c r="T63" i="18" s="1"/>
  <c r="C63" i="18"/>
  <c r="D63" i="18" s="1"/>
  <c r="X62" i="18"/>
  <c r="V62" i="18"/>
  <c r="U62" i="18"/>
  <c r="S62" i="18"/>
  <c r="P62" i="18"/>
  <c r="W62" i="18" s="1"/>
  <c r="M62" i="18"/>
  <c r="T62" i="18" s="1"/>
  <c r="C62" i="18"/>
  <c r="D62" i="18" s="1"/>
  <c r="X61" i="18"/>
  <c r="V61" i="18"/>
  <c r="U61" i="18"/>
  <c r="T61" i="18"/>
  <c r="S61" i="18"/>
  <c r="P61" i="18"/>
  <c r="W61" i="18" s="1"/>
  <c r="M61" i="18"/>
  <c r="D61" i="18"/>
  <c r="C61" i="18"/>
  <c r="X60" i="18"/>
  <c r="V60" i="18"/>
  <c r="U60" i="18"/>
  <c r="S60" i="18"/>
  <c r="P60" i="18"/>
  <c r="W60" i="18" s="1"/>
  <c r="M60" i="18"/>
  <c r="T60" i="18" s="1"/>
  <c r="C60" i="18"/>
  <c r="D60" i="18" s="1"/>
  <c r="X59" i="18"/>
  <c r="V59" i="18"/>
  <c r="U59" i="18"/>
  <c r="S59" i="18"/>
  <c r="P59" i="18"/>
  <c r="W59" i="18" s="1"/>
  <c r="M59" i="18"/>
  <c r="T59" i="18" s="1"/>
  <c r="C59" i="18"/>
  <c r="D59" i="18" s="1"/>
  <c r="X58" i="18"/>
  <c r="V58" i="18"/>
  <c r="U58" i="18"/>
  <c r="S58" i="18"/>
  <c r="P58" i="18"/>
  <c r="W58" i="18" s="1"/>
  <c r="M58" i="18"/>
  <c r="T58" i="18" s="1"/>
  <c r="C58" i="18"/>
  <c r="D58" i="18" s="1"/>
  <c r="X57" i="18"/>
  <c r="V57" i="18"/>
  <c r="U57" i="18"/>
  <c r="S57" i="18"/>
  <c r="P57" i="18"/>
  <c r="W57" i="18" s="1"/>
  <c r="M57" i="18"/>
  <c r="T57" i="18" s="1"/>
  <c r="C57" i="18"/>
  <c r="D57" i="18" s="1"/>
  <c r="X56" i="18"/>
  <c r="V56" i="18"/>
  <c r="U56" i="18"/>
  <c r="S56" i="18"/>
  <c r="P56" i="18"/>
  <c r="W56" i="18" s="1"/>
  <c r="M56" i="18"/>
  <c r="T56" i="18" s="1"/>
  <c r="C56" i="18"/>
  <c r="D56" i="18" s="1"/>
  <c r="X55" i="18"/>
  <c r="V55" i="18"/>
  <c r="U55" i="18"/>
  <c r="S55" i="18"/>
  <c r="P55" i="18"/>
  <c r="W55" i="18" s="1"/>
  <c r="M55" i="18"/>
  <c r="T55" i="18" s="1"/>
  <c r="C55" i="18"/>
  <c r="D55" i="18" s="1"/>
  <c r="X54" i="18"/>
  <c r="V54" i="18"/>
  <c r="U54" i="18"/>
  <c r="S54" i="18"/>
  <c r="P54" i="18"/>
  <c r="W54" i="18" s="1"/>
  <c r="M54" i="18"/>
  <c r="T54" i="18" s="1"/>
  <c r="C54" i="18"/>
  <c r="D54" i="18" s="1"/>
  <c r="X53" i="18"/>
  <c r="V53" i="18"/>
  <c r="U53" i="18"/>
  <c r="T53" i="18"/>
  <c r="S53" i="18"/>
  <c r="P53" i="18"/>
  <c r="W53" i="18" s="1"/>
  <c r="M53" i="18"/>
  <c r="D53" i="18"/>
  <c r="C53" i="18"/>
  <c r="X52" i="18"/>
  <c r="V52" i="18"/>
  <c r="U52" i="18"/>
  <c r="S52" i="18"/>
  <c r="P52" i="18"/>
  <c r="W52" i="18" s="1"/>
  <c r="M52" i="18"/>
  <c r="T52" i="18" s="1"/>
  <c r="C52" i="18"/>
  <c r="D52" i="18" s="1"/>
  <c r="X51" i="18"/>
  <c r="V51" i="18"/>
  <c r="U51" i="18"/>
  <c r="S51" i="18"/>
  <c r="P51" i="18"/>
  <c r="W51" i="18" s="1"/>
  <c r="M51" i="18"/>
  <c r="T51" i="18" s="1"/>
  <c r="C51" i="18"/>
  <c r="D51" i="18" s="1"/>
  <c r="X50" i="18"/>
  <c r="V50" i="18"/>
  <c r="U50" i="18"/>
  <c r="S50" i="18"/>
  <c r="P50" i="18"/>
  <c r="W50" i="18" s="1"/>
  <c r="M50" i="18"/>
  <c r="T50" i="18" s="1"/>
  <c r="C50" i="18"/>
  <c r="D50" i="18" s="1"/>
  <c r="X49" i="18"/>
  <c r="V49" i="18"/>
  <c r="U49" i="18"/>
  <c r="S49" i="18"/>
  <c r="P49" i="18"/>
  <c r="W49" i="18" s="1"/>
  <c r="M49" i="18"/>
  <c r="T49" i="18" s="1"/>
  <c r="C49" i="18"/>
  <c r="D49" i="18" s="1"/>
  <c r="X48" i="18"/>
  <c r="V48" i="18"/>
  <c r="U48" i="18"/>
  <c r="S48" i="18"/>
  <c r="P48" i="18"/>
  <c r="W48" i="18" s="1"/>
  <c r="M48" i="18"/>
  <c r="T48" i="18" s="1"/>
  <c r="C48" i="18"/>
  <c r="D48" i="18" s="1"/>
  <c r="X47" i="18"/>
  <c r="V47" i="18"/>
  <c r="U47" i="18"/>
  <c r="S47" i="18"/>
  <c r="P47" i="18"/>
  <c r="W47" i="18" s="1"/>
  <c r="M47" i="18"/>
  <c r="T47" i="18" s="1"/>
  <c r="C47" i="18"/>
  <c r="D47" i="18" s="1"/>
  <c r="X46" i="18"/>
  <c r="V46" i="18"/>
  <c r="U46" i="18"/>
  <c r="S46" i="18"/>
  <c r="P46" i="18"/>
  <c r="W46" i="18" s="1"/>
  <c r="M46" i="18"/>
  <c r="T46" i="18" s="1"/>
  <c r="C46" i="18"/>
  <c r="D46" i="18" s="1"/>
  <c r="X45" i="18"/>
  <c r="V45" i="18"/>
  <c r="U45" i="18"/>
  <c r="T45" i="18"/>
  <c r="S45" i="18"/>
  <c r="P45" i="18"/>
  <c r="W45" i="18" s="1"/>
  <c r="M45" i="18"/>
  <c r="D45" i="18"/>
  <c r="C45" i="18"/>
  <c r="X44" i="18"/>
  <c r="V44" i="18"/>
  <c r="U44" i="18"/>
  <c r="S44" i="18"/>
  <c r="P44" i="18"/>
  <c r="W44" i="18" s="1"/>
  <c r="M44" i="18"/>
  <c r="T44" i="18" s="1"/>
  <c r="C44" i="18"/>
  <c r="D44" i="18" s="1"/>
  <c r="X43" i="18"/>
  <c r="V43" i="18"/>
  <c r="U43" i="18"/>
  <c r="S43" i="18"/>
  <c r="P43" i="18"/>
  <c r="W43" i="18" s="1"/>
  <c r="M43" i="18"/>
  <c r="T43" i="18" s="1"/>
  <c r="C43" i="18"/>
  <c r="D43" i="18" s="1"/>
  <c r="X42" i="18"/>
  <c r="V42" i="18"/>
  <c r="U42" i="18"/>
  <c r="S42" i="18"/>
  <c r="P42" i="18"/>
  <c r="W42" i="18" s="1"/>
  <c r="M42" i="18"/>
  <c r="T42" i="18" s="1"/>
  <c r="C42" i="18"/>
  <c r="D42" i="18" s="1"/>
  <c r="X41" i="18"/>
  <c r="V41" i="18"/>
  <c r="U41" i="18"/>
  <c r="S41" i="18"/>
  <c r="P41" i="18"/>
  <c r="W41" i="18" s="1"/>
  <c r="M41" i="18"/>
  <c r="T41" i="18" s="1"/>
  <c r="C41" i="18"/>
  <c r="D41" i="18" s="1"/>
  <c r="X40" i="18"/>
  <c r="V40" i="18"/>
  <c r="U40" i="18"/>
  <c r="S40" i="18"/>
  <c r="P40" i="18"/>
  <c r="W40" i="18" s="1"/>
  <c r="M40" i="18"/>
  <c r="T40" i="18" s="1"/>
  <c r="C40" i="18"/>
  <c r="D40" i="18" s="1"/>
  <c r="X39" i="18"/>
  <c r="V39" i="18"/>
  <c r="U39" i="18"/>
  <c r="S39" i="18"/>
  <c r="P39" i="18"/>
  <c r="W39" i="18" s="1"/>
  <c r="M39" i="18"/>
  <c r="T39" i="18" s="1"/>
  <c r="C39" i="18"/>
  <c r="D39" i="18" s="1"/>
  <c r="X38" i="18"/>
  <c r="V38" i="18"/>
  <c r="U38" i="18"/>
  <c r="S38" i="18"/>
  <c r="P38" i="18"/>
  <c r="W38" i="18" s="1"/>
  <c r="M38" i="18"/>
  <c r="T38" i="18" s="1"/>
  <c r="C38" i="18"/>
  <c r="D38" i="18" s="1"/>
  <c r="X37" i="18"/>
  <c r="V37" i="18"/>
  <c r="U37" i="18"/>
  <c r="T37" i="18"/>
  <c r="S37" i="18"/>
  <c r="P37" i="18"/>
  <c r="W37" i="18" s="1"/>
  <c r="M37" i="18"/>
  <c r="D37" i="18"/>
  <c r="C37" i="18"/>
  <c r="X36" i="18"/>
  <c r="V36" i="18"/>
  <c r="U36" i="18"/>
  <c r="S36" i="18"/>
  <c r="P36" i="18"/>
  <c r="W36" i="18" s="1"/>
  <c r="M36" i="18"/>
  <c r="T36" i="18" s="1"/>
  <c r="C36" i="18"/>
  <c r="D36" i="18" s="1"/>
  <c r="X35" i="18"/>
  <c r="V35" i="18"/>
  <c r="U35" i="18"/>
  <c r="S35" i="18"/>
  <c r="P35" i="18"/>
  <c r="W35" i="18" s="1"/>
  <c r="M35" i="18"/>
  <c r="T35" i="18" s="1"/>
  <c r="C35" i="18"/>
  <c r="D35" i="18" s="1"/>
  <c r="X34" i="18"/>
  <c r="V34" i="18"/>
  <c r="U34" i="18"/>
  <c r="S34" i="18"/>
  <c r="P34" i="18"/>
  <c r="W34" i="18" s="1"/>
  <c r="M34" i="18"/>
  <c r="T34" i="18" s="1"/>
  <c r="C34" i="18"/>
  <c r="D34" i="18" s="1"/>
  <c r="X33" i="18"/>
  <c r="V33" i="18"/>
  <c r="U33" i="18"/>
  <c r="S33" i="18"/>
  <c r="P33" i="18"/>
  <c r="W33" i="18" s="1"/>
  <c r="M33" i="18"/>
  <c r="T33" i="18" s="1"/>
  <c r="C33" i="18"/>
  <c r="D33" i="18" s="1"/>
  <c r="X32" i="18"/>
  <c r="V32" i="18"/>
  <c r="U32" i="18"/>
  <c r="S32" i="18"/>
  <c r="P32" i="18"/>
  <c r="W32" i="18" s="1"/>
  <c r="M32" i="18"/>
  <c r="T32" i="18" s="1"/>
  <c r="C32" i="18"/>
  <c r="D32" i="18" s="1"/>
  <c r="X31" i="18"/>
  <c r="V31" i="18"/>
  <c r="U31" i="18"/>
  <c r="S31" i="18"/>
  <c r="P31" i="18"/>
  <c r="W31" i="18" s="1"/>
  <c r="M31" i="18"/>
  <c r="T31" i="18" s="1"/>
  <c r="C31" i="18"/>
  <c r="D31" i="18" s="1"/>
  <c r="X30" i="18"/>
  <c r="V30" i="18"/>
  <c r="U30" i="18"/>
  <c r="S30" i="18"/>
  <c r="P30" i="18"/>
  <c r="W30" i="18" s="1"/>
  <c r="M30" i="18"/>
  <c r="T30" i="18" s="1"/>
  <c r="C30" i="18"/>
  <c r="D30" i="18" s="1"/>
  <c r="X29" i="18"/>
  <c r="V29" i="18"/>
  <c r="U29" i="18"/>
  <c r="T29" i="18"/>
  <c r="S29" i="18"/>
  <c r="P29" i="18"/>
  <c r="W29" i="18" s="1"/>
  <c r="M29" i="18"/>
  <c r="D29" i="18"/>
  <c r="C29" i="18"/>
  <c r="X28" i="18"/>
  <c r="V28" i="18"/>
  <c r="U28" i="18"/>
  <c r="S28" i="18"/>
  <c r="P28" i="18"/>
  <c r="W28" i="18" s="1"/>
  <c r="M28" i="18"/>
  <c r="T28" i="18" s="1"/>
  <c r="C28" i="18"/>
  <c r="D28" i="18" s="1"/>
  <c r="X27" i="18"/>
  <c r="V27" i="18"/>
  <c r="U27" i="18"/>
  <c r="S27" i="18"/>
  <c r="P27" i="18"/>
  <c r="W27" i="18" s="1"/>
  <c r="M27" i="18"/>
  <c r="T27" i="18" s="1"/>
  <c r="C27" i="18"/>
  <c r="D27" i="18" s="1"/>
  <c r="X26" i="18"/>
  <c r="V26" i="18"/>
  <c r="U26" i="18"/>
  <c r="S26" i="18"/>
  <c r="P26" i="18"/>
  <c r="W26" i="18" s="1"/>
  <c r="M26" i="18"/>
  <c r="T26" i="18" s="1"/>
  <c r="C26" i="18"/>
  <c r="D26" i="18" s="1"/>
  <c r="X25" i="18"/>
  <c r="V25" i="18"/>
  <c r="U25" i="18"/>
  <c r="S25" i="18"/>
  <c r="P25" i="18"/>
  <c r="W25" i="18" s="1"/>
  <c r="M25" i="18"/>
  <c r="T25" i="18" s="1"/>
  <c r="C25" i="18"/>
  <c r="D25" i="18" s="1"/>
  <c r="X24" i="18"/>
  <c r="V24" i="18"/>
  <c r="U24" i="18"/>
  <c r="S24" i="18"/>
  <c r="P24" i="18"/>
  <c r="W24" i="18" s="1"/>
  <c r="M24" i="18"/>
  <c r="T24" i="18" s="1"/>
  <c r="C24" i="18"/>
  <c r="D24" i="18" s="1"/>
  <c r="X23" i="18"/>
  <c r="V23" i="18"/>
  <c r="U23" i="18"/>
  <c r="S23" i="18"/>
  <c r="P23" i="18"/>
  <c r="W23" i="18" s="1"/>
  <c r="M23" i="18"/>
  <c r="T23" i="18" s="1"/>
  <c r="C23" i="18"/>
  <c r="D23" i="18" s="1"/>
  <c r="X22" i="18"/>
  <c r="V22" i="18"/>
  <c r="U22" i="18"/>
  <c r="S22" i="18"/>
  <c r="P22" i="18"/>
  <c r="W22" i="18" s="1"/>
  <c r="M22" i="18"/>
  <c r="C22" i="18"/>
  <c r="D22" i="18" s="1"/>
  <c r="I11" i="6"/>
  <c r="T22" i="18" l="1"/>
  <c r="M13" i="18"/>
  <c r="Q22" i="19"/>
  <c r="F10" i="6" l="1"/>
  <c r="D10" i="6"/>
  <c r="P10" i="6" l="1"/>
  <c r="M10" i="6"/>
  <c r="R10" i="6"/>
  <c r="P12" i="6" l="1"/>
  <c r="R12" i="6"/>
  <c r="P13" i="6"/>
  <c r="R13" i="6"/>
  <c r="P14" i="6"/>
  <c r="R14" i="6"/>
  <c r="S14" i="6"/>
  <c r="P15" i="6"/>
  <c r="R15" i="6"/>
  <c r="P16" i="6"/>
  <c r="R16" i="6"/>
  <c r="P17" i="6"/>
  <c r="R17" i="6"/>
  <c r="P18" i="6"/>
  <c r="R18" i="6"/>
  <c r="P19" i="6"/>
  <c r="R19" i="6"/>
  <c r="P20" i="6"/>
  <c r="R20" i="6"/>
  <c r="P11" i="6"/>
  <c r="R11" i="6"/>
  <c r="I12" i="6"/>
  <c r="I13" i="6"/>
  <c r="I14" i="6"/>
  <c r="I15" i="6"/>
  <c r="I16" i="6"/>
  <c r="I17" i="6"/>
  <c r="I18" i="6"/>
  <c r="I19" i="6"/>
  <c r="I20" i="6"/>
  <c r="S24" i="17"/>
  <c r="U24" i="17"/>
  <c r="V24" i="17"/>
  <c r="X24" i="17"/>
  <c r="S25" i="17"/>
  <c r="U25" i="17"/>
  <c r="V25" i="17"/>
  <c r="X25" i="17"/>
  <c r="S26" i="17"/>
  <c r="U26" i="17"/>
  <c r="V26" i="17"/>
  <c r="X26" i="17"/>
  <c r="S27" i="17"/>
  <c r="U27" i="17"/>
  <c r="V27" i="17"/>
  <c r="X27" i="17"/>
  <c r="S28" i="17"/>
  <c r="U28" i="17"/>
  <c r="V28" i="17"/>
  <c r="X28" i="17"/>
  <c r="S29" i="17"/>
  <c r="U29" i="17"/>
  <c r="V29" i="17"/>
  <c r="X29" i="17"/>
  <c r="S30" i="17"/>
  <c r="U30" i="17"/>
  <c r="V30" i="17"/>
  <c r="X30" i="17"/>
  <c r="S31" i="17"/>
  <c r="U31" i="17"/>
  <c r="V31" i="17"/>
  <c r="X31" i="17"/>
  <c r="S32" i="17"/>
  <c r="U32" i="17"/>
  <c r="V32" i="17"/>
  <c r="X32" i="17"/>
  <c r="S33" i="17"/>
  <c r="U33" i="17"/>
  <c r="V33" i="17"/>
  <c r="X33" i="17"/>
  <c r="S34" i="17"/>
  <c r="U34" i="17"/>
  <c r="V34" i="17"/>
  <c r="X34" i="17"/>
  <c r="S35" i="17"/>
  <c r="U35" i="17"/>
  <c r="V35" i="17"/>
  <c r="X35" i="17"/>
  <c r="S36" i="17"/>
  <c r="U36" i="17"/>
  <c r="V36" i="17"/>
  <c r="X36" i="17"/>
  <c r="S37" i="17"/>
  <c r="U37" i="17"/>
  <c r="V37" i="17"/>
  <c r="X37" i="17"/>
  <c r="S38" i="17"/>
  <c r="U38" i="17"/>
  <c r="V38" i="17"/>
  <c r="X38" i="17"/>
  <c r="S39" i="17"/>
  <c r="U39" i="17"/>
  <c r="V39" i="17"/>
  <c r="X39" i="17"/>
  <c r="S40" i="17"/>
  <c r="U40" i="17"/>
  <c r="V40" i="17"/>
  <c r="X40" i="17"/>
  <c r="S41" i="17"/>
  <c r="U41" i="17"/>
  <c r="V41" i="17"/>
  <c r="X41" i="17"/>
  <c r="S42" i="17"/>
  <c r="U42" i="17"/>
  <c r="V42" i="17"/>
  <c r="X42" i="17"/>
  <c r="S43" i="17"/>
  <c r="U43" i="17"/>
  <c r="V43" i="17"/>
  <c r="X43" i="17"/>
  <c r="S44" i="17"/>
  <c r="U44" i="17"/>
  <c r="V44" i="17"/>
  <c r="X44" i="17"/>
  <c r="S45" i="17"/>
  <c r="U45" i="17"/>
  <c r="V45" i="17"/>
  <c r="X45" i="17"/>
  <c r="S46" i="17"/>
  <c r="U46" i="17"/>
  <c r="V46" i="17"/>
  <c r="X46" i="17"/>
  <c r="S47" i="17"/>
  <c r="U47" i="17"/>
  <c r="V47" i="17"/>
  <c r="X47" i="17"/>
  <c r="S48" i="17"/>
  <c r="U48" i="17"/>
  <c r="V48" i="17"/>
  <c r="X48" i="17"/>
  <c r="S49" i="17"/>
  <c r="U49" i="17"/>
  <c r="V49" i="17"/>
  <c r="X49" i="17"/>
  <c r="S50" i="17"/>
  <c r="U50" i="17"/>
  <c r="V50" i="17"/>
  <c r="X50" i="17"/>
  <c r="S51" i="17"/>
  <c r="U51" i="17"/>
  <c r="V51" i="17"/>
  <c r="X51" i="17"/>
  <c r="S52" i="17"/>
  <c r="U52" i="17"/>
  <c r="V52" i="17"/>
  <c r="X52" i="17"/>
  <c r="S53" i="17"/>
  <c r="U53" i="17"/>
  <c r="V53" i="17"/>
  <c r="X53" i="17"/>
  <c r="S54" i="17"/>
  <c r="U54" i="17"/>
  <c r="V54" i="17"/>
  <c r="X54" i="17"/>
  <c r="S55" i="17"/>
  <c r="U55" i="17"/>
  <c r="V55" i="17"/>
  <c r="X55" i="17"/>
  <c r="S56" i="17"/>
  <c r="U56" i="17"/>
  <c r="V56" i="17"/>
  <c r="X56" i="17"/>
  <c r="S57" i="17"/>
  <c r="U57" i="17"/>
  <c r="V57" i="17"/>
  <c r="X57" i="17"/>
  <c r="S58" i="17"/>
  <c r="U58" i="17"/>
  <c r="V58" i="17"/>
  <c r="X58" i="17"/>
  <c r="S59" i="17"/>
  <c r="U59" i="17"/>
  <c r="V59" i="17"/>
  <c r="X59" i="17"/>
  <c r="S60" i="17"/>
  <c r="U60" i="17"/>
  <c r="V60" i="17"/>
  <c r="X60" i="17"/>
  <c r="S61" i="17"/>
  <c r="U61" i="17"/>
  <c r="V61" i="17"/>
  <c r="X61" i="17"/>
  <c r="S62" i="17"/>
  <c r="U62" i="17"/>
  <c r="V62" i="17"/>
  <c r="X62" i="17"/>
  <c r="S63" i="17"/>
  <c r="U63" i="17"/>
  <c r="V63" i="17"/>
  <c r="X63" i="17"/>
  <c r="S64" i="17"/>
  <c r="U64" i="17"/>
  <c r="V64" i="17"/>
  <c r="X64" i="17"/>
  <c r="S65" i="17"/>
  <c r="U65" i="17"/>
  <c r="V65" i="17"/>
  <c r="X65" i="17"/>
  <c r="S66" i="17"/>
  <c r="U66" i="17"/>
  <c r="V66" i="17"/>
  <c r="X66" i="17"/>
  <c r="S67" i="17"/>
  <c r="U67" i="17"/>
  <c r="V67" i="17"/>
  <c r="X67" i="17"/>
  <c r="S68" i="17"/>
  <c r="U68" i="17"/>
  <c r="V68" i="17"/>
  <c r="X68" i="17"/>
  <c r="S69" i="17"/>
  <c r="U69" i="17"/>
  <c r="V69" i="17"/>
  <c r="X69" i="17"/>
  <c r="S70" i="17"/>
  <c r="U70" i="17"/>
  <c r="V70" i="17"/>
  <c r="X70" i="17"/>
  <c r="S71" i="17"/>
  <c r="U71" i="17"/>
  <c r="V71" i="17"/>
  <c r="X71" i="17"/>
  <c r="S72" i="17"/>
  <c r="U72" i="17"/>
  <c r="V72" i="17"/>
  <c r="X72" i="17"/>
  <c r="S73" i="17"/>
  <c r="U73" i="17"/>
  <c r="V73" i="17"/>
  <c r="X73" i="17"/>
  <c r="S74" i="17"/>
  <c r="U74" i="17"/>
  <c r="V74" i="17"/>
  <c r="X74" i="17"/>
  <c r="S75" i="17"/>
  <c r="U75" i="17"/>
  <c r="V75" i="17"/>
  <c r="X75" i="17"/>
  <c r="S76" i="17"/>
  <c r="U76" i="17"/>
  <c r="V76" i="17"/>
  <c r="X76" i="17"/>
  <c r="S77" i="17"/>
  <c r="U77" i="17"/>
  <c r="V77" i="17"/>
  <c r="X77" i="17"/>
  <c r="S78" i="17"/>
  <c r="U78" i="17"/>
  <c r="V78" i="17"/>
  <c r="X78" i="17"/>
  <c r="S79" i="17"/>
  <c r="U79" i="17"/>
  <c r="V79" i="17"/>
  <c r="X79" i="17"/>
  <c r="S80" i="17"/>
  <c r="U80" i="17"/>
  <c r="V80" i="17"/>
  <c r="X80" i="17"/>
  <c r="S81" i="17"/>
  <c r="U81" i="17"/>
  <c r="V81" i="17"/>
  <c r="X81" i="17"/>
  <c r="S82" i="17"/>
  <c r="U82" i="17"/>
  <c r="V82" i="17"/>
  <c r="X82" i="17"/>
  <c r="S83" i="17"/>
  <c r="U83" i="17"/>
  <c r="V83" i="17"/>
  <c r="X83" i="17"/>
  <c r="S84" i="17"/>
  <c r="U84" i="17"/>
  <c r="V84" i="17"/>
  <c r="X84" i="17"/>
  <c r="S85" i="17"/>
  <c r="U85" i="17"/>
  <c r="V85" i="17"/>
  <c r="X85" i="17"/>
  <c r="S86" i="17"/>
  <c r="U86" i="17"/>
  <c r="V86" i="17"/>
  <c r="X86" i="17"/>
  <c r="S87" i="17"/>
  <c r="U87" i="17"/>
  <c r="V87" i="17"/>
  <c r="X87" i="17"/>
  <c r="S88" i="17"/>
  <c r="U88" i="17"/>
  <c r="V88" i="17"/>
  <c r="X88" i="17"/>
  <c r="S89" i="17"/>
  <c r="U89" i="17"/>
  <c r="V89" i="17"/>
  <c r="X89" i="17"/>
  <c r="S90" i="17"/>
  <c r="U90" i="17"/>
  <c r="V90" i="17"/>
  <c r="X90" i="17"/>
  <c r="S91" i="17"/>
  <c r="U91" i="17"/>
  <c r="V91" i="17"/>
  <c r="X91" i="17"/>
  <c r="S92" i="17"/>
  <c r="U92" i="17"/>
  <c r="V92" i="17"/>
  <c r="X92" i="17"/>
  <c r="S93" i="17"/>
  <c r="U93" i="17"/>
  <c r="V93" i="17"/>
  <c r="X93" i="17"/>
  <c r="S94" i="17"/>
  <c r="U94" i="17"/>
  <c r="V94" i="17"/>
  <c r="X94" i="17"/>
  <c r="S95" i="17"/>
  <c r="U95" i="17"/>
  <c r="V95" i="17"/>
  <c r="X95" i="17"/>
  <c r="S96" i="17"/>
  <c r="U96" i="17"/>
  <c r="V96" i="17"/>
  <c r="X96" i="17"/>
  <c r="S97" i="17"/>
  <c r="U97" i="17"/>
  <c r="V97" i="17"/>
  <c r="X97" i="17"/>
  <c r="S98" i="17"/>
  <c r="U98" i="17"/>
  <c r="V98" i="17"/>
  <c r="X98" i="17"/>
  <c r="S99" i="17"/>
  <c r="U99" i="17"/>
  <c r="V99" i="17"/>
  <c r="X99" i="17"/>
  <c r="S100" i="17"/>
  <c r="U100" i="17"/>
  <c r="V100" i="17"/>
  <c r="X100" i="17"/>
  <c r="S101" i="17"/>
  <c r="U101" i="17"/>
  <c r="V101" i="17"/>
  <c r="X101" i="17"/>
  <c r="S102" i="17"/>
  <c r="U102" i="17"/>
  <c r="V102" i="17"/>
  <c r="X102" i="17"/>
  <c r="S103" i="17"/>
  <c r="U103" i="17"/>
  <c r="V103" i="17"/>
  <c r="X103" i="17"/>
  <c r="S104" i="17"/>
  <c r="U104" i="17"/>
  <c r="V104" i="17"/>
  <c r="X104" i="17"/>
  <c r="S105" i="17"/>
  <c r="U105" i="17"/>
  <c r="V105" i="17"/>
  <c r="X105" i="17"/>
  <c r="S106" i="17"/>
  <c r="U106" i="17"/>
  <c r="V106" i="17"/>
  <c r="X106" i="17"/>
  <c r="S107" i="17"/>
  <c r="U107" i="17"/>
  <c r="V107" i="17"/>
  <c r="X107" i="17"/>
  <c r="S108" i="17"/>
  <c r="U108" i="17"/>
  <c r="V108" i="17"/>
  <c r="X108" i="17"/>
  <c r="S109" i="17"/>
  <c r="U109" i="17"/>
  <c r="V109" i="17"/>
  <c r="X109" i="17"/>
  <c r="S110" i="17"/>
  <c r="U110" i="17"/>
  <c r="V110" i="17"/>
  <c r="X110" i="17"/>
  <c r="S111" i="17"/>
  <c r="U111" i="17"/>
  <c r="V111" i="17"/>
  <c r="X111" i="17"/>
  <c r="S112" i="17"/>
  <c r="U112" i="17"/>
  <c r="V112" i="17"/>
  <c r="X112" i="17"/>
  <c r="S113" i="17"/>
  <c r="U113" i="17"/>
  <c r="V113" i="17"/>
  <c r="X113" i="17"/>
  <c r="S114" i="17"/>
  <c r="U114" i="17"/>
  <c r="V114" i="17"/>
  <c r="X114" i="17"/>
  <c r="S115" i="17"/>
  <c r="U115" i="17"/>
  <c r="V115" i="17"/>
  <c r="X115" i="17"/>
  <c r="S116" i="17"/>
  <c r="U116" i="17"/>
  <c r="V116" i="17"/>
  <c r="X116" i="17"/>
  <c r="S117" i="17"/>
  <c r="U117" i="17"/>
  <c r="V117" i="17"/>
  <c r="X117" i="17"/>
  <c r="S118" i="17"/>
  <c r="U118" i="17"/>
  <c r="V118" i="17"/>
  <c r="X118" i="17"/>
  <c r="S119" i="17"/>
  <c r="U119" i="17"/>
  <c r="V119" i="17"/>
  <c r="X119" i="17"/>
  <c r="S120" i="17"/>
  <c r="U120" i="17"/>
  <c r="V120" i="17"/>
  <c r="X120" i="17"/>
  <c r="S121" i="17"/>
  <c r="U121" i="17"/>
  <c r="V121" i="17"/>
  <c r="X121" i="17"/>
  <c r="S122" i="17"/>
  <c r="U122" i="17"/>
  <c r="V122" i="17"/>
  <c r="X122" i="17"/>
  <c r="S123" i="17"/>
  <c r="U123" i="17"/>
  <c r="V123" i="17"/>
  <c r="X123" i="17"/>
  <c r="S124" i="17"/>
  <c r="U124" i="17"/>
  <c r="V124" i="17"/>
  <c r="X124" i="17"/>
  <c r="S125" i="17"/>
  <c r="U125" i="17"/>
  <c r="V125" i="17"/>
  <c r="X125" i="17"/>
  <c r="S126" i="17"/>
  <c r="U126" i="17"/>
  <c r="V126" i="17"/>
  <c r="X126" i="17"/>
  <c r="S127" i="17"/>
  <c r="U127" i="17"/>
  <c r="V127" i="17"/>
  <c r="X127" i="17"/>
  <c r="S128" i="17"/>
  <c r="U128" i="17"/>
  <c r="V128" i="17"/>
  <c r="X128" i="17"/>
  <c r="S129" i="17"/>
  <c r="U129" i="17"/>
  <c r="V129" i="17"/>
  <c r="X129" i="17"/>
  <c r="S130" i="17"/>
  <c r="U130" i="17"/>
  <c r="V130" i="17"/>
  <c r="X130" i="17"/>
  <c r="S131" i="17"/>
  <c r="U131" i="17"/>
  <c r="V131" i="17"/>
  <c r="X131" i="17"/>
  <c r="S132" i="17"/>
  <c r="U132" i="17"/>
  <c r="V132" i="17"/>
  <c r="X132" i="17"/>
  <c r="S133" i="17"/>
  <c r="U133" i="17"/>
  <c r="V133" i="17"/>
  <c r="X133" i="17"/>
  <c r="S134" i="17"/>
  <c r="U134" i="17"/>
  <c r="V134" i="17"/>
  <c r="X134" i="17"/>
  <c r="S135" i="17"/>
  <c r="U135" i="17"/>
  <c r="V135" i="17"/>
  <c r="X135" i="17"/>
  <c r="S136" i="17"/>
  <c r="U136" i="17"/>
  <c r="V136" i="17"/>
  <c r="X136" i="17"/>
  <c r="S137" i="17"/>
  <c r="U137" i="17"/>
  <c r="V137" i="17"/>
  <c r="X137" i="17"/>
  <c r="S138" i="17"/>
  <c r="U138" i="17"/>
  <c r="V138" i="17"/>
  <c r="X138" i="17"/>
  <c r="S139" i="17"/>
  <c r="U139" i="17"/>
  <c r="V139" i="17"/>
  <c r="X139" i="17"/>
  <c r="S140" i="17"/>
  <c r="U140" i="17"/>
  <c r="V140" i="17"/>
  <c r="X140" i="17"/>
  <c r="S141" i="17"/>
  <c r="U141" i="17"/>
  <c r="V141" i="17"/>
  <c r="X141" i="17"/>
  <c r="S142" i="17"/>
  <c r="U142" i="17"/>
  <c r="V142" i="17"/>
  <c r="X142" i="17"/>
  <c r="S143" i="17"/>
  <c r="U143" i="17"/>
  <c r="V143" i="17"/>
  <c r="X143" i="17"/>
  <c r="S144" i="17"/>
  <c r="U144" i="17"/>
  <c r="V144" i="17"/>
  <c r="X144" i="17"/>
  <c r="S145" i="17"/>
  <c r="U145" i="17"/>
  <c r="V145" i="17"/>
  <c r="X145" i="17"/>
  <c r="S146" i="17"/>
  <c r="U146" i="17"/>
  <c r="V146" i="17"/>
  <c r="X146" i="17"/>
  <c r="S147" i="17"/>
  <c r="U147" i="17"/>
  <c r="V147" i="17"/>
  <c r="X147" i="17"/>
  <c r="S148" i="17"/>
  <c r="U148" i="17"/>
  <c r="V148" i="17"/>
  <c r="X148" i="17"/>
  <c r="S149" i="17"/>
  <c r="U149" i="17"/>
  <c r="V149" i="17"/>
  <c r="X149" i="17"/>
  <c r="S150" i="17"/>
  <c r="U150" i="17"/>
  <c r="V150" i="17"/>
  <c r="X150" i="17"/>
  <c r="S151" i="17"/>
  <c r="U151" i="17"/>
  <c r="V151" i="17"/>
  <c r="X151" i="17"/>
  <c r="S152" i="17"/>
  <c r="U152" i="17"/>
  <c r="V152" i="17"/>
  <c r="X152" i="17"/>
  <c r="S153" i="17"/>
  <c r="U153" i="17"/>
  <c r="V153" i="17"/>
  <c r="X153" i="17"/>
  <c r="S154" i="17"/>
  <c r="U154" i="17"/>
  <c r="V154" i="17"/>
  <c r="X154" i="17"/>
  <c r="S155" i="17"/>
  <c r="U155" i="17"/>
  <c r="V155" i="17"/>
  <c r="X155" i="17"/>
  <c r="S156" i="17"/>
  <c r="U156" i="17"/>
  <c r="V156" i="17"/>
  <c r="X156" i="17"/>
  <c r="S157" i="17"/>
  <c r="U157" i="17"/>
  <c r="V157" i="17"/>
  <c r="X157" i="17"/>
  <c r="S158" i="17"/>
  <c r="U158" i="17"/>
  <c r="V158" i="17"/>
  <c r="X158" i="17"/>
  <c r="S159" i="17"/>
  <c r="U159" i="17"/>
  <c r="V159" i="17"/>
  <c r="X159" i="17"/>
  <c r="S160" i="17"/>
  <c r="U160" i="17"/>
  <c r="V160" i="17"/>
  <c r="X160" i="17"/>
  <c r="S161" i="17"/>
  <c r="U161" i="17"/>
  <c r="V161" i="17"/>
  <c r="X161" i="17"/>
  <c r="S162" i="17"/>
  <c r="U162" i="17"/>
  <c r="V162" i="17"/>
  <c r="X162" i="17"/>
  <c r="S163" i="17"/>
  <c r="U163" i="17"/>
  <c r="V163" i="17"/>
  <c r="X163" i="17"/>
  <c r="S164" i="17"/>
  <c r="U164" i="17"/>
  <c r="V164" i="17"/>
  <c r="X164" i="17"/>
  <c r="S165" i="17"/>
  <c r="U165" i="17"/>
  <c r="V165" i="17"/>
  <c r="X165" i="17"/>
  <c r="S166" i="17"/>
  <c r="U166" i="17"/>
  <c r="V166" i="17"/>
  <c r="X166" i="17"/>
  <c r="S167" i="17"/>
  <c r="U167" i="17"/>
  <c r="V167" i="17"/>
  <c r="X167" i="17"/>
  <c r="S168" i="17"/>
  <c r="U168" i="17"/>
  <c r="V168" i="17"/>
  <c r="X168" i="17"/>
  <c r="S169" i="17"/>
  <c r="U169" i="17"/>
  <c r="V169" i="17"/>
  <c r="X169" i="17"/>
  <c r="S170" i="17"/>
  <c r="U170" i="17"/>
  <c r="V170" i="17"/>
  <c r="X170" i="17"/>
  <c r="S171" i="17"/>
  <c r="U171" i="17"/>
  <c r="V171" i="17"/>
  <c r="X171" i="17"/>
  <c r="S172" i="17"/>
  <c r="U172" i="17"/>
  <c r="V172" i="17"/>
  <c r="X172" i="17"/>
  <c r="S173" i="17"/>
  <c r="U173" i="17"/>
  <c r="V173" i="17"/>
  <c r="X173" i="17"/>
  <c r="S174" i="17"/>
  <c r="U174" i="17"/>
  <c r="V174" i="17"/>
  <c r="X174" i="17"/>
  <c r="S175" i="17"/>
  <c r="U175" i="17"/>
  <c r="V175" i="17"/>
  <c r="X175" i="17"/>
  <c r="S176" i="17"/>
  <c r="U176" i="17"/>
  <c r="V176" i="17"/>
  <c r="X176" i="17"/>
  <c r="S177" i="17"/>
  <c r="U177" i="17"/>
  <c r="V177" i="17"/>
  <c r="X177" i="17"/>
  <c r="S178" i="17"/>
  <c r="U178" i="17"/>
  <c r="V178" i="17"/>
  <c r="X178" i="17"/>
  <c r="S179" i="17"/>
  <c r="U179" i="17"/>
  <c r="V179" i="17"/>
  <c r="X179" i="17"/>
  <c r="S180" i="17"/>
  <c r="U180" i="17"/>
  <c r="V180" i="17"/>
  <c r="X180" i="17"/>
  <c r="S181" i="17"/>
  <c r="U181" i="17"/>
  <c r="V181" i="17"/>
  <c r="X181" i="17"/>
  <c r="S182" i="17"/>
  <c r="U182" i="17"/>
  <c r="V182" i="17"/>
  <c r="X182" i="17"/>
  <c r="S183" i="17"/>
  <c r="U183" i="17"/>
  <c r="V183" i="17"/>
  <c r="X183" i="17"/>
  <c r="S184" i="17"/>
  <c r="U184" i="17"/>
  <c r="V184" i="17"/>
  <c r="X184" i="17"/>
  <c r="S185" i="17"/>
  <c r="U185" i="17"/>
  <c r="V185" i="17"/>
  <c r="X185" i="17"/>
  <c r="S186" i="17"/>
  <c r="U186" i="17"/>
  <c r="V186" i="17"/>
  <c r="X186" i="17"/>
  <c r="S187" i="17"/>
  <c r="U187" i="17"/>
  <c r="V187" i="17"/>
  <c r="X187" i="17"/>
  <c r="S188" i="17"/>
  <c r="U188" i="17"/>
  <c r="V188" i="17"/>
  <c r="X188" i="17"/>
  <c r="S189" i="17"/>
  <c r="U189" i="17"/>
  <c r="V189" i="17"/>
  <c r="X189" i="17"/>
  <c r="S190" i="17"/>
  <c r="U190" i="17"/>
  <c r="V190" i="17"/>
  <c r="X190" i="17"/>
  <c r="S191" i="17"/>
  <c r="U191" i="17"/>
  <c r="V191" i="17"/>
  <c r="X191" i="17"/>
  <c r="S192" i="17"/>
  <c r="U192" i="17"/>
  <c r="V192" i="17"/>
  <c r="X192" i="17"/>
  <c r="S193" i="17"/>
  <c r="U193" i="17"/>
  <c r="V193" i="17"/>
  <c r="X193" i="17"/>
  <c r="S194" i="17"/>
  <c r="U194" i="17"/>
  <c r="V194" i="17"/>
  <c r="X194" i="17"/>
  <c r="S195" i="17"/>
  <c r="U195" i="17"/>
  <c r="V195" i="17"/>
  <c r="X195" i="17"/>
  <c r="S196" i="17"/>
  <c r="U196" i="17"/>
  <c r="V196" i="17"/>
  <c r="X196" i="17"/>
  <c r="S197" i="17"/>
  <c r="U197" i="17"/>
  <c r="V197" i="17"/>
  <c r="X197" i="17"/>
  <c r="S198" i="17"/>
  <c r="U198" i="17"/>
  <c r="V198" i="17"/>
  <c r="X198" i="17"/>
  <c r="S199" i="17"/>
  <c r="U199" i="17"/>
  <c r="V199" i="17"/>
  <c r="X199" i="17"/>
  <c r="S200" i="17"/>
  <c r="U200" i="17"/>
  <c r="V200" i="17"/>
  <c r="X200" i="17"/>
  <c r="S201" i="17"/>
  <c r="U201" i="17"/>
  <c r="V201" i="17"/>
  <c r="X201" i="17"/>
  <c r="S202" i="17"/>
  <c r="U202" i="17"/>
  <c r="V202" i="17"/>
  <c r="X202" i="17"/>
  <c r="S203" i="17"/>
  <c r="U203" i="17"/>
  <c r="V203" i="17"/>
  <c r="X203" i="17"/>
  <c r="S204" i="17"/>
  <c r="U204" i="17"/>
  <c r="V204" i="17"/>
  <c r="X204" i="17"/>
  <c r="S205" i="17"/>
  <c r="U205" i="17"/>
  <c r="V205" i="17"/>
  <c r="X205" i="17"/>
  <c r="S206" i="17"/>
  <c r="U206" i="17"/>
  <c r="V206" i="17"/>
  <c r="X206" i="17"/>
  <c r="S207" i="17"/>
  <c r="U207" i="17"/>
  <c r="V207" i="17"/>
  <c r="X207" i="17"/>
  <c r="S208" i="17"/>
  <c r="U208" i="17"/>
  <c r="V208" i="17"/>
  <c r="X208" i="17"/>
  <c r="S209" i="17"/>
  <c r="U209" i="17"/>
  <c r="V209" i="17"/>
  <c r="X209" i="17"/>
  <c r="S210" i="17"/>
  <c r="U210" i="17"/>
  <c r="V210" i="17"/>
  <c r="X210" i="17"/>
  <c r="S211" i="17"/>
  <c r="U211" i="17"/>
  <c r="V211" i="17"/>
  <c r="X211" i="17"/>
  <c r="S212" i="17"/>
  <c r="U212" i="17"/>
  <c r="V212" i="17"/>
  <c r="X212" i="17"/>
  <c r="S213" i="17"/>
  <c r="U213" i="17"/>
  <c r="V213" i="17"/>
  <c r="X213" i="17"/>
  <c r="S214" i="17"/>
  <c r="U214" i="17"/>
  <c r="V214" i="17"/>
  <c r="X214" i="17"/>
  <c r="S215" i="17"/>
  <c r="U215" i="17"/>
  <c r="V215" i="17"/>
  <c r="X215" i="17"/>
  <c r="S216" i="17"/>
  <c r="U216" i="17"/>
  <c r="V216" i="17"/>
  <c r="X216" i="17"/>
  <c r="S217" i="17"/>
  <c r="U217" i="17"/>
  <c r="V217" i="17"/>
  <c r="X217" i="17"/>
  <c r="S218" i="17"/>
  <c r="U218" i="17"/>
  <c r="V218" i="17"/>
  <c r="X218" i="17"/>
  <c r="S219" i="17"/>
  <c r="U219" i="17"/>
  <c r="V219" i="17"/>
  <c r="X219" i="17"/>
  <c r="S220" i="17"/>
  <c r="U220" i="17"/>
  <c r="V220" i="17"/>
  <c r="X220" i="17"/>
  <c r="S221" i="17"/>
  <c r="U221" i="17"/>
  <c r="V221" i="17"/>
  <c r="X221" i="17"/>
  <c r="S222" i="17"/>
  <c r="U222" i="17"/>
  <c r="V222" i="17"/>
  <c r="X222" i="17"/>
  <c r="S223" i="17"/>
  <c r="U223" i="17"/>
  <c r="V223" i="17"/>
  <c r="X223" i="17"/>
  <c r="S224" i="17"/>
  <c r="U224" i="17"/>
  <c r="V224" i="17"/>
  <c r="X224" i="17"/>
  <c r="S225" i="17"/>
  <c r="U225" i="17"/>
  <c r="V225" i="17"/>
  <c r="X225" i="17"/>
  <c r="S226" i="17"/>
  <c r="U226" i="17"/>
  <c r="V226" i="17"/>
  <c r="X226" i="17"/>
  <c r="S227" i="17"/>
  <c r="U227" i="17"/>
  <c r="V227" i="17"/>
  <c r="X227" i="17"/>
  <c r="S228" i="17"/>
  <c r="U228" i="17"/>
  <c r="V228" i="17"/>
  <c r="X228" i="17"/>
  <c r="X23" i="17"/>
  <c r="V23" i="17"/>
  <c r="V22" i="17" s="1"/>
  <c r="U23" i="17"/>
  <c r="S23" i="17"/>
  <c r="S22" i="17" s="1"/>
  <c r="X22" i="17" l="1"/>
  <c r="U22" i="17"/>
  <c r="W24" i="17"/>
  <c r="W25" i="17"/>
  <c r="W26" i="17"/>
  <c r="W27" i="17"/>
  <c r="W28" i="17"/>
  <c r="W29" i="17"/>
  <c r="W30" i="17"/>
  <c r="W31" i="17"/>
  <c r="W32" i="17"/>
  <c r="W33" i="17"/>
  <c r="W34" i="17"/>
  <c r="W35" i="17"/>
  <c r="W36" i="17"/>
  <c r="W37" i="17"/>
  <c r="W38" i="17"/>
  <c r="W39" i="17"/>
  <c r="W40" i="17"/>
  <c r="W41" i="17"/>
  <c r="W42" i="17"/>
  <c r="W43" i="17"/>
  <c r="W44" i="17"/>
  <c r="W45" i="17"/>
  <c r="W46" i="17"/>
  <c r="W47" i="17"/>
  <c r="W48" i="17"/>
  <c r="W49" i="17"/>
  <c r="W50" i="17"/>
  <c r="W51" i="17"/>
  <c r="W52" i="17"/>
  <c r="W53" i="17"/>
  <c r="W54" i="17"/>
  <c r="W55" i="17"/>
  <c r="W56" i="17"/>
  <c r="W57" i="17"/>
  <c r="W58" i="17"/>
  <c r="W59" i="17"/>
  <c r="W60" i="17"/>
  <c r="W61" i="17"/>
  <c r="W62" i="17"/>
  <c r="W63" i="17"/>
  <c r="W64" i="17"/>
  <c r="W65" i="17"/>
  <c r="W66" i="17"/>
  <c r="W67" i="17"/>
  <c r="W68" i="17"/>
  <c r="W69" i="17"/>
  <c r="W70" i="17"/>
  <c r="W71" i="17"/>
  <c r="W72" i="17"/>
  <c r="W73" i="17"/>
  <c r="W74" i="17"/>
  <c r="W75" i="17"/>
  <c r="W76" i="17"/>
  <c r="W77" i="17"/>
  <c r="W78" i="17"/>
  <c r="W79" i="17"/>
  <c r="W80" i="17"/>
  <c r="W81" i="17"/>
  <c r="W82" i="17"/>
  <c r="W83" i="17"/>
  <c r="W84" i="17"/>
  <c r="W85" i="17"/>
  <c r="W86" i="17"/>
  <c r="W87" i="17"/>
  <c r="W88" i="17"/>
  <c r="W89" i="17"/>
  <c r="W90" i="17"/>
  <c r="W91" i="17"/>
  <c r="W92" i="17"/>
  <c r="W93" i="17"/>
  <c r="W94" i="17"/>
  <c r="W95" i="17"/>
  <c r="W96" i="17"/>
  <c r="W97" i="17"/>
  <c r="W98" i="17"/>
  <c r="W99" i="17"/>
  <c r="W100" i="17"/>
  <c r="W101" i="17"/>
  <c r="W102" i="17"/>
  <c r="W103" i="17"/>
  <c r="W104" i="17"/>
  <c r="W105" i="17"/>
  <c r="W106" i="17"/>
  <c r="W107" i="17"/>
  <c r="W108" i="17"/>
  <c r="W109" i="17"/>
  <c r="W110" i="17"/>
  <c r="W111" i="17"/>
  <c r="W112" i="17"/>
  <c r="W113" i="17"/>
  <c r="W114" i="17"/>
  <c r="W115" i="17"/>
  <c r="W116" i="17"/>
  <c r="W117" i="17"/>
  <c r="W119" i="17"/>
  <c r="W120" i="17"/>
  <c r="W121" i="17"/>
  <c r="W122" i="17"/>
  <c r="W123" i="17"/>
  <c r="W124" i="17"/>
  <c r="W125" i="17"/>
  <c r="W126" i="17"/>
  <c r="W127" i="17"/>
  <c r="W128" i="17"/>
  <c r="W129" i="17"/>
  <c r="W130" i="17"/>
  <c r="W131" i="17"/>
  <c r="W132" i="17"/>
  <c r="W133" i="17"/>
  <c r="W134" i="17"/>
  <c r="W135" i="17"/>
  <c r="W136" i="17"/>
  <c r="W137" i="17"/>
  <c r="W138" i="17"/>
  <c r="W139" i="17"/>
  <c r="W140" i="17"/>
  <c r="W141" i="17"/>
  <c r="W142" i="17"/>
  <c r="W143" i="17"/>
  <c r="W144" i="17"/>
  <c r="W145" i="17"/>
  <c r="W146" i="17"/>
  <c r="W147" i="17"/>
  <c r="W148" i="17"/>
  <c r="W149" i="17"/>
  <c r="W150" i="17"/>
  <c r="W151" i="17"/>
  <c r="W152" i="17"/>
  <c r="W153" i="17"/>
  <c r="W154" i="17"/>
  <c r="W155" i="17"/>
  <c r="W156" i="17"/>
  <c r="W157" i="17"/>
  <c r="W158" i="17"/>
  <c r="W159" i="17"/>
  <c r="W160" i="17"/>
  <c r="W161" i="17"/>
  <c r="W162" i="17"/>
  <c r="W163" i="17"/>
  <c r="W164" i="17"/>
  <c r="W165" i="17"/>
  <c r="W166" i="17"/>
  <c r="W167" i="17"/>
  <c r="W168" i="17"/>
  <c r="W169" i="17"/>
  <c r="W170" i="17"/>
  <c r="W171" i="17"/>
  <c r="W172" i="17"/>
  <c r="W173" i="17"/>
  <c r="W174" i="17"/>
  <c r="W175" i="17"/>
  <c r="W176" i="17"/>
  <c r="W177" i="17"/>
  <c r="W178" i="17"/>
  <c r="W179" i="17"/>
  <c r="W180" i="17"/>
  <c r="W181" i="17"/>
  <c r="W182" i="17"/>
  <c r="W183" i="17"/>
  <c r="W184" i="17"/>
  <c r="W185" i="17"/>
  <c r="W186" i="17"/>
  <c r="W187" i="17"/>
  <c r="W188" i="17"/>
  <c r="W189" i="17"/>
  <c r="W190" i="17"/>
  <c r="W191" i="17"/>
  <c r="W192" i="17"/>
  <c r="W193" i="17"/>
  <c r="W194" i="17"/>
  <c r="W195" i="17"/>
  <c r="W196" i="17"/>
  <c r="W197" i="17"/>
  <c r="W198" i="17"/>
  <c r="W199" i="17"/>
  <c r="W200" i="17"/>
  <c r="W201" i="17"/>
  <c r="W202" i="17"/>
  <c r="W203" i="17"/>
  <c r="W204" i="17"/>
  <c r="W205" i="17"/>
  <c r="W206" i="17"/>
  <c r="W207" i="17"/>
  <c r="W208" i="17"/>
  <c r="W209" i="17"/>
  <c r="W210" i="17"/>
  <c r="W211" i="17"/>
  <c r="W212" i="17"/>
  <c r="W213" i="17"/>
  <c r="W214" i="17"/>
  <c r="W215" i="17"/>
  <c r="W216" i="17"/>
  <c r="W217" i="17"/>
  <c r="W218" i="17"/>
  <c r="W219" i="17"/>
  <c r="W220" i="17"/>
  <c r="W221" i="17"/>
  <c r="W222" i="17"/>
  <c r="W223" i="17"/>
  <c r="W224" i="17"/>
  <c r="W225" i="17"/>
  <c r="W226" i="17"/>
  <c r="W227" i="17"/>
  <c r="W228"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T67" i="17"/>
  <c r="T68"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5" i="17"/>
  <c r="T96" i="17"/>
  <c r="T97" i="17"/>
  <c r="T98" i="17"/>
  <c r="T99" i="17"/>
  <c r="T100" i="17"/>
  <c r="T101" i="17"/>
  <c r="T102" i="17"/>
  <c r="T103" i="17"/>
  <c r="T104" i="17"/>
  <c r="T105" i="17"/>
  <c r="T106" i="17"/>
  <c r="T107" i="17"/>
  <c r="T108" i="17"/>
  <c r="T109" i="17"/>
  <c r="T110" i="17"/>
  <c r="T111" i="17"/>
  <c r="T112" i="17"/>
  <c r="T113" i="17"/>
  <c r="T114" i="17"/>
  <c r="T115" i="17"/>
  <c r="T116" i="17"/>
  <c r="T117" i="17"/>
  <c r="T119" i="17"/>
  <c r="T120" i="17"/>
  <c r="T121" i="17"/>
  <c r="T122" i="17"/>
  <c r="T123" i="17"/>
  <c r="T124" i="17"/>
  <c r="T125" i="17"/>
  <c r="T126" i="17"/>
  <c r="T127" i="17"/>
  <c r="T128" i="17"/>
  <c r="T129" i="17"/>
  <c r="T130" i="17"/>
  <c r="T131" i="17"/>
  <c r="T132" i="17"/>
  <c r="T133" i="17"/>
  <c r="T134" i="17"/>
  <c r="T135" i="17"/>
  <c r="T136" i="17"/>
  <c r="T137" i="17"/>
  <c r="T138" i="17"/>
  <c r="T139" i="17"/>
  <c r="T140" i="17"/>
  <c r="T141" i="17"/>
  <c r="T142" i="17"/>
  <c r="T143" i="17"/>
  <c r="T144" i="17"/>
  <c r="T145" i="17"/>
  <c r="T146" i="17"/>
  <c r="T147" i="17"/>
  <c r="T148" i="17"/>
  <c r="T149" i="17"/>
  <c r="T150" i="17"/>
  <c r="T151" i="17"/>
  <c r="T152" i="17"/>
  <c r="T153" i="17"/>
  <c r="T154" i="17"/>
  <c r="T155" i="17"/>
  <c r="T156" i="17"/>
  <c r="T157" i="17"/>
  <c r="T158" i="17"/>
  <c r="T159" i="17"/>
  <c r="T160" i="17"/>
  <c r="T161" i="17"/>
  <c r="T162" i="17"/>
  <c r="T163" i="17"/>
  <c r="T164" i="17"/>
  <c r="T165" i="17"/>
  <c r="T166" i="17"/>
  <c r="T167" i="17"/>
  <c r="T168" i="17"/>
  <c r="T169" i="17"/>
  <c r="T170" i="17"/>
  <c r="T171" i="17"/>
  <c r="T172" i="17"/>
  <c r="T173" i="17"/>
  <c r="T174" i="17"/>
  <c r="T175" i="17"/>
  <c r="T176" i="17"/>
  <c r="T177" i="17"/>
  <c r="T178" i="17"/>
  <c r="T179" i="17"/>
  <c r="T180" i="17"/>
  <c r="T181" i="17"/>
  <c r="T183" i="17"/>
  <c r="T184" i="17"/>
  <c r="T185" i="17"/>
  <c r="T186" i="17"/>
  <c r="T187" i="17"/>
  <c r="T188" i="17"/>
  <c r="T189" i="17"/>
  <c r="T190" i="17"/>
  <c r="T191" i="17"/>
  <c r="T192" i="17"/>
  <c r="T193" i="17"/>
  <c r="T194" i="17"/>
  <c r="T195" i="17"/>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T221" i="17"/>
  <c r="T222" i="17"/>
  <c r="T223" i="17"/>
  <c r="T224" i="17"/>
  <c r="T225" i="17"/>
  <c r="T226" i="17"/>
  <c r="T227" i="17"/>
  <c r="T228" i="17"/>
  <c r="C207" i="17"/>
  <c r="C194" i="17"/>
  <c r="C79" i="17"/>
  <c r="C53" i="17"/>
  <c r="C54" i="17"/>
  <c r="C200" i="17"/>
  <c r="C199" i="17"/>
  <c r="C210" i="17"/>
  <c r="C152" i="17"/>
  <c r="C227" i="17"/>
  <c r="C226" i="17"/>
  <c r="C157" i="17"/>
  <c r="C153" i="17"/>
  <c r="C74" i="17"/>
  <c r="C164" i="17"/>
  <c r="C128" i="17"/>
  <c r="C72" i="17"/>
  <c r="C64" i="17"/>
  <c r="C216" i="17"/>
  <c r="C28" i="17"/>
  <c r="C151" i="17"/>
  <c r="C149" i="17"/>
  <c r="C196" i="17"/>
  <c r="C158" i="17"/>
  <c r="C26" i="17"/>
  <c r="C114" i="17"/>
  <c r="C126" i="17"/>
  <c r="C166" i="17"/>
  <c r="C214" i="17"/>
  <c r="C57" i="17"/>
  <c r="C59" i="17"/>
  <c r="C58" i="17"/>
  <c r="C52" i="17"/>
  <c r="C85" i="17"/>
  <c r="C87" i="17"/>
  <c r="C86" i="17"/>
  <c r="C89" i="17"/>
  <c r="C99" i="17"/>
  <c r="C163" i="17"/>
  <c r="C201" i="17"/>
  <c r="C209" i="17"/>
  <c r="C61" i="17"/>
  <c r="C30" i="17"/>
  <c r="C173" i="17"/>
  <c r="C111" i="17"/>
  <c r="C177" i="17"/>
  <c r="C139" i="17"/>
  <c r="C138" i="17"/>
  <c r="C95" i="17"/>
  <c r="C41" i="17"/>
  <c r="C92" i="17"/>
  <c r="C91" i="17"/>
  <c r="C204" i="17"/>
  <c r="C121" i="17"/>
  <c r="C191" i="17"/>
  <c r="C202" i="17"/>
  <c r="C98" i="17"/>
  <c r="C46" i="17"/>
  <c r="C133" i="17"/>
  <c r="C178" i="17"/>
  <c r="C176" i="17"/>
  <c r="C113" i="17"/>
  <c r="C78" i="17"/>
  <c r="C155" i="17"/>
  <c r="C127" i="17"/>
  <c r="C71" i="17"/>
  <c r="C123" i="17"/>
  <c r="C141" i="17"/>
  <c r="C146" i="17"/>
  <c r="C136" i="17"/>
  <c r="C125" i="17"/>
  <c r="C25" i="17"/>
  <c r="C144" i="17"/>
  <c r="C48" i="17"/>
  <c r="C142" i="17"/>
  <c r="C170" i="17"/>
  <c r="C150" i="17"/>
  <c r="C206" i="17"/>
  <c r="C49" i="17"/>
  <c r="C187" i="17"/>
  <c r="C135" i="17"/>
  <c r="C159" i="17"/>
  <c r="C182" i="17"/>
  <c r="C180" i="17"/>
  <c r="C183" i="17"/>
  <c r="C189" i="17"/>
  <c r="C181" i="17"/>
  <c r="C160" i="17"/>
  <c r="C168" i="17"/>
  <c r="C186" i="17"/>
  <c r="C122" i="17"/>
  <c r="C24" i="17"/>
  <c r="C134" i="17"/>
  <c r="C106" i="17"/>
  <c r="C120" i="17"/>
  <c r="C115" i="17"/>
  <c r="C222" i="17"/>
  <c r="C137" i="17"/>
  <c r="C190" i="17"/>
  <c r="C203" i="17"/>
  <c r="C197" i="17"/>
  <c r="C130" i="17"/>
  <c r="C198" i="17"/>
  <c r="C68" i="17"/>
  <c r="C174" i="17"/>
  <c r="C90" i="17"/>
  <c r="C205" i="17"/>
  <c r="C184" i="17"/>
  <c r="C76" i="17"/>
  <c r="C51" i="17"/>
  <c r="C192" i="17"/>
  <c r="C124" i="17"/>
  <c r="C56" i="17"/>
  <c r="C156" i="17"/>
  <c r="C193" i="17"/>
  <c r="C42" i="17"/>
  <c r="C131" i="17"/>
  <c r="C188" i="17"/>
  <c r="C93" i="17"/>
  <c r="C215" i="17"/>
  <c r="C132" i="17"/>
  <c r="C175" i="17"/>
  <c r="C73" i="17"/>
  <c r="C129" i="17"/>
  <c r="C211" i="17"/>
  <c r="C67" i="17"/>
  <c r="C109" i="17"/>
  <c r="C116" i="17"/>
  <c r="C224" i="17"/>
  <c r="C167" i="17"/>
  <c r="C219" i="17"/>
  <c r="C65" i="17"/>
  <c r="C208" i="17"/>
  <c r="C212" i="17"/>
  <c r="C83" i="17"/>
  <c r="C82" i="17"/>
  <c r="C81" i="17"/>
  <c r="C55" i="17"/>
  <c r="C60" i="17"/>
  <c r="C47" i="17"/>
  <c r="C143" i="17"/>
  <c r="C148" i="17"/>
  <c r="C43" i="17"/>
  <c r="C100" i="17"/>
  <c r="C108" i="17"/>
  <c r="C31" i="17"/>
  <c r="C105" i="17"/>
  <c r="C195" i="17"/>
  <c r="C96" i="17"/>
  <c r="C101" i="17"/>
  <c r="C102" i="17"/>
  <c r="C171" i="17"/>
  <c r="C80" i="17"/>
  <c r="C110" i="17"/>
  <c r="C140" i="17"/>
  <c r="C213" i="17"/>
  <c r="C62" i="17"/>
  <c r="C223" i="17"/>
  <c r="C69" i="17"/>
  <c r="C38" i="17"/>
  <c r="C36" i="17"/>
  <c r="C32" i="17"/>
  <c r="C221" i="17"/>
  <c r="C77" i="17"/>
  <c r="C154" i="17"/>
  <c r="C217" i="17"/>
  <c r="C218" i="17"/>
  <c r="C104" i="17"/>
  <c r="C169" i="17"/>
  <c r="C161" i="17"/>
  <c r="C37" i="17"/>
  <c r="C75" i="17"/>
  <c r="C27" i="17"/>
  <c r="C50" i="17"/>
  <c r="C107" i="17"/>
  <c r="C23" i="17"/>
  <c r="C84" i="17"/>
  <c r="C103" i="17"/>
  <c r="C228" i="17"/>
  <c r="C118" i="17"/>
  <c r="C147" i="17"/>
  <c r="C88" i="17"/>
  <c r="C185" i="17"/>
  <c r="C44" i="17"/>
  <c r="C45" i="17"/>
  <c r="C165" i="17"/>
  <c r="C40" i="17"/>
  <c r="C94" i="17"/>
  <c r="C35" i="17"/>
  <c r="C145" i="17"/>
  <c r="C63" i="17"/>
  <c r="C70" i="17"/>
  <c r="C172" i="17"/>
  <c r="C66" i="17"/>
  <c r="C162" i="17"/>
  <c r="C39" i="17"/>
  <c r="C117" i="17"/>
  <c r="C179" i="17"/>
  <c r="C97" i="17"/>
  <c r="C225" i="17"/>
  <c r="C29" i="17"/>
  <c r="C119" i="17"/>
  <c r="C34" i="17"/>
  <c r="C112" i="17"/>
  <c r="C33" i="17"/>
  <c r="C220" i="17"/>
  <c r="T23" i="17" l="1"/>
  <c r="W23" i="17"/>
  <c r="T118" i="17"/>
  <c r="W118" i="17"/>
  <c r="T182" i="17"/>
  <c r="T94" i="17"/>
  <c r="I10" i="6"/>
  <c r="O17" i="3"/>
  <c r="S270" i="24" l="1"/>
  <c r="S10" i="24" s="1"/>
  <c r="S267" i="16"/>
  <c r="D9" i="4"/>
  <c r="D10" i="4" s="1"/>
  <c r="D8" i="4" s="1"/>
  <c r="W22" i="17"/>
  <c r="T22" i="17"/>
  <c r="M13" i="17"/>
  <c r="M267" i="16" l="1"/>
  <c r="S10" i="16"/>
  <c r="M105" i="3"/>
  <c r="N105" i="3"/>
  <c r="M10" i="16" l="1"/>
  <c r="O105" i="3"/>
  <c r="N35" i="3" l="1"/>
  <c r="O35" i="3"/>
  <c r="N36" i="3"/>
  <c r="O36" i="3"/>
  <c r="N37" i="3"/>
  <c r="O37" i="3"/>
  <c r="N38" i="3"/>
  <c r="O38" i="3"/>
  <c r="N40" i="3"/>
  <c r="O40" i="3"/>
  <c r="N41" i="3"/>
  <c r="O41" i="3"/>
  <c r="N42" i="3"/>
  <c r="O42" i="3"/>
  <c r="N44" i="3"/>
  <c r="O44" i="3"/>
  <c r="N45" i="3"/>
  <c r="O45" i="3"/>
  <c r="N46" i="3"/>
  <c r="O46" i="3"/>
  <c r="N47" i="3"/>
  <c r="O47" i="3"/>
  <c r="N53" i="3"/>
  <c r="O53" i="3"/>
  <c r="N54" i="3"/>
  <c r="O54" i="3"/>
  <c r="N55" i="3"/>
  <c r="O55" i="3"/>
  <c r="N56" i="3"/>
  <c r="O56" i="3"/>
  <c r="N57" i="3"/>
  <c r="O57" i="3"/>
  <c r="N58" i="3"/>
  <c r="O58" i="3"/>
  <c r="N59" i="3"/>
  <c r="O59" i="3"/>
  <c r="N60" i="3"/>
  <c r="O60" i="3"/>
  <c r="N61" i="3"/>
  <c r="O61" i="3"/>
  <c r="N62" i="3"/>
  <c r="O62" i="3"/>
  <c r="N63" i="3"/>
  <c r="O63" i="3"/>
  <c r="N64" i="3"/>
  <c r="O64" i="3"/>
  <c r="N65" i="3"/>
  <c r="O65" i="3"/>
  <c r="N66" i="3"/>
  <c r="O66" i="3"/>
  <c r="N67" i="3"/>
  <c r="O67" i="3"/>
  <c r="N68" i="3"/>
  <c r="O68" i="3"/>
  <c r="N69" i="3"/>
  <c r="O69" i="3"/>
  <c r="N70" i="3"/>
  <c r="O70" i="3"/>
  <c r="N71" i="3"/>
  <c r="O71" i="3"/>
  <c r="N72" i="3"/>
  <c r="O72" i="3"/>
  <c r="N73" i="3"/>
  <c r="O73" i="3"/>
  <c r="N74" i="3"/>
  <c r="O74" i="3"/>
  <c r="N75" i="3"/>
  <c r="O75" i="3"/>
  <c r="N76" i="3"/>
  <c r="O76" i="3"/>
  <c r="N77" i="3"/>
  <c r="O77" i="3"/>
  <c r="N78" i="3"/>
  <c r="O78" i="3"/>
  <c r="N79" i="3"/>
  <c r="O79" i="3"/>
  <c r="N80" i="3"/>
  <c r="O80" i="3"/>
  <c r="N81" i="3"/>
  <c r="O81" i="3"/>
  <c r="N82" i="3"/>
  <c r="O82" i="3"/>
  <c r="N83" i="3"/>
  <c r="O83" i="3"/>
  <c r="N84" i="3"/>
  <c r="O84" i="3"/>
  <c r="N85" i="3"/>
  <c r="O85" i="3"/>
  <c r="N86" i="3"/>
  <c r="O86" i="3"/>
  <c r="N87" i="3"/>
  <c r="O87" i="3"/>
  <c r="N88" i="3"/>
  <c r="O88" i="3"/>
  <c r="N89" i="3"/>
  <c r="O89" i="3"/>
  <c r="N90" i="3"/>
  <c r="O90" i="3"/>
  <c r="N91" i="3"/>
  <c r="O91" i="3"/>
  <c r="N92" i="3"/>
  <c r="O92" i="3"/>
  <c r="N93" i="3"/>
  <c r="O93" i="3"/>
  <c r="N94" i="3"/>
  <c r="O94" i="3"/>
  <c r="N95" i="3"/>
  <c r="O95" i="3"/>
  <c r="N96" i="3"/>
  <c r="O96" i="3"/>
  <c r="O97" i="3"/>
  <c r="N98" i="3"/>
  <c r="O98" i="3"/>
  <c r="N100" i="3"/>
  <c r="O100" i="3"/>
  <c r="N101" i="3"/>
  <c r="O101" i="3"/>
  <c r="N102" i="3"/>
  <c r="O102" i="3"/>
  <c r="N103" i="3"/>
  <c r="O103" i="3"/>
  <c r="N104" i="3"/>
  <c r="O104" i="3"/>
  <c r="N106" i="3"/>
  <c r="O106" i="3"/>
  <c r="N107" i="3"/>
  <c r="O107" i="3"/>
  <c r="N108" i="3"/>
  <c r="O108" i="3"/>
  <c r="M91" i="3"/>
  <c r="M100" i="3"/>
  <c r="M101" i="3"/>
  <c r="M102" i="3"/>
  <c r="M103" i="3"/>
  <c r="M55" i="3"/>
  <c r="M62" i="3"/>
  <c r="M63" i="3"/>
  <c r="M70" i="3"/>
  <c r="M71" i="3"/>
  <c r="M72" i="3"/>
  <c r="M78" i="3"/>
  <c r="M79" i="3"/>
  <c r="M80" i="3"/>
  <c r="M82" i="3"/>
  <c r="M86" i="3"/>
  <c r="M87" i="3"/>
  <c r="M88" i="3"/>
  <c r="M89" i="3"/>
  <c r="M90" i="3"/>
  <c r="M92" i="3"/>
  <c r="M93" i="3"/>
  <c r="M94" i="3"/>
  <c r="M95" i="3"/>
  <c r="M96" i="3"/>
  <c r="M98" i="3"/>
  <c r="M104" i="3"/>
  <c r="M106" i="3"/>
  <c r="M107" i="3"/>
  <c r="M108" i="3"/>
  <c r="M84" i="3" l="1"/>
  <c r="M69" i="3"/>
  <c r="M83" i="3"/>
  <c r="M65" i="3"/>
  <c r="M54" i="3"/>
  <c r="M47" i="3"/>
  <c r="M56" i="3"/>
  <c r="M53" i="3"/>
  <c r="M38" i="3"/>
  <c r="M81" i="3"/>
  <c r="M60" i="3"/>
  <c r="M42" i="3"/>
  <c r="M76" i="3"/>
  <c r="M74" i="3"/>
  <c r="M57" i="3"/>
  <c r="M41" i="3"/>
  <c r="M85" i="3"/>
  <c r="M64" i="3"/>
  <c r="M77" i="3"/>
  <c r="M75" i="3"/>
  <c r="M44" i="3"/>
  <c r="M73" i="3"/>
  <c r="M67" i="3"/>
  <c r="M36" i="3"/>
  <c r="M68" i="3"/>
  <c r="M66" i="3"/>
  <c r="M61" i="3"/>
  <c r="M59" i="3"/>
  <c r="M58" i="3"/>
  <c r="M46" i="3"/>
  <c r="M45" i="3"/>
  <c r="M40" i="3"/>
  <c r="M37" i="3"/>
  <c r="M35" i="3"/>
  <c r="D11" i="3" l="1"/>
  <c r="D10" i="3" s="1"/>
  <c r="D13" i="7"/>
  <c r="D31" i="3" l="1"/>
  <c r="D30" i="3" s="1"/>
  <c r="D9" i="3" s="1"/>
  <c r="T40" i="7"/>
  <c r="Q40" i="7"/>
  <c r="M40" i="7"/>
  <c r="J40" i="7"/>
  <c r="C40" i="7"/>
  <c r="H20" i="6" s="1"/>
  <c r="G20" i="6" s="1"/>
  <c r="S20" i="6" s="1"/>
  <c r="T39" i="7"/>
  <c r="Q39" i="7"/>
  <c r="J39" i="7"/>
  <c r="T38" i="7"/>
  <c r="Q38" i="7"/>
  <c r="J38" i="7"/>
  <c r="I38" i="7" s="1"/>
  <c r="T37" i="7"/>
  <c r="Q37" i="7"/>
  <c r="M37" i="7"/>
  <c r="J37" i="7"/>
  <c r="T36" i="7"/>
  <c r="Q36" i="7"/>
  <c r="M36" i="7"/>
  <c r="J36" i="7"/>
  <c r="C36" i="7"/>
  <c r="H16" i="6" s="1"/>
  <c r="G16" i="6" s="1"/>
  <c r="S16" i="6" s="1"/>
  <c r="T35" i="7"/>
  <c r="Q35" i="7"/>
  <c r="M35" i="7"/>
  <c r="J35" i="7"/>
  <c r="T34" i="7"/>
  <c r="Q34" i="7"/>
  <c r="M34" i="7"/>
  <c r="J34" i="7"/>
  <c r="T33" i="7"/>
  <c r="Q33" i="7"/>
  <c r="M33" i="7"/>
  <c r="J33" i="7"/>
  <c r="T32" i="7"/>
  <c r="Q32" i="7"/>
  <c r="M32" i="7"/>
  <c r="J32" i="7"/>
  <c r="T31" i="7"/>
  <c r="Q31" i="7"/>
  <c r="M31" i="7"/>
  <c r="J31" i="7"/>
  <c r="V30" i="7"/>
  <c r="U30" i="7"/>
  <c r="S30" i="7"/>
  <c r="R30" i="7"/>
  <c r="O30" i="7"/>
  <c r="N30" i="7"/>
  <c r="L30" i="7"/>
  <c r="K30" i="7"/>
  <c r="T29" i="7"/>
  <c r="Q29" i="7"/>
  <c r="M29" i="7"/>
  <c r="J29" i="7"/>
  <c r="G29" i="7" s="1"/>
  <c r="C29" i="7"/>
  <c r="T28" i="7"/>
  <c r="Q28" i="7"/>
  <c r="M28" i="7"/>
  <c r="H28" i="7" s="1"/>
  <c r="J28" i="7"/>
  <c r="G28" i="7" s="1"/>
  <c r="C28" i="7"/>
  <c r="T27" i="7"/>
  <c r="H27" i="7" s="1"/>
  <c r="Q27" i="7"/>
  <c r="J27" i="7"/>
  <c r="G27" i="7" s="1"/>
  <c r="C27" i="7"/>
  <c r="T26" i="7"/>
  <c r="H26" i="7" s="1"/>
  <c r="Q26" i="7"/>
  <c r="J26" i="7"/>
  <c r="G26" i="7" s="1"/>
  <c r="T25" i="7"/>
  <c r="H25" i="7" s="1"/>
  <c r="Q25" i="7"/>
  <c r="J25" i="7"/>
  <c r="G25" i="7" s="1"/>
  <c r="Q20" i="7"/>
  <c r="J20" i="7"/>
  <c r="C20" i="7"/>
  <c r="Q19" i="7"/>
  <c r="J19" i="7"/>
  <c r="G19" i="7" s="1"/>
  <c r="F19" i="7" s="1"/>
  <c r="W19" i="7" s="1"/>
  <c r="C19" i="7"/>
  <c r="Q18" i="7"/>
  <c r="J18" i="7"/>
  <c r="G18" i="7" s="1"/>
  <c r="F18" i="7" s="1"/>
  <c r="C18" i="7"/>
  <c r="Q17" i="7"/>
  <c r="M17" i="7"/>
  <c r="H17" i="7" s="1"/>
  <c r="Y17" i="7" s="1"/>
  <c r="J17" i="7"/>
  <c r="G17" i="7" s="1"/>
  <c r="F17" i="7" s="1"/>
  <c r="W17" i="7" s="1"/>
  <c r="C17" i="7"/>
  <c r="T16" i="7"/>
  <c r="Q16" i="7"/>
  <c r="M16" i="7"/>
  <c r="H16" i="7" s="1"/>
  <c r="Y16" i="7" s="1"/>
  <c r="J16" i="7"/>
  <c r="G16" i="7" s="1"/>
  <c r="C16" i="7"/>
  <c r="T15" i="7"/>
  <c r="Q15" i="7"/>
  <c r="M15" i="7"/>
  <c r="H15" i="7" s="1"/>
  <c r="J15" i="7"/>
  <c r="C15" i="7"/>
  <c r="T14" i="7"/>
  <c r="Q14" i="7"/>
  <c r="M14" i="7"/>
  <c r="J14" i="7"/>
  <c r="U13" i="7"/>
  <c r="S13" i="7"/>
  <c r="R13" i="7"/>
  <c r="O13" i="7"/>
  <c r="N13" i="7"/>
  <c r="L13" i="7"/>
  <c r="K13" i="7"/>
  <c r="E39" i="4"/>
  <c r="E37" i="4"/>
  <c r="E35" i="4"/>
  <c r="E34" i="4"/>
  <c r="E32" i="4"/>
  <c r="E23" i="4"/>
  <c r="E22" i="4"/>
  <c r="E18" i="4"/>
  <c r="E11" i="4"/>
  <c r="E25" i="4"/>
  <c r="E26" i="4"/>
  <c r="E27" i="4"/>
  <c r="E28" i="4"/>
  <c r="E31" i="4"/>
  <c r="E38" i="4"/>
  <c r="E41" i="4"/>
  <c r="E42" i="4"/>
  <c r="E45" i="4"/>
  <c r="E9" i="4"/>
  <c r="I33" i="1"/>
  <c r="I34" i="1"/>
  <c r="C33" i="3"/>
  <c r="H29" i="7" l="1"/>
  <c r="H14" i="7"/>
  <c r="G15" i="7"/>
  <c r="G20" i="7"/>
  <c r="F20" i="7" s="1"/>
  <c r="W20" i="7" s="1"/>
  <c r="F16" i="7"/>
  <c r="W16" i="7" s="1"/>
  <c r="F26" i="7"/>
  <c r="W26" i="7" s="1"/>
  <c r="X26" i="7"/>
  <c r="F27" i="7"/>
  <c r="W27" i="7" s="1"/>
  <c r="X27" i="7"/>
  <c r="F28" i="7"/>
  <c r="W28" i="7" s="1"/>
  <c r="X28" i="7"/>
  <c r="W18" i="7"/>
  <c r="F25" i="7"/>
  <c r="W25" i="7" s="1"/>
  <c r="X25" i="7"/>
  <c r="X29" i="7"/>
  <c r="F29" i="7"/>
  <c r="W29" i="7" s="1"/>
  <c r="F15" i="7"/>
  <c r="Y15" i="7"/>
  <c r="H13" i="7"/>
  <c r="G31" i="7"/>
  <c r="X31" i="7" s="1"/>
  <c r="I34" i="7"/>
  <c r="N12" i="7"/>
  <c r="P15" i="7"/>
  <c r="I15" i="7"/>
  <c r="T13" i="7"/>
  <c r="I17" i="7"/>
  <c r="H34" i="7"/>
  <c r="Y34" i="7" s="1"/>
  <c r="G39" i="7"/>
  <c r="X39" i="7" s="1"/>
  <c r="Y14" i="7"/>
  <c r="C32" i="7"/>
  <c r="H12" i="6" s="1"/>
  <c r="G12" i="6" s="1"/>
  <c r="S12" i="6" s="1"/>
  <c r="I33" i="7"/>
  <c r="C37" i="7"/>
  <c r="H17" i="6" s="1"/>
  <c r="G17" i="6" s="1"/>
  <c r="S17" i="6" s="1"/>
  <c r="P37" i="7"/>
  <c r="H38" i="7"/>
  <c r="Y38" i="7" s="1"/>
  <c r="G35" i="7"/>
  <c r="X35" i="7" s="1"/>
  <c r="C33" i="7"/>
  <c r="H13" i="6" s="1"/>
  <c r="G13" i="6" s="1"/>
  <c r="S13" i="6" s="1"/>
  <c r="P33" i="7"/>
  <c r="I37" i="7"/>
  <c r="C38" i="7"/>
  <c r="H18" i="6" s="1"/>
  <c r="G18" i="6" s="1"/>
  <c r="S18" i="6" s="1"/>
  <c r="E36" i="4"/>
  <c r="E33" i="4"/>
  <c r="E15" i="4"/>
  <c r="E16" i="4"/>
  <c r="E24" i="4"/>
  <c r="E13" i="4"/>
  <c r="E17" i="4"/>
  <c r="E19" i="4"/>
  <c r="E21" i="4"/>
  <c r="E29" i="4"/>
  <c r="E40" i="4"/>
  <c r="F31" i="1"/>
  <c r="I16" i="7"/>
  <c r="P17" i="7"/>
  <c r="I31" i="7"/>
  <c r="H31" i="7"/>
  <c r="Y31" i="7" s="1"/>
  <c r="G34" i="7"/>
  <c r="X34" i="7" s="1"/>
  <c r="I35" i="7"/>
  <c r="H35" i="7"/>
  <c r="Y35" i="7" s="1"/>
  <c r="G38" i="7"/>
  <c r="X38" i="7" s="1"/>
  <c r="I39" i="7"/>
  <c r="H39" i="7"/>
  <c r="Y39" i="7" s="1"/>
  <c r="V12" i="7"/>
  <c r="H37" i="7"/>
  <c r="Y37" i="7" s="1"/>
  <c r="C31" i="7"/>
  <c r="H11" i="6" s="1"/>
  <c r="G11" i="6" s="1"/>
  <c r="P32" i="7"/>
  <c r="C35" i="7"/>
  <c r="H15" i="6" s="1"/>
  <c r="G15" i="6" s="1"/>
  <c r="S15" i="6" s="1"/>
  <c r="P36" i="7"/>
  <c r="C39" i="7"/>
  <c r="H19" i="6" s="1"/>
  <c r="G19" i="6" s="1"/>
  <c r="S19" i="6" s="1"/>
  <c r="P40" i="7"/>
  <c r="T30" i="7"/>
  <c r="G33" i="7"/>
  <c r="X33" i="7" s="1"/>
  <c r="P34" i="7"/>
  <c r="P35" i="7"/>
  <c r="G37" i="7"/>
  <c r="X37" i="7" s="1"/>
  <c r="P38" i="7"/>
  <c r="P39" i="7"/>
  <c r="O12" i="7"/>
  <c r="K12" i="7"/>
  <c r="R12" i="7"/>
  <c r="S12" i="7"/>
  <c r="L12" i="7"/>
  <c r="U12" i="7"/>
  <c r="J13" i="7"/>
  <c r="G14" i="7"/>
  <c r="F14" i="7" s="1"/>
  <c r="W14" i="7" s="1"/>
  <c r="I32" i="7"/>
  <c r="G32" i="7"/>
  <c r="X32" i="7" s="1"/>
  <c r="I36" i="7"/>
  <c r="G36" i="7"/>
  <c r="X36" i="7" s="1"/>
  <c r="I40" i="7"/>
  <c r="G40" i="7"/>
  <c r="X40" i="7" s="1"/>
  <c r="C14" i="7"/>
  <c r="C13" i="7" s="1"/>
  <c r="M13" i="7"/>
  <c r="I18" i="7"/>
  <c r="I19" i="7"/>
  <c r="I20" i="7"/>
  <c r="I25" i="7"/>
  <c r="I26" i="7"/>
  <c r="I27" i="7"/>
  <c r="P28" i="7"/>
  <c r="I29" i="7"/>
  <c r="P31" i="7"/>
  <c r="Q30" i="7"/>
  <c r="H32" i="7"/>
  <c r="Y32" i="7" s="1"/>
  <c r="H33" i="7"/>
  <c r="Y33" i="7" s="1"/>
  <c r="M30" i="7"/>
  <c r="H36" i="7"/>
  <c r="Y36" i="7" s="1"/>
  <c r="H40" i="7"/>
  <c r="Y40" i="7" s="1"/>
  <c r="P14" i="7"/>
  <c r="Q13" i="7"/>
  <c r="I14" i="7"/>
  <c r="P16" i="7"/>
  <c r="P18" i="7"/>
  <c r="P19" i="7"/>
  <c r="P20" i="7"/>
  <c r="P25" i="7"/>
  <c r="P26" i="7"/>
  <c r="P27" i="7"/>
  <c r="I28" i="7"/>
  <c r="P29" i="7"/>
  <c r="D30" i="7"/>
  <c r="D12" i="7" s="1"/>
  <c r="J30" i="7"/>
  <c r="E30" i="4"/>
  <c r="E20" i="4"/>
  <c r="W15" i="7" l="1"/>
  <c r="F13" i="7"/>
  <c r="T12" i="7"/>
  <c r="E12" i="7"/>
  <c r="F39" i="7"/>
  <c r="W39" i="7" s="1"/>
  <c r="F37" i="7"/>
  <c r="W37" i="7" s="1"/>
  <c r="F38" i="7"/>
  <c r="W38" i="7" s="1"/>
  <c r="F31" i="7"/>
  <c r="W31" i="7" s="1"/>
  <c r="F35" i="7"/>
  <c r="W35" i="7" s="1"/>
  <c r="T20" i="6"/>
  <c r="F32" i="7"/>
  <c r="W32" i="7" s="1"/>
  <c r="M12" i="7"/>
  <c r="T16" i="6"/>
  <c r="E12" i="4"/>
  <c r="E10" i="4"/>
  <c r="E8" i="4"/>
  <c r="G30" i="7"/>
  <c r="X30" i="7" s="1"/>
  <c r="F34" i="7"/>
  <c r="W34" i="7" s="1"/>
  <c r="I30" i="7"/>
  <c r="P30" i="7"/>
  <c r="C30" i="7"/>
  <c r="Q12" i="7"/>
  <c r="J12" i="7"/>
  <c r="F33" i="7"/>
  <c r="W33" i="7" s="1"/>
  <c r="I13" i="7"/>
  <c r="F36" i="7"/>
  <c r="W36" i="7" s="1"/>
  <c r="G13" i="7"/>
  <c r="P13" i="7"/>
  <c r="H30" i="7"/>
  <c r="Y30" i="7" s="1"/>
  <c r="F40" i="7"/>
  <c r="W40" i="7" s="1"/>
  <c r="C12" i="7" l="1"/>
  <c r="T15" i="6"/>
  <c r="T17" i="6"/>
  <c r="T18" i="6"/>
  <c r="T12" i="6"/>
  <c r="H10" i="6"/>
  <c r="T10" i="6" s="1"/>
  <c r="T11" i="6"/>
  <c r="T13" i="6"/>
  <c r="C20" i="6"/>
  <c r="O20" i="6" s="1"/>
  <c r="Q20" i="6"/>
  <c r="C16" i="6"/>
  <c r="O16" i="6" s="1"/>
  <c r="Q16" i="6"/>
  <c r="T14" i="6"/>
  <c r="T19" i="6"/>
  <c r="I12" i="7"/>
  <c r="P12" i="7"/>
  <c r="F33" i="3"/>
  <c r="Y13" i="7"/>
  <c r="H12" i="7"/>
  <c r="Y12" i="7" s="1"/>
  <c r="F30" i="7"/>
  <c r="X13" i="7"/>
  <c r="G12" i="7"/>
  <c r="Q5" i="14" s="1"/>
  <c r="W30" i="7" l="1"/>
  <c r="V4" i="22"/>
  <c r="Q12" i="6"/>
  <c r="C12" i="6"/>
  <c r="O12" i="6" s="1"/>
  <c r="Q17" i="6"/>
  <c r="C17" i="6"/>
  <c r="O17" i="6" s="1"/>
  <c r="C14" i="6"/>
  <c r="O14" i="6" s="1"/>
  <c r="Q14" i="6"/>
  <c r="C18" i="6"/>
  <c r="O18" i="6" s="1"/>
  <c r="Q18" i="6"/>
  <c r="C15" i="6"/>
  <c r="O15" i="6" s="1"/>
  <c r="Q15" i="6"/>
  <c r="X12" i="7"/>
  <c r="C19" i="6"/>
  <c r="O19" i="6" s="1"/>
  <c r="Q19" i="6"/>
  <c r="Q13" i="6"/>
  <c r="C13" i="6"/>
  <c r="O13" i="6" s="1"/>
  <c r="L30" i="3"/>
  <c r="E31" i="3"/>
  <c r="C32" i="3"/>
  <c r="F32" i="3"/>
  <c r="F31" i="3" s="1"/>
  <c r="F30" i="3" s="1"/>
  <c r="W13" i="7"/>
  <c r="F12" i="7"/>
  <c r="W12" i="7" s="1"/>
  <c r="J21" i="3" l="1"/>
  <c r="J10" i="3" s="1"/>
  <c r="J9" i="3" s="1"/>
  <c r="L9" i="3"/>
  <c r="H30" i="1"/>
  <c r="F24" i="1" s="1"/>
  <c r="C31" i="3"/>
  <c r="C30" i="3" s="1"/>
  <c r="E30" i="3"/>
  <c r="F21" i="3" l="1"/>
  <c r="M31" i="3"/>
  <c r="F32" i="1"/>
  <c r="F30" i="1" s="1"/>
  <c r="G30" i="1"/>
  <c r="F23" i="1" l="1"/>
  <c r="F22" i="1" s="1"/>
  <c r="F21" i="1" s="1"/>
  <c r="C9" i="1" l="1"/>
  <c r="E32" i="1" l="1"/>
  <c r="D30" i="1"/>
  <c r="D21" i="1" s="1"/>
  <c r="E30" i="1" l="1"/>
  <c r="E21" i="1" l="1"/>
  <c r="C30" i="1"/>
  <c r="F19" i="1"/>
  <c r="F18" i="1"/>
  <c r="F17" i="1"/>
  <c r="F16" i="1"/>
  <c r="F15" i="1"/>
  <c r="C12" i="1"/>
  <c r="C8" i="1" s="1"/>
  <c r="F9" i="1" l="1"/>
  <c r="C21" i="1"/>
  <c r="F12" i="1"/>
  <c r="F8" i="1" l="1"/>
  <c r="I10" i="1"/>
  <c r="I11" i="1"/>
  <c r="I12" i="1"/>
  <c r="I13" i="1"/>
  <c r="I14" i="1"/>
  <c r="I15" i="1"/>
  <c r="I16" i="1"/>
  <c r="I17" i="1"/>
  <c r="I21" i="1"/>
  <c r="I22" i="1"/>
  <c r="I23" i="1"/>
  <c r="I24" i="1"/>
  <c r="I25" i="1"/>
  <c r="I26" i="1"/>
  <c r="I27" i="1"/>
  <c r="I29" i="1"/>
  <c r="I30" i="1"/>
  <c r="I31" i="1"/>
  <c r="I32" i="1"/>
  <c r="I9" i="1"/>
  <c r="O15" i="3"/>
  <c r="N15" i="3"/>
  <c r="O14" i="3"/>
  <c r="N14" i="3"/>
  <c r="O12" i="3"/>
  <c r="N13" i="3"/>
  <c r="O13" i="3"/>
  <c r="N16" i="3"/>
  <c r="O16" i="3"/>
  <c r="N17" i="3"/>
  <c r="N18" i="3"/>
  <c r="O18" i="3"/>
  <c r="N19" i="3"/>
  <c r="O19" i="3"/>
  <c r="N20" i="3"/>
  <c r="O20" i="3"/>
  <c r="N21" i="3"/>
  <c r="O21" i="3"/>
  <c r="N22" i="3"/>
  <c r="O22" i="3"/>
  <c r="N23" i="3"/>
  <c r="O23" i="3"/>
  <c r="N24" i="3"/>
  <c r="O24" i="3"/>
  <c r="N25" i="3"/>
  <c r="O25" i="3"/>
  <c r="N26" i="3"/>
  <c r="O26" i="3"/>
  <c r="N28" i="3"/>
  <c r="O28" i="3"/>
  <c r="N29" i="3"/>
  <c r="O29" i="3"/>
  <c r="N30" i="3"/>
  <c r="O30" i="3"/>
  <c r="N32" i="3"/>
  <c r="O32" i="3"/>
  <c r="N34" i="3"/>
  <c r="O34" i="3"/>
  <c r="C12" i="3"/>
  <c r="C13" i="3"/>
  <c r="M13" i="3" s="1"/>
  <c r="F13" i="3"/>
  <c r="F14" i="3"/>
  <c r="F15" i="3"/>
  <c r="C16" i="3"/>
  <c r="M16" i="3" s="1"/>
  <c r="F16" i="3"/>
  <c r="C17" i="3"/>
  <c r="F17" i="3"/>
  <c r="C18" i="3"/>
  <c r="F18" i="3"/>
  <c r="C19" i="3"/>
  <c r="F19" i="3"/>
  <c r="C20" i="3"/>
  <c r="F20" i="3"/>
  <c r="C21" i="3"/>
  <c r="C22" i="3"/>
  <c r="M22" i="3" s="1"/>
  <c r="F22" i="3"/>
  <c r="C23" i="3"/>
  <c r="F23" i="3"/>
  <c r="C24" i="3"/>
  <c r="F24" i="3"/>
  <c r="C25" i="3"/>
  <c r="F25" i="3"/>
  <c r="C26" i="3"/>
  <c r="F26" i="3"/>
  <c r="C28" i="3"/>
  <c r="F28" i="3"/>
  <c r="C29" i="3"/>
  <c r="F29" i="3"/>
  <c r="M32" i="3"/>
  <c r="I8" i="1" l="1"/>
  <c r="F11" i="3"/>
  <c r="M29" i="3"/>
  <c r="M28" i="3"/>
  <c r="M23" i="3"/>
  <c r="M17" i="3"/>
  <c r="M24" i="3"/>
  <c r="M18" i="3"/>
  <c r="C14" i="3"/>
  <c r="M14" i="3" s="1"/>
  <c r="C15" i="3"/>
  <c r="M15" i="3" s="1"/>
  <c r="M26" i="3"/>
  <c r="M25" i="3"/>
  <c r="M21" i="3"/>
  <c r="O11" i="3"/>
  <c r="M20" i="3"/>
  <c r="M19" i="3"/>
  <c r="M12" i="3"/>
  <c r="N12" i="3"/>
  <c r="N10" i="3"/>
  <c r="N9" i="3"/>
  <c r="C11" i="3"/>
  <c r="N11" i="3"/>
  <c r="E10" i="3"/>
  <c r="E9" i="3" s="1"/>
  <c r="C10" i="3" l="1"/>
  <c r="C9" i="3" s="1"/>
  <c r="F10" i="3"/>
  <c r="M11" i="3"/>
  <c r="O10" i="3"/>
  <c r="F9" i="3" l="1"/>
  <c r="M10" i="3"/>
  <c r="O9" i="3"/>
  <c r="M32" i="10" l="1"/>
  <c r="T20" i="10"/>
  <c r="Q20" i="10"/>
  <c r="N20" i="10"/>
  <c r="J20" i="10"/>
  <c r="G20" i="10"/>
  <c r="E20" i="10"/>
  <c r="D20" i="10"/>
  <c r="T19" i="10"/>
  <c r="Q19" i="10"/>
  <c r="N19" i="10"/>
  <c r="Y19" i="10" s="1"/>
  <c r="J19" i="10"/>
  <c r="H19" i="10"/>
  <c r="G19" i="10"/>
  <c r="E19" i="10"/>
  <c r="D19" i="10"/>
  <c r="C19" i="10" s="1"/>
  <c r="T18" i="10"/>
  <c r="Q18" i="10"/>
  <c r="N18" i="10"/>
  <c r="J18" i="10"/>
  <c r="H18" i="10"/>
  <c r="G18" i="10"/>
  <c r="E18" i="10"/>
  <c r="D18" i="10"/>
  <c r="T17" i="10"/>
  <c r="Q17" i="10"/>
  <c r="N17" i="10"/>
  <c r="J17" i="10"/>
  <c r="H17" i="10"/>
  <c r="G17" i="10"/>
  <c r="E17" i="10"/>
  <c r="D17" i="10"/>
  <c r="T16" i="10"/>
  <c r="Q16" i="10"/>
  <c r="N16" i="10"/>
  <c r="J16" i="10"/>
  <c r="H16" i="10"/>
  <c r="G16" i="10"/>
  <c r="E16" i="10"/>
  <c r="D16" i="10"/>
  <c r="T15" i="10"/>
  <c r="Q15" i="10"/>
  <c r="Z15" i="10" s="1"/>
  <c r="N15" i="10"/>
  <c r="M15" i="10"/>
  <c r="J15" i="10"/>
  <c r="H15" i="10"/>
  <c r="G15" i="10"/>
  <c r="E15" i="10"/>
  <c r="D15" i="10"/>
  <c r="T14" i="10"/>
  <c r="Q14" i="10"/>
  <c r="N14" i="10"/>
  <c r="Y14" i="10" s="1"/>
  <c r="J14" i="10"/>
  <c r="H14" i="10"/>
  <c r="G14" i="10"/>
  <c r="C14" i="10" s="1"/>
  <c r="E14" i="10"/>
  <c r="D14" i="10"/>
  <c r="T13" i="10"/>
  <c r="Q13" i="10"/>
  <c r="N13" i="10"/>
  <c r="J13" i="10"/>
  <c r="H13" i="10"/>
  <c r="G13" i="10"/>
  <c r="E13" i="10"/>
  <c r="D13" i="10"/>
  <c r="T12" i="10"/>
  <c r="Q12" i="10"/>
  <c r="N12" i="10"/>
  <c r="J12" i="10"/>
  <c r="H12" i="10"/>
  <c r="G12" i="10"/>
  <c r="E12" i="10"/>
  <c r="D12" i="10"/>
  <c r="T11" i="10"/>
  <c r="Q11" i="10"/>
  <c r="N11" i="10"/>
  <c r="J11" i="10"/>
  <c r="J10" i="10" s="1"/>
  <c r="H11" i="10"/>
  <c r="G11" i="10"/>
  <c r="E11" i="10"/>
  <c r="D11" i="10"/>
  <c r="C11" i="10" s="1"/>
  <c r="W10" i="10"/>
  <c r="V10" i="10"/>
  <c r="U10" i="10"/>
  <c r="S10" i="10"/>
  <c r="R10" i="10"/>
  <c r="L10" i="10"/>
  <c r="K10" i="10"/>
  <c r="I10" i="10"/>
  <c r="F10" i="10"/>
  <c r="C18" i="10" l="1"/>
  <c r="M11" i="10"/>
  <c r="Z12" i="10"/>
  <c r="M13" i="10"/>
  <c r="Z20" i="10"/>
  <c r="H10" i="10"/>
  <c r="C17" i="10"/>
  <c r="M18" i="10"/>
  <c r="C12" i="10"/>
  <c r="AA17" i="10"/>
  <c r="AA19" i="10"/>
  <c r="Y11" i="10"/>
  <c r="M12" i="10"/>
  <c r="C13" i="10"/>
  <c r="AA14" i="10"/>
  <c r="C16" i="10"/>
  <c r="Y16" i="10"/>
  <c r="M17" i="10"/>
  <c r="X17" i="10" s="1"/>
  <c r="Y18" i="10"/>
  <c r="D10" i="10"/>
  <c r="T10" i="10"/>
  <c r="AA10" i="10" s="1"/>
  <c r="AA11" i="10"/>
  <c r="G10" i="10"/>
  <c r="Y13" i="10"/>
  <c r="E10" i="10"/>
  <c r="M14" i="10"/>
  <c r="X14" i="10" s="1"/>
  <c r="AA15" i="10"/>
  <c r="Z16" i="10"/>
  <c r="Z17" i="10"/>
  <c r="M20" i="10"/>
  <c r="X15" i="10"/>
  <c r="AA16" i="10"/>
  <c r="X18" i="10"/>
  <c r="AA12" i="10"/>
  <c r="AA13" i="10"/>
  <c r="Z14" i="10"/>
  <c r="C15" i="10"/>
  <c r="Y15" i="10"/>
  <c r="M16" i="10"/>
  <c r="X16" i="10" s="1"/>
  <c r="AA18" i="10"/>
  <c r="M19" i="10"/>
  <c r="X19" i="10" s="1"/>
  <c r="C20" i="10"/>
  <c r="AA20" i="10"/>
  <c r="P10" i="10"/>
  <c r="O10" i="10"/>
  <c r="X11" i="10"/>
  <c r="X12" i="10"/>
  <c r="Y12" i="10"/>
  <c r="Z13" i="10"/>
  <c r="Z19" i="10"/>
  <c r="Q10" i="10"/>
  <c r="Z11" i="10"/>
  <c r="Y17" i="10"/>
  <c r="Z18" i="10"/>
  <c r="Y20" i="10"/>
  <c r="N10" i="10"/>
  <c r="Y10" i="10" s="1"/>
  <c r="C10" i="10" l="1"/>
  <c r="X20" i="10"/>
  <c r="Z10" i="10"/>
  <c r="M10" i="10"/>
  <c r="X10" i="10" s="1"/>
  <c r="X13" i="10"/>
  <c r="M33" i="10" l="1"/>
  <c r="M30" i="3"/>
  <c r="M9" i="3"/>
  <c r="O31" i="3"/>
  <c r="N31" i="3"/>
  <c r="E14" i="4"/>
  <c r="E10" i="6"/>
  <c r="Q10" i="6" s="1"/>
  <c r="Q11" i="6"/>
  <c r="S11" i="6"/>
  <c r="C11" i="6"/>
  <c r="O11" i="6" s="1"/>
  <c r="C10" i="6"/>
  <c r="O10" i="6" l="1"/>
  <c r="I270" i="24"/>
  <c r="I10" i="24" s="1"/>
  <c r="I267" i="16"/>
  <c r="G10" i="6"/>
  <c r="S10" i="6" s="1"/>
  <c r="C267" i="16" l="1"/>
  <c r="I10" i="16"/>
  <c r="C10" i="16" l="1"/>
  <c r="Z10" i="16" s="1"/>
  <c r="Z267" i="16"/>
</calcChain>
</file>

<file path=xl/sharedStrings.xml><?xml version="1.0" encoding="utf-8"?>
<sst xmlns="http://schemas.openxmlformats.org/spreadsheetml/2006/main" count="9456" uniqueCount="2626">
  <si>
    <t>Biểu số 62/CK-NSNN</t>
  </si>
  <si>
    <t>Đơn vị: Triệu đồng</t>
  </si>
  <si>
    <t>STT</t>
  </si>
  <si>
    <t>NỘI DUNG</t>
  </si>
  <si>
    <t xml:space="preserve">DỰ TOÁN </t>
  </si>
  <si>
    <t>QUYẾT TOÁN</t>
  </si>
  <si>
    <t>SO SÁNH (%)</t>
  </si>
  <si>
    <t>A</t>
  </si>
  <si>
    <t>B</t>
  </si>
  <si>
    <t>3=2/1</t>
  </si>
  <si>
    <t>TỔNG NGUỒN THU NSĐP</t>
  </si>
  <si>
    <t>Thu ngân sách địa phương được hưởng theo phân cấp</t>
  </si>
  <si>
    <t>-</t>
  </si>
  <si>
    <t>Thu NSĐP được hưởng 100%</t>
  </si>
  <si>
    <t xml:space="preserve">Thu NSĐP hưởng từ các khoản thu phân chia </t>
  </si>
  <si>
    <t>Thu bổ sung từ NSTW</t>
  </si>
  <si>
    <t>Thu bổ sung cân đối</t>
  </si>
  <si>
    <t>Thu bổ sung có mục tiêu</t>
  </si>
  <si>
    <t>Thu từ quỹ dự trữ tài chính</t>
  </si>
  <si>
    <t>Thu kết dư</t>
  </si>
  <si>
    <t>Thu chuyển nguồn từ năm trước chuyển sang</t>
  </si>
  <si>
    <t>TỔNG CHI NSĐP</t>
  </si>
  <si>
    <t> I</t>
  </si>
  <si>
    <t>Chi cân đối NSĐP</t>
  </si>
  <si>
    <t>Chi đầu tư phát triển</t>
  </si>
  <si>
    <t>Chi thường xuyên</t>
  </si>
  <si>
    <t>Chi bổ sung quỹ dự trữ tài chính</t>
  </si>
  <si>
    <t>Dự phòng ngân sách</t>
  </si>
  <si>
    <t>Chi tạo nguồn, điều chỉnh tiền lương</t>
  </si>
  <si>
    <t>II</t>
  </si>
  <si>
    <t>Chi các chương trình mục tiêu</t>
  </si>
  <si>
    <t>Chi các chương trình mục tiêu quốc gia</t>
  </si>
  <si>
    <t>Chi các chương trình mục tiêu, nhiệm vụ</t>
  </si>
  <si>
    <t>III</t>
  </si>
  <si>
    <t>Chi chuyển nguồn sang năm sau</t>
  </si>
  <si>
    <t>C</t>
  </si>
  <si>
    <t>D</t>
  </si>
  <si>
    <t>E</t>
  </si>
  <si>
    <t>Biểu số 63/CK-NSNN</t>
  </si>
  <si>
    <t>DỰ TOÁN</t>
  </si>
  <si>
    <t>TỔNG THU NSNN</t>
  </si>
  <si>
    <t>THU NSĐP</t>
  </si>
  <si>
    <t>5=3/1</t>
  </si>
  <si>
    <t>6=4/2</t>
  </si>
  <si>
    <t>TỔNG THU CÂN ĐỐI NSNN</t>
  </si>
  <si>
    <t>I</t>
  </si>
  <si>
    <t>Thu nội địa</t>
  </si>
  <si>
    <t xml:space="preserve">Thu từ khu vực DNNN do Trung ương quản lý </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</si>
  <si>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</si>
  <si>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</si>
  <si>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</si>
  <si>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</si>
  <si>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</si>
  <si>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Thuế BVMT thu từ hàng hóa sản xuất, kinh doanh trong nước</t>
  </si>
  <si>
    <t>Thuế BVMT thu từ hàng hóa nhập khẩu</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</si>
  <si>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</si>
  <si>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</si>
  <si>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</si>
  <si>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</si>
  <si>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</si>
  <si>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</si>
  <si>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</si>
  <si>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</si>
  <si>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</si>
  <si>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từ quỹ đất công ích, hoa lợi công sản khác</t>
  </si>
  <si>
    <t>Thu từ dầu thô</t>
  </si>
  <si>
    <t>Thu từ hoạt động xuất nhập khẩu</t>
  </si>
  <si>
    <t>Thuế xuất khẩu</t>
  </si>
  <si>
    <t>Thuế nhập khẩu</t>
  </si>
  <si>
    <t xml:space="preserve">Thuế giá trị gia tăng thu từ hàng hóa nhập khẩu </t>
  </si>
  <si>
    <t>Thu khác</t>
  </si>
  <si>
    <t>IV</t>
  </si>
  <si>
    <t>THU TỪ QUỸ DỰ TRỮ TÀI CHÍNH</t>
  </si>
  <si>
    <t>THU KẾT DƯ NĂM TRƯỚC</t>
  </si>
  <si>
    <t>THU CHUYỂN NGUỒN TỪ NĂM TRƯỚC CHUYỂN SANG</t>
  </si>
  <si>
    <t>Biểu số 64/CK-NSNN</t>
  </si>
  <si>
    <t>BAO GỒM</t>
  </si>
  <si>
    <t>NGÂN SÁCH CẤP TỈNH</t>
  </si>
  <si>
    <t>NGÂN SÁCH HUYỆN</t>
  </si>
  <si>
    <t>NSĐP</t>
  </si>
  <si>
    <t>1=2+3</t>
  </si>
  <si>
    <t>4=5+6</t>
  </si>
  <si>
    <t>7=4/1</t>
  </si>
  <si>
    <t>8=5/2</t>
  </si>
  <si>
    <t>9=6/3</t>
  </si>
  <si>
    <t>CHI CÂN ĐỐI NSĐP</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</si>
  <si>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</si>
  <si>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</si>
  <si>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</si>
  <si>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</si>
  <si>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</si>
  <si>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</si>
  <si>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</si>
  <si>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</si>
  <si>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</si>
  <si>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</si>
  <si>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V</t>
  </si>
  <si>
    <t>VI</t>
  </si>
  <si>
    <t>CHI CÁC CHƯƠNG TRÌNH MỤC TIÊU</t>
  </si>
  <si>
    <t>CHI CHUYỂN NGUỒN SANG NĂM SAU</t>
  </si>
  <si>
    <t>Biểu số 65/CK-NSNN</t>
  </si>
  <si>
    <t xml:space="preserve">CHI BỔ SUNG CÂN ĐỐI CHO NGÂN SÁCH HUYỆN </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</si>
  <si>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</si>
  <si>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</si>
  <si>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</si>
  <si>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</si>
  <si>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</si>
  <si>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</si>
  <si>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</si>
  <si>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</si>
  <si>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</si>
  <si>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</si>
  <si>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</si>
  <si>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</si>
  <si>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</si>
  <si>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</si>
  <si>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</si>
  <si>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</si>
  <si>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</si>
  <si>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</si>
  <si>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</si>
  <si>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</si>
  <si>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</si>
  <si>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Biểu số 66/CK-NSNN</t>
  </si>
  <si>
    <t xml:space="preserve">(Quyết toán đã được Hội đồng nhân dân phê chuẩn) </t>
  </si>
  <si>
    <t>TÊN ĐƠN VỊ</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</si>
  <si>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</si>
  <si>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</si>
  <si>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</si>
  <si>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</si>
  <si>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</si>
  <si>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</si>
  <si>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</si>
  <si>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</si>
  <si>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CHI ĐẦU TƯ PHÁT TRIỂN</t>
  </si>
  <si>
    <t>CHI THƯỜNG XUYÊN</t>
  </si>
  <si>
    <t>13=4/1</t>
  </si>
  <si>
    <t>14=5/2</t>
  </si>
  <si>
    <t>CÁC CƠ QUAN, TỔ CHỨC</t>
  </si>
  <si>
    <t>CHI DỰ PHÒNG NGÂN SÁCH</t>
  </si>
  <si>
    <t>CHI TẠO NGUỒN, ĐIỀU CHỈNH TIỀN LƯƠNG</t>
  </si>
  <si>
    <t xml:space="preserve">CHI BỔ SUNG CÓ MỤC TIÊU CHO NGÂN SÁCH HUYỆN </t>
  </si>
  <si>
    <t>VII</t>
  </si>
  <si>
    <t>Biểu số 67/CK-NSNN</t>
  </si>
  <si>
    <t>Tên đơn vị</t>
  </si>
  <si>
    <t>Dự toán</t>
  </si>
  <si>
    <t>Quyết toán</t>
  </si>
  <si>
    <t>So sánh (%)</t>
  </si>
  <si>
    <t>Tổng số</t>
  </si>
  <si>
    <t>Bổ sung cân đối</t>
  </si>
  <si>
    <t>Bổ sung có mục tiêu</t>
  </si>
  <si>
    <t>Vốn đầu tư để thực hiện các chương trình mục tiêu, nhiệm vụ</t>
  </si>
  <si>
    <t>Vốn sự nghiệp để thực hiện các chế độ, chính sách, nhiệm vụ</t>
  </si>
  <si>
    <t>Vốn thực hiện các chương trình mục tiêu quốc gia</t>
  </si>
  <si>
    <t>13=7/1</t>
  </si>
  <si>
    <t>14=8/2</t>
  </si>
  <si>
    <t>15=9/3</t>
  </si>
  <si>
    <t>16=10/4</t>
  </si>
  <si>
    <t>17=11/5</t>
  </si>
  <si>
    <t>18=12/6</t>
  </si>
  <si>
    <t>Biểu số 68/CK-NSNN</t>
  </si>
  <si>
    <t>Nội dung</t>
  </si>
  <si>
    <t>Trong đó</t>
  </si>
  <si>
    <t>Đầu tư phát triển</t>
  </si>
  <si>
    <t>Kinh phí sự nghiệp</t>
  </si>
  <si>
    <t>Vốn trong nước</t>
  </si>
  <si>
    <t>Vốn ngoài nước</t>
  </si>
  <si>
    <t>Ngân sách cấp tỉnh</t>
  </si>
  <si>
    <t>Ngân sách huyện</t>
  </si>
  <si>
    <t>Chương trình mục tiêu quốc gia xây dựng nông thôn mới</t>
  </si>
  <si>
    <t>Chương trình mục tiêu quốc gia giảm nghèo bền vững</t>
  </si>
  <si>
    <t>Chia ra</t>
  </si>
  <si>
    <t>5=8+15</t>
  </si>
  <si>
    <t>6=11+18</t>
  </si>
  <si>
    <t>21=4/1</t>
  </si>
  <si>
    <t>22=5/2</t>
  </si>
  <si>
    <t>23=6/3</t>
  </si>
  <si>
    <t>Văn phòng điều phối tỉnh</t>
  </si>
  <si>
    <t>Sở Nông nghiệp và phát triển nông thôn</t>
  </si>
  <si>
    <t>Hội Nông dân tỉnh</t>
  </si>
  <si>
    <t>Sở Lao động - TBXH</t>
  </si>
  <si>
    <t>Ban Dân tộc</t>
  </si>
  <si>
    <t>Huyện Tu mơ Rông</t>
  </si>
  <si>
    <t>Huyện Kon Plông</t>
  </si>
  <si>
    <t>Huyện Đăk glei</t>
  </si>
  <si>
    <t xml:space="preserve">Huyện Sa thầy </t>
  </si>
  <si>
    <t>Huyện Kon Rẫy</t>
  </si>
  <si>
    <t>Huyện Đăk Hà</t>
  </si>
  <si>
    <t>Thành phố Kon Tum</t>
  </si>
  <si>
    <t>Huyện Đăk Tô</t>
  </si>
  <si>
    <t xml:space="preserve">Huyện Ngọc Hồi </t>
  </si>
  <si>
    <t>Huyện Ia HD'rai</t>
  </si>
  <si>
    <t>Tu mơ Rông</t>
  </si>
  <si>
    <t>Kon Plông</t>
  </si>
  <si>
    <t>Đăk glei</t>
  </si>
  <si>
    <t xml:space="preserve">Sa thầy </t>
  </si>
  <si>
    <t>Kon Rẫy</t>
  </si>
  <si>
    <t>Đăk Tô</t>
  </si>
  <si>
    <t xml:space="preserve">Ngọc Hồi </t>
  </si>
  <si>
    <t>Ia HD'rai</t>
  </si>
  <si>
    <t>Đăk Hà</t>
  </si>
  <si>
    <t>Đăk hà</t>
  </si>
  <si>
    <t>UBND TỈNH KON TUM</t>
  </si>
  <si>
    <t>Biểu mẫu số 58</t>
  </si>
  <si>
    <t>QUYẾT TOÁN CHI NGÂN SÁCH ĐỊA PHƯƠNG TỪNG HUYỆN (XÃ) NĂM 2017</t>
  </si>
  <si>
    <t>(Dùng cho ngân sách tỉnh, huyện)</t>
  </si>
  <si>
    <t>Tên đơn vị (1)</t>
  </si>
  <si>
    <t>Dự toán (2)</t>
  </si>
  <si>
    <t>Chi CTMTQG</t>
  </si>
  <si>
    <t>Chi giáo dục đào tạo dạy nghề</t>
  </si>
  <si>
    <t>Chi khoa học và công nghệ (3)</t>
  </si>
  <si>
    <t>1</t>
  </si>
  <si>
    <t>2</t>
  </si>
  <si>
    <t>3</t>
  </si>
  <si>
    <t>4</t>
  </si>
  <si>
    <t>5</t>
  </si>
  <si>
    <t>6</t>
  </si>
  <si>
    <t>7</t>
  </si>
  <si>
    <t>8</t>
  </si>
  <si>
    <t>9</t>
  </si>
  <si>
    <t>10</t>
  </si>
  <si>
    <t>11</t>
  </si>
  <si>
    <t>12</t>
  </si>
  <si>
    <t>13</t>
  </si>
  <si>
    <t>14</t>
  </si>
  <si>
    <t>15</t>
  </si>
  <si>
    <t>16</t>
  </si>
  <si>
    <t>17</t>
  </si>
  <si>
    <t>18</t>
  </si>
  <si>
    <t>19</t>
  </si>
  <si>
    <t>20</t>
  </si>
  <si>
    <t>21</t>
  </si>
  <si>
    <t>22=11/1</t>
  </si>
  <si>
    <t>23=12/2</t>
  </si>
  <si>
    <t>24=15/5</t>
  </si>
  <si>
    <t>25=18/8</t>
  </si>
  <si>
    <r>
      <t>Ghi chú:</t>
    </r>
    <r>
      <rPr>
        <i/>
        <sz val="12"/>
        <color rgb="FF000000"/>
        <rFont val="Times New Roman"/>
        <family val="1"/>
      </rPr>
      <t xml:space="preserve"> </t>
    </r>
  </si>
  <si>
    <t>(1) Theo quy định tại Điều 7, Điều 39 Luật NSNN, ngân sách huyện, xã không có nhiệm vụ chi nghiên cứu khoa học và công nghệ.</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</si>
  <si>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</si>
  <si>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</si>
  <si>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Số liệu TABMIS QT Biểu 62 TT 342 loại chi chuyển giao NSH cho NSX và chi nộp lên NS cáp trên của xã.</t>
  </si>
  <si>
    <t>Chênh lệch</t>
  </si>
  <si>
    <t>- Thuế giá trị gia tăng</t>
  </si>
  <si>
    <t>- Thuế thu nhập doanh nghiệp</t>
  </si>
  <si>
    <t>- Thuế tiêu thụ đặc biệt</t>
  </si>
  <si>
    <t>- Thuế tài nguyên</t>
  </si>
  <si>
    <t>- Thu khác</t>
  </si>
  <si>
    <t>Thu từ hoạt động xổ số kiến thiết  (kể cả xổ số điện toán)</t>
  </si>
  <si>
    <t>Thu viện trợ, các khoản huy động đóng góp</t>
  </si>
  <si>
    <t>Thuế chuyển quyền sử dụng đất</t>
  </si>
  <si>
    <t>THU TỪ NGÂN SÁCH CẤP DƯỚI NỘP LÊN</t>
  </si>
  <si>
    <t>TỔNG NGUỒN THU NSNN (A+B+C+D+E)</t>
  </si>
  <si>
    <t>Trung ương giao</t>
  </si>
  <si>
    <t>HĐND quyết định</t>
  </si>
  <si>
    <t>Thu NS TW</t>
  </si>
  <si>
    <t>Thu NS cấp tỉnh</t>
  </si>
  <si>
    <t>Thu NS cấp huyện</t>
  </si>
  <si>
    <t>Thu NS cấp xã</t>
  </si>
  <si>
    <t>Cấp trên giao</t>
  </si>
  <si>
    <t>Thu từ khu vực kinh tế ngoài quốc doanh</t>
  </si>
  <si>
    <t>Trong đó: - Thu từ hàng hóa nhập khẩu</t>
  </si>
  <si>
    <t>Phí, lệ phí</t>
  </si>
  <si>
    <t>Tiền sử dụng đất</t>
  </si>
  <si>
    <t>Trong đó: - Thu do cơ quan, tổ chức, đơn vị thuộc Trung ương quản lý</t>
  </si>
  <si>
    <t xml:space="preserve">               - Thu do cơ quan, tổ chức, đơn vị thuộc địa phương quản lý</t>
  </si>
  <si>
    <t>Thu tiền thuê đất, mặt nước</t>
  </si>
  <si>
    <t>Thu tiền cho thuê và bán nhà ở thuộc sở hữu nhà nước</t>
  </si>
  <si>
    <t xml:space="preserve"> </t>
  </si>
  <si>
    <t>Trong đó: - Giấy phép do Trung ương cấp</t>
  </si>
  <si>
    <t xml:space="preserve">               - Giấy phép do Ủy ban nhân dân cấp tỉnh cấp</t>
  </si>
  <si>
    <t>Thu từ quỹ đất công ích và thu hoa lợi công sản khác</t>
  </si>
  <si>
    <t>Thu cổ tức và lợi nhuận sau thuế</t>
  </si>
  <si>
    <t>Thu từ hoạt động xổ số kiến thiết (kể cả xổ số điện toán)</t>
  </si>
  <si>
    <t>Thu Hải quan</t>
  </si>
  <si>
    <t>Thuế giá trị gia tăng hàng nhập khẩu</t>
  </si>
  <si>
    <t>Các khoản huy động, đóng góp</t>
  </si>
  <si>
    <t>THU QUẢN LÝ QUA NGÂN SÁCH</t>
  </si>
  <si>
    <t>Thu từ ngân sách cấp dưới nộp lên</t>
  </si>
  <si>
    <t>Thu bổ sung từ ngân sách cấp trên</t>
  </si>
  <si>
    <t xml:space="preserve">Bổ sung cân đối </t>
  </si>
  <si>
    <t>Nội dung chi</t>
  </si>
  <si>
    <t>Tổng số Chi NSĐP</t>
  </si>
  <si>
    <t>Chi NS cấp tỉnh</t>
  </si>
  <si>
    <t>Chi NS cấp huyện</t>
  </si>
  <si>
    <t>Chi NS cấp xã</t>
  </si>
  <si>
    <t>CHI CÂN ĐỐI NGÂN SÁCH</t>
  </si>
  <si>
    <t>Chi quốc phòng</t>
  </si>
  <si>
    <t>Chi an ninh và trật tự an toàn xã hội</t>
  </si>
  <si>
    <t>1.11</t>
  </si>
  <si>
    <t>Chi hoạt động của các cơ quan quản lý nhà nước, Đảng, đoàn thể</t>
  </si>
  <si>
    <t>1.12</t>
  </si>
  <si>
    <t>1.13</t>
  </si>
  <si>
    <t>Chi ngành, lĩnh vực khác</t>
  </si>
  <si>
    <t>Chi đầu tư và hỗ trợ vốn cho các doanh nghiệp hoạt động công ích</t>
  </si>
  <si>
    <t>Chi trả nợ vay KCH kênh mương</t>
  </si>
  <si>
    <t>2.1</t>
  </si>
  <si>
    <t>2.2</t>
  </si>
  <si>
    <t>2.3</t>
  </si>
  <si>
    <t>Chi nguồn tăng thu so dự toán Trung ương giao</t>
  </si>
  <si>
    <t>CHI BỔ SUNG CHO NGÂN SÁCH CẤP DƯỚI</t>
  </si>
  <si>
    <t>Tr. đó: - Bằng nguồn vốn trong nước</t>
  </si>
  <si>
    <t xml:space="preserve">           - Bằng nguồn vốn ngoài nước</t>
  </si>
  <si>
    <t>CHI NỘP NGÂN SÁCH CẤP TRÊN</t>
  </si>
  <si>
    <t>Mẫu biểu số 60</t>
  </si>
  <si>
    <t>(Số liệu tổng hợp thực hiện đến ngày 27/7/2018)</t>
  </si>
  <si>
    <t>Đơn vị: triệu đồng</t>
  </si>
  <si>
    <t>Phần thu</t>
  </si>
  <si>
    <t>Phần chi</t>
  </si>
  <si>
    <t>Tổng số thu</t>
  </si>
  <si>
    <t>Tổng số chi</t>
  </si>
  <si>
    <t>A. Tổng số thu cân đối ngân sách</t>
  </si>
  <si>
    <t>A Tổng số chi cân đối ngân sách</t>
  </si>
  <si>
    <t>1. Các khoản thu NSĐP hưởng 100%</t>
  </si>
  <si>
    <t>1. Chi đầu tư phát triển</t>
  </si>
  <si>
    <t>2. Các khoản thu phân chia theo tỷ lệ %</t>
  </si>
  <si>
    <t>2. Chi trả nợ vay KCH kênh mương</t>
  </si>
  <si>
    <t>3. Thu từ quỹ dự trữ tài chính</t>
  </si>
  <si>
    <t>3. Chi thường xuyên</t>
  </si>
  <si>
    <t>4. Thu kết dư năm trước</t>
  </si>
  <si>
    <t>4. Chi bổ sung quỹ dự trữ tài chính</t>
  </si>
  <si>
    <t>5. Thu chuyển nguồn từ năm trước sang</t>
  </si>
  <si>
    <t>5. Chi bổ sung cho ngân sách cấp dưới</t>
  </si>
  <si>
    <t>6. Thu từ ngân sách cấp dưới nộp lên</t>
  </si>
  <si>
    <t>6. Chi chuyển nguồn sang năm sau</t>
  </si>
  <si>
    <t>7. Thu bổ sung từ ngân sách cấp trên</t>
  </si>
  <si>
    <t>7. Chi nộp ngân sách cấp trên</t>
  </si>
  <si>
    <t>Tr.đó: - Bổ sung cân đối ngân sách</t>
  </si>
  <si>
    <t xml:space="preserve">          - Bổ sung có mục tiêu</t>
  </si>
  <si>
    <t>- Bội chi = chi - thu</t>
  </si>
  <si>
    <t xml:space="preserve">C. Vay của ngân sách cấp tỉnh </t>
  </si>
  <si>
    <t xml:space="preserve">C. Chi trả nợ gốc </t>
  </si>
  <si>
    <t>KHO BẠC NHÀ NƯỚC TỈNH KON TUM</t>
  </si>
  <si>
    <t>SỞ TÀI CHÍNH TỈNH KON TUM</t>
  </si>
  <si>
    <t>TM. UBND TỈNH KON TUM</t>
  </si>
  <si>
    <t>GIÁM ĐỐC</t>
  </si>
  <si>
    <t xml:space="preserve">       GIÁM ĐỐC</t>
  </si>
  <si>
    <t>CHỦ TỊCH</t>
  </si>
  <si>
    <t>(Cơ quan tài chính ký đối với ngân sách cấp tỉnh, cấp huyện, kế toán đối với NS cấp xã)</t>
  </si>
  <si>
    <t>Keets dư tăng giảm so naghyf7/7</t>
  </si>
  <si>
    <t>Thu huy động đóng góp, viện trợ</t>
  </si>
  <si>
    <t>Vốn SN</t>
  </si>
  <si>
    <t>Vốn ĐTPT</t>
  </si>
  <si>
    <t xml:space="preserve">     SỞ TÀI CHÍNH</t>
  </si>
  <si>
    <t>TT</t>
  </si>
  <si>
    <t>Chia ra:</t>
  </si>
  <si>
    <t>Kinh phí nộp trả ngân sách cấp trên</t>
  </si>
  <si>
    <t>Nộp trả hết nhiệm vụ chi</t>
  </si>
  <si>
    <t>Chuyển sang năm sau</t>
  </si>
  <si>
    <t>NS tỉnh</t>
  </si>
  <si>
    <t>NS huyện</t>
  </si>
  <si>
    <t>Dự toán NS  tỉnh  thực hiện</t>
  </si>
  <si>
    <t>Dự toán NS huyện thực hiện</t>
  </si>
  <si>
    <t>Chi NS tỉnh thực hiện</t>
  </si>
  <si>
    <t>Chi NS huyện thực hiện</t>
  </si>
  <si>
    <t xml:space="preserve">Vốn đầu tư </t>
  </si>
  <si>
    <t>Tổng cộng</t>
  </si>
  <si>
    <t>1a</t>
  </si>
  <si>
    <t>1b</t>
  </si>
  <si>
    <t>1c</t>
  </si>
  <si>
    <t>1d</t>
  </si>
  <si>
    <t>6=7+8</t>
  </si>
  <si>
    <t>17=18+19</t>
  </si>
  <si>
    <t>Tổng số: (A+B+C+D)</t>
  </si>
  <si>
    <t>Chương trình MTQG</t>
  </si>
  <si>
    <t>A.1</t>
  </si>
  <si>
    <t xml:space="preserve">Theo dự toán đầu năm </t>
  </si>
  <si>
    <t>Chương trình MTQG XD nông thôn mới</t>
  </si>
  <si>
    <t xml:space="preserve">Sở, các huyện nộp trả về tập trung NST </t>
  </si>
  <si>
    <t xml:space="preserve">Chương trình MTQG GN bền vững </t>
  </si>
  <si>
    <t>Dự án 1: Chương trình 30a</t>
  </si>
  <si>
    <t>Vốn đầu tư phát triển</t>
  </si>
  <si>
    <t>Duy tu bảo dưỡng CSHT</t>
  </si>
  <si>
    <t>Hỗ trợ PTSX, đa dạng hóa sinh kế và nhân rộng mô hình giảm nghèo trên địa bàn huyện nghèo</t>
  </si>
  <si>
    <t>Hỗ trợ lao động nghèo, cận nghèo, đồng bào dân tộc thiểu số đi làm việc có thời hạn ở nước ngoài</t>
  </si>
  <si>
    <t xml:space="preserve">Rút Sở LĐ trả về tập trung NST </t>
  </si>
  <si>
    <t xml:space="preserve">Dự án 2: Chương trình 135 </t>
  </si>
  <si>
    <t>Nâng cao năng lực giám sát, đánh giá</t>
  </si>
  <si>
    <t>Ban dân tộc</t>
  </si>
  <si>
    <t>Dự án 3: Hỗ trợ PTSX, đa dạng hóa sinh kế và nhân rộng mô hình giảm nghèo trên địa bàn huyện nghèo các xã ngoài Chương trình 30a và CT 135</t>
  </si>
  <si>
    <t>Dự án 4: Truyền thông và giảm nghèo về thông tin</t>
  </si>
  <si>
    <t>Sở Thông tin và truyền thông</t>
  </si>
  <si>
    <t xml:space="preserve">Rút Sở TTTT trả về tập trung NST </t>
  </si>
  <si>
    <t>Dự án 5: Nâng cao năng lực và giám sát, đánh giá thực hiện chương trình</t>
  </si>
  <si>
    <t>KP thực hiện các Chương trình MTQG còn tồn năm trước chuyển sang</t>
  </si>
  <si>
    <t xml:space="preserve">Chương trình MTQG việc làm và DN </t>
  </si>
  <si>
    <t>a</t>
  </si>
  <si>
    <t xml:space="preserve">Chưa phân bổ </t>
  </si>
  <si>
    <t>b</t>
  </si>
  <si>
    <t>Sa thầy</t>
  </si>
  <si>
    <t>+</t>
  </si>
  <si>
    <t>A.2</t>
  </si>
  <si>
    <t>Bổ sung trong năm</t>
  </si>
  <si>
    <t>Chương trình 30a</t>
  </si>
  <si>
    <t>Đầu tư cơ sở hạ tầng các huyện nghèo</t>
  </si>
  <si>
    <t>Tu mơ Rông (chuyển 2018)</t>
  </si>
  <si>
    <t>Duy tu bảo dưỡng</t>
  </si>
  <si>
    <t>Tu Mơ Rông</t>
  </si>
  <si>
    <t>Hỗ trợ phát triển KTXH, PTSX; hỗ trợ giáo dục đào tạo và dạy nghề trên địa bàn các huyện nghèo</t>
  </si>
  <si>
    <t>Nguồn chưa phân bổ</t>
  </si>
  <si>
    <t>Chăm sóc bảo vệ rừng, giao đất giao rừng</t>
  </si>
  <si>
    <t>Ngân sách huyện nộp về NST</t>
  </si>
  <si>
    <t>Hỗ trợ đầu tư huyện nghèo theo QĐ 293/QĐ-TTg</t>
  </si>
  <si>
    <t>Đăk Glei</t>
  </si>
  <si>
    <t>Hỗ trợ phát triển KTXH; hỗ trợ giáo dục đào tạo và dạy nghề trên địa bàn các huyện nghèo</t>
  </si>
  <si>
    <t>Chương trình 135 giai đoạn III</t>
  </si>
  <si>
    <t>3.1</t>
  </si>
  <si>
    <t>Đầu tư cơ sở hạ tầng các xã ĐBKK, xã biên giới, xã an toàn khu, các thôn ĐBKK</t>
  </si>
  <si>
    <t xml:space="preserve">Đăk Hà </t>
  </si>
  <si>
    <t>3.2</t>
  </si>
  <si>
    <t>Hỗ trợ phát triển sản xuất</t>
  </si>
  <si>
    <t>3.3</t>
  </si>
  <si>
    <t>3.4</t>
  </si>
  <si>
    <t>Chính sách trợ giúp pháp lý</t>
  </si>
  <si>
    <t>3.5</t>
  </si>
  <si>
    <t xml:space="preserve">Nguồn NST còn tồn và Huyện nộp trả về tập trung NST </t>
  </si>
  <si>
    <t>Nâng cao năng lực giảm nghèo, truyền thông và giám sát, đánh giá thực hiện Chương trình</t>
  </si>
  <si>
    <t>Nguồn tập chung chưa phân (Rút Sở LĐ về)</t>
  </si>
  <si>
    <t>Chương trình MTQG Xây dựng nông thôn mới</t>
  </si>
  <si>
    <t xml:space="preserve">Trung ương bổ sung nhiệm vụ cụ thể vốn đầu tư: </t>
  </si>
  <si>
    <t>B.1</t>
  </si>
  <si>
    <t>I.1</t>
  </si>
  <si>
    <t xml:space="preserve">Vốn trong nước </t>
  </si>
  <si>
    <t>Chương trình phát triển kinh tế xã hội các vùng - NQ10 (CT 168)</t>
  </si>
  <si>
    <t>Đầu tư hạ tầng khu kinh tế ven biển, khu kinh tế cửa khẩu, khu công nghiệp, cụm CN</t>
  </si>
  <si>
    <t xml:space="preserve"> Đầu tư phát triển kinh tế - xã hội tuyên biên giới Việt Trung, Việt Nam - Lào và Việt Nam - Campuchia </t>
  </si>
  <si>
    <t>Hỗ trợ đầu tư các huyện mới chia tách</t>
  </si>
  <si>
    <t>Phát triển và bảo vệ rừng bền vững</t>
  </si>
  <si>
    <t>Hỗ trợ thực hiện Quyết định số 293/QĐ-TTg và áp dụng một số quy định của Chương trình 30a</t>
  </si>
  <si>
    <t xml:space="preserve"> Đầu tư vùng ATK</t>
  </si>
  <si>
    <t>Nguồn dự phòng NSTW 2009 (kè QL24)</t>
  </si>
  <si>
    <t>Nguồn đầu tư Kè chống sạt lở QL24</t>
  </si>
  <si>
    <t>Tái cơ cấu kinh tế nông nghiệp và phòng chống giảm nhẹ thiên tai, ổn định đời sống dân cư</t>
  </si>
  <si>
    <t>Chương trình cấp điện nông thôn miền núi và hải đảo</t>
  </si>
  <si>
    <t>Phát triển hệ thống y tế địa phương</t>
  </si>
  <si>
    <t>Phát triển văn hóa</t>
  </si>
  <si>
    <t xml:space="preserve"> Hỗ trợ hạ tầng du lịch</t>
  </si>
  <si>
    <t>CTMT QP-AN trên địa bàn trọng điểm</t>
  </si>
  <si>
    <t>Hỗ trợ đối ứng ODA các tỉnh khó khăn</t>
  </si>
  <si>
    <t xml:space="preserve"> Dư dự toán chi và vượt thu SNTW năm 2011</t>
  </si>
  <si>
    <t>Nguồn dự án trồng mới 5 triệu ha rừng</t>
  </si>
  <si>
    <t>Các dự án cấp bách theo ý kiến chỉ đạo của Lãnh đạo Đảng và Nhà nước</t>
  </si>
  <si>
    <t>Vượt thu và kết dư NSTW năm 2010</t>
  </si>
  <si>
    <t>Chương trình bố trí sắp xếp dân cư nơi cần thiết</t>
  </si>
  <si>
    <t xml:space="preserve">Chương trình mục tiêu công nghệ thông tin (Đầu tư xây dựng chính quyền điện tử tỉnh Kon Tum) </t>
  </si>
  <si>
    <t>I.2</t>
  </si>
  <si>
    <t>Vốn nước ngoài</t>
  </si>
  <si>
    <t>ODA - Lĩnh vực giáo dục - Chương trình đảm bảo chất lượng trường học (SeQap)</t>
  </si>
  <si>
    <t>ODA - Lĩnh vực nông nghiệp và phát triển nông thôn kết hợp xóa đói giảm nghèo (DA GNKV Tây Nguyên)</t>
  </si>
  <si>
    <t>ODA - Lĩnh vực Y Tế  (DA chăm sóc sức khỏe nhân dân các tỉnh Tây Nguyện GĐ 2)</t>
  </si>
  <si>
    <t>B.2</t>
  </si>
  <si>
    <t xml:space="preserve">Bổ sung vốn đầu tư từ nguồn viện trợ của Chính phủ Ai len </t>
  </si>
  <si>
    <t>Hỗ trợ địa phương một số nhiệm vụ cấp bách (Sở NN)</t>
  </si>
  <si>
    <t>Hỗ trợ các dự án cấp bách đã đủ thủ tục đầu tư</t>
  </si>
  <si>
    <t>Bổ sung mục tiêu vốn TPCP</t>
  </si>
  <si>
    <t>Chương trình mở rộng quy mô vệ sinh và nước sạch nông thôn dựa trên kết quả</t>
  </si>
  <si>
    <t>Ghi thu ghi chi vốn ODA</t>
  </si>
  <si>
    <t>Vốn TPCP từ năm 2016 trở về trước chuyển nguồn sang 2017</t>
  </si>
  <si>
    <t>Bổ sung mục tiêu vốn TPCP_KH vốn 2016</t>
  </si>
  <si>
    <t>Trung ương bổ sung mục tiêu vốn SN (I+II)</t>
  </si>
  <si>
    <t>C.1</t>
  </si>
  <si>
    <t xml:space="preserve"> Theo dự toán đầu năm </t>
  </si>
  <si>
    <t xml:space="preserve">Vốn nước ngoài </t>
  </si>
  <si>
    <t xml:space="preserve"> -</t>
  </si>
  <si>
    <t>Chương trình đảm bảo chất lượng trường học SEQAP</t>
  </si>
  <si>
    <t>Sở Giáo dục và đào tạo</t>
  </si>
  <si>
    <t>Sở Y tế</t>
  </si>
  <si>
    <t>Chính sách trợ giúp pháp lý theo QĐ 32/2016/QĐ-TTg</t>
  </si>
  <si>
    <t>Sở Tư pháp</t>
  </si>
  <si>
    <t>Rút Sở Tư pháp về tập trung NST</t>
  </si>
  <si>
    <t>C.2</t>
  </si>
  <si>
    <t>Bổ sung kinh phí khắc phục thiệt hại do mưa lũ</t>
  </si>
  <si>
    <t>BQL khai thác các công trình thủy lợi</t>
  </si>
  <si>
    <t>Kinh phí tinh giãn biên chế</t>
  </si>
  <si>
    <t>Sở Nội vụ</t>
  </si>
  <si>
    <t>Văn phòng Tỉnh ủy</t>
  </si>
  <si>
    <t>Sở Văn hóa, thể thao và du lịch</t>
  </si>
  <si>
    <t>Thanh tra tỉnh</t>
  </si>
  <si>
    <t>Ban quản lý khu kinh tế tỉnh</t>
  </si>
  <si>
    <t>Nguồn còn lại chưa phân bổ</t>
  </si>
  <si>
    <t>Trợ cấp một lần đối với người có thành tích tham gia kháng chiến theo Quyết định 24/QĐ-TTg</t>
  </si>
  <si>
    <t xml:space="preserve">Kinh phí hỗ trợ tiền điện hộ nghèo </t>
  </si>
  <si>
    <t>Kinh phí mua thẻ BHYT cho đối tượng</t>
  </si>
  <si>
    <t xml:space="preserve">BHXH tỉnh </t>
  </si>
  <si>
    <t xml:space="preserve">Chính sách trợ giá cho người DTTS theo Quyết định 102/TTg </t>
  </si>
  <si>
    <t>Kinh phí chưa phân bổ</t>
  </si>
  <si>
    <t xml:space="preserve">Kinh phí mua Vắc xin LMLM </t>
  </si>
  <si>
    <t>Hội Nhà báo</t>
  </si>
  <si>
    <t xml:space="preserve">CTMT phát triển lâm nghiệp bền vững </t>
  </si>
  <si>
    <t>BQL Rừng phòng hộ Đăk Blô</t>
  </si>
  <si>
    <t>BQL Rừng phòng hộ Đăk Nhoong</t>
  </si>
  <si>
    <t>BQL Rừng phòng hộ Thạch Nham</t>
  </si>
  <si>
    <t>BQL Rừng phòng hộ Chư Mom Ray</t>
  </si>
  <si>
    <t>BQL Khu bảo tồn thiên nhiên Ngọc Linh</t>
  </si>
  <si>
    <t>BQL Rừng đặc dụng Đăk Uy</t>
  </si>
  <si>
    <t>BQL Rừng phòng hộ Đăk Long</t>
  </si>
  <si>
    <t>BQL Rừng phòng hộ  Đăk Ang</t>
  </si>
  <si>
    <t>BQL Rừng phòng hộ  Đăk Hà</t>
  </si>
  <si>
    <t>BQL Rừng phòng hộ  Tu Mơ Rông</t>
  </si>
  <si>
    <t>BQL Rừng phòng hộ Kon Rẫy</t>
  </si>
  <si>
    <t>Hạt Kiểm lâm Sa Thầy</t>
  </si>
  <si>
    <t>Hạt kiểm lâm Kon Plong</t>
  </si>
  <si>
    <t>Công ty TNHH Lâm nghiệp Đăk Glei</t>
  </si>
  <si>
    <t>Sở Giao thông vận tải (Quỹ bão trì đường bộ tỉnh)</t>
  </si>
  <si>
    <t>CTMT hỗ trợ phát triển hệ thống trợ giúp xã hội</t>
  </si>
  <si>
    <t>KP thực hiện chính sách đối với người uy tín</t>
  </si>
  <si>
    <t>Giảm trừ về nguồn tập trung NST</t>
  </si>
  <si>
    <t>KP bảo trợ xã hội theo theo Nghị định 136</t>
  </si>
  <si>
    <t xml:space="preserve">Kinh phí thực hiện CS hỗ trợ tổ chức, đơn vị sử dụng lao động là người dân tộc thiểu số theo QĐ 42 TTg năm 2016, 2017 </t>
  </si>
  <si>
    <t>Bổ sung kinh phí mua thiết bị chiếu phim và ô tô chuyên dùng chiếu phim lưu động</t>
  </si>
  <si>
    <t>CTMT Y tế và dân số</t>
  </si>
  <si>
    <t>Hỗ trợ kinh phí khắc phục thiệt hại do bão số 12 và mưa lũ</t>
  </si>
  <si>
    <t>Sở Giao thông vận tải (Chuyển 2018)</t>
  </si>
  <si>
    <t>CTMT giáo dục nghề nghiệp - việc làm và an toàn lao động</t>
  </si>
  <si>
    <t xml:space="preserve">Sở Văn hóa Thể thao và Du lịch </t>
  </si>
  <si>
    <t>Công an tỉnh</t>
  </si>
  <si>
    <t>KP thực hiện QĐ 799/QĐ-TTg_Kinh phí đào tạo cán bộ quân sự xã, phường</t>
  </si>
  <si>
    <t>Bộ Chỉ huy Quân sự tỉnh</t>
  </si>
  <si>
    <t>Kinh phí cấm mốc ranh giới sử dụng đất</t>
  </si>
  <si>
    <t>Sở Tài nguyên - Môi trường (Chuyển 2018)</t>
  </si>
  <si>
    <t>Kinh phí thực hiện các chính sách giáo dục</t>
  </si>
  <si>
    <t>Kinh phí thực hiện Nghị định 116/2016/NĐ-CP</t>
  </si>
  <si>
    <t xml:space="preserve">Hỗ trợ học sinh DT bán trú và Trường PTDT bán trú: </t>
  </si>
  <si>
    <t>Sở Giáo dục - Đào tạo</t>
  </si>
  <si>
    <t xml:space="preserve">Hỗ trợ học sinh phố thông vùng khó khăn  </t>
  </si>
  <si>
    <t>Chính sách đối với học sinh khuyết tật 42</t>
  </si>
  <si>
    <t>Học bổng học sinh dân tộc nội trú theo TT 109/TTLT-BTC-BGD</t>
  </si>
  <si>
    <t>Kinh phí hỗ trợ tiền ăn trưa trẻ em mẫu giáo 3-5 tuổi</t>
  </si>
  <si>
    <t xml:space="preserve">Hỗ trợ chi phí học tập và miễn giảm học phí theo NĐ 49/2010/NĐ-CP và NĐ 86/2015/NĐ-CP </t>
  </si>
  <si>
    <t>Sở giáo dục</t>
  </si>
  <si>
    <t>Trường Trung cấp nghề</t>
  </si>
  <si>
    <t>Kinh phí thực hiện chính sách theo QĐ 53/TTg về chính sách nội trú cho học sinh, sinh viên cao đẳng trung cấp</t>
  </si>
  <si>
    <t>Ngọc Hồi</t>
  </si>
  <si>
    <t xml:space="preserve">Các nhiệm vụ mục tiêu khác </t>
  </si>
  <si>
    <t>Hỗ trợ chia tách huyện, xã</t>
  </si>
  <si>
    <t>Kinh phí hỗ trợ bảo vệ phát triển đất trồng lúa</t>
  </si>
  <si>
    <t>Sa Thầy</t>
  </si>
  <si>
    <t>Hỗ trợ miễn thu thủy lợi phí</t>
  </si>
  <si>
    <t>Ban quản lý khai thác các công trình thủy lợi</t>
  </si>
  <si>
    <t>Kinh phí khắc phục hậu quả hạn hán và xâm nhập mặn vụ đông xuân năm 2014-2015</t>
  </si>
  <si>
    <t>Kinh phí thực hiện chính sách bảo vệ và phát triển đất trồng lúa năm 2012, 2013, 2014</t>
  </si>
  <si>
    <t>CTMT tái cơ cấu KT nông nghiệp và phòng chống giảm nhẹ thiên tai, ổn định dân cư</t>
  </si>
  <si>
    <t xml:space="preserve">Nguồn chưa phân bổ </t>
  </si>
  <si>
    <t>CTMT giáo dục vùng núi, vùng dân tộc thiểu số, vùng khó khăn</t>
  </si>
  <si>
    <t>Sở Tài nguyên và Môi trường</t>
  </si>
  <si>
    <t>Kinh phí sự nghiệp môi trường đợt 2</t>
  </si>
  <si>
    <t xml:space="preserve">Hỗ trợ đề án phát triển công tác xã hội </t>
  </si>
  <si>
    <t>KP  bảo vệ rừng và khoanh nuôi tái sinh rừng</t>
  </si>
  <si>
    <t>Hỗ trợ dự án nhiệm vụ khoa học công nghệ</t>
  </si>
  <si>
    <t>Kinh phí ổn định, định canh định cư</t>
  </si>
  <si>
    <t>Kinh phí phân giới cắm mốc</t>
  </si>
  <si>
    <t>Ban chỉ đạo Việt Nam - Lào</t>
  </si>
  <si>
    <t>KP TƯ hỗ trợ người có công với CM về nhà ở</t>
  </si>
  <si>
    <t>Hỗ trợ kinh phí thường xuyên huyện Ia H'Drai</t>
  </si>
  <si>
    <t xml:space="preserve"> Ia H'Drai</t>
  </si>
  <si>
    <t xml:space="preserve">Sở Y tế </t>
  </si>
  <si>
    <t>Đại hội thanh niên XP, thi đua yêu nước, Hội nghị biểu dương người tốt việc tốt</t>
  </si>
  <si>
    <t xml:space="preserve"> Chi nộp ngân sách cấp trên</t>
  </si>
  <si>
    <t xml:space="preserve">Huyện Sa Thầy </t>
  </si>
  <si>
    <t>Huyện Đăk Glei</t>
  </si>
  <si>
    <t>Huyện Tu Mơ Rông</t>
  </si>
  <si>
    <t>Đak hà</t>
  </si>
  <si>
    <t>Kon Ray</t>
  </si>
  <si>
    <t>Kon Plong</t>
  </si>
  <si>
    <t xml:space="preserve">Ngoc Hoi </t>
  </si>
  <si>
    <t>Tu Mo Rong</t>
  </si>
  <si>
    <t>Ia HDrai</t>
  </si>
  <si>
    <t>Dak To</t>
  </si>
  <si>
    <t>Kon Tum</t>
  </si>
  <si>
    <t>Sa Thay</t>
  </si>
  <si>
    <t>Bộ chỉ huy quân sự tỉnh</t>
  </si>
  <si>
    <t>Bộ chỉ huy biên phòng tỉnh</t>
  </si>
  <si>
    <t>Chi cục Kiểm lâm</t>
  </si>
  <si>
    <t>Chi cục Phát triển nông thôn tỉnh</t>
  </si>
  <si>
    <t>Chi cục Thú y</t>
  </si>
  <si>
    <t>Đài phát thanh truyền hình tỉnh</t>
  </si>
  <si>
    <t>Liên minh hợp tác xã</t>
  </si>
  <si>
    <t>Ban Tổ chức Tỉnh ủy</t>
  </si>
  <si>
    <t>Văn phòng HĐND tỉnh Kon Tum</t>
  </si>
  <si>
    <t>Bệnh viện đa khoa tỉnh</t>
  </si>
  <si>
    <t>Bệnh viện y học cổ truyền</t>
  </si>
  <si>
    <t>Bệnh viện Đa khoa khu vực Ngọc Hồi</t>
  </si>
  <si>
    <t>Ban quản lý các dự án 98</t>
  </si>
  <si>
    <t>Ban quản lý dự án Nông nghiệp &amp; Phát triển nông thôn</t>
  </si>
  <si>
    <t>Ban quản lý dự án chuyển đổi nông nghiệp bền vững tỉnh Kon Tum</t>
  </si>
  <si>
    <t>Ban quản lý rừng phòng hộ Đăk Blô</t>
  </si>
  <si>
    <t>Ban quản lý rừng phòng hộ Đắk Long</t>
  </si>
  <si>
    <t>Ban quản lý rừng phòng hộ Kon Rẫy</t>
  </si>
  <si>
    <t>Ban quản lý Vườn quốc gia Chư Mom Ray</t>
  </si>
  <si>
    <t xml:space="preserve">Ban quản lý rừng phòng hộ Đăk Ang </t>
  </si>
  <si>
    <t>Ban quản lý DA 5 triệu ha rừng C.ty ĐTPT LNCN &amp;DV Kon Rẫy</t>
  </si>
  <si>
    <t>Ban quản lý dự án 5 triệu ha rừng Công ty ĐTPT LNCN và dịch vụ Kon Plông</t>
  </si>
  <si>
    <t>Ban quản lý Khu bảo tồn thiên nhiên Ngọc Linh</t>
  </si>
  <si>
    <t xml:space="preserve">Công ty TNHH 1TV Lâm nghiệp Ia H Drai </t>
  </si>
  <si>
    <t>Ban quản lý Khu nông nghiệp ứng dụng công nghệ cao</t>
  </si>
  <si>
    <t>Liên hiệp các Hội KHKT</t>
  </si>
  <si>
    <t>Ban quản lý rừng phòng hộ Tu Mơ Rông</t>
  </si>
  <si>
    <t>Ban quản lý dự án 5 triệu ha rừng Công ty ĐTPT LNCN &amp; DV Đăk Glei</t>
  </si>
  <si>
    <t>Trung tâm Nước sinh hoạt và vệ sinh môi trường nông thôn</t>
  </si>
  <si>
    <t>Ban quản lý Dự án giảm nghèo khu vực Tây Nguyên tỉnh Kon Tum</t>
  </si>
  <si>
    <t>Ban quản lý Dự án Giảm nghèo khu vực Tây nguyên huyện Kon Rẫy</t>
  </si>
  <si>
    <t>Ban quản lý Dự án Giảm nghèo khu vực Tây nguyên huyện Kon Plông</t>
  </si>
  <si>
    <t>Ban quản lý Dự án Giảm nghèo khu vực Tây nguyên huyện Đăk Glei</t>
  </si>
  <si>
    <t>Ban quản lý Dự án Giảm nghèo khu vực Tây nguyên huyện Tu Mơ Rông</t>
  </si>
  <si>
    <t>Ban quản lý Dự án giảm nghèo khu vực Tây nguyên huyện Sa Thầy</t>
  </si>
  <si>
    <t>Ban quản lý Dự án giảm nghèo khu vực Tây Nguyên xã Đăk Ang huyện Ngọc Hồi</t>
  </si>
  <si>
    <t>Ban quản lý Dự án lâm nghiệp để cải thiện đời sống vùng Tây Nguyên tỉnh Kon Tum</t>
  </si>
  <si>
    <t>Ban quản lý dự án bảo vệ và Quản lý tổng hợp các hệ sinh thái rừng</t>
  </si>
  <si>
    <t>Đoàn nghệ thuật  tỉnh</t>
  </si>
  <si>
    <t>Trung tâm Phát triển Quỹ đất tỉnh</t>
  </si>
  <si>
    <t>UBND huyện Đăk Hà</t>
  </si>
  <si>
    <t>UBND huyện Đăk Tô</t>
  </si>
  <si>
    <t>UBND huyện Tu Mơ Rông</t>
  </si>
  <si>
    <t>UBND huyện Sa Thầy</t>
  </si>
  <si>
    <t xml:space="preserve">UBND huyện Ngọc Hồi </t>
  </si>
  <si>
    <t>UBND huyện Đăk Glei</t>
  </si>
  <si>
    <t>UBND huyện Ia H'Drai</t>
  </si>
  <si>
    <t>UBND huyện Kon Rẫy</t>
  </si>
  <si>
    <t xml:space="preserve">UBND huyện Kon PLông </t>
  </si>
  <si>
    <t>UBND TP Kon Tum</t>
  </si>
  <si>
    <t>QUYẾT TOÁN CHI NGÂN SÁCH CẤP TỈNH THEO CHO TỪNG CƠ QUAN, TỔ CHỨC NĂM 2017</t>
  </si>
  <si>
    <t>CHI TRẢ NỢ VAY KCH KÊNH MƯƠNG</t>
  </si>
  <si>
    <t>Nguồn DTPT</t>
  </si>
  <si>
    <t>Nguồn thường xuyên</t>
  </si>
  <si>
    <t>CÁC CƠ QUAN, TỔ CHỨC KHỐI TỈNH</t>
  </si>
  <si>
    <t>CHI BỔ SUNG QUỸ DỰ TRỮ TÀI CHÍNH, CHI DỰ PHÒNG…</t>
  </si>
  <si>
    <t>Sở Nông nghiệp &amp; Phát triển nông thôn và các đơn vị trực thuộc</t>
  </si>
  <si>
    <t>Sở Giáo dục và Đào tạo và các đơn vị trực thuộc</t>
  </si>
  <si>
    <t>Sở Thông tin và Truyền Thông và các đơn vị trực thuộc</t>
  </si>
  <si>
    <t>Sở Khoa học và Công nghệ và các đơn vị trực thuộc</t>
  </si>
  <si>
    <t>Sở Lao động, Thương binh và Xã hội và các đơn vị trực thuộc</t>
  </si>
  <si>
    <t>Sở Tư pháp và các đơn vị trực thuộc</t>
  </si>
  <si>
    <t>Sở Y tế và các đơn vị trực thuộc</t>
  </si>
  <si>
    <t>Sở Nội vụ và các đơn vị trực thuộc</t>
  </si>
  <si>
    <t>Văn phòng Tỉnh ủy và các đơn vị trực thuộc</t>
  </si>
  <si>
    <t>Tỉnh đoàn Kon Tum và các đơn vị trực thuộc</t>
  </si>
  <si>
    <r>
      <rPr>
        <b/>
        <sz val="10"/>
        <rFont val="Arial Unicode MS"/>
        <family val="2"/>
      </rPr>
      <t>ĐƠN VỊ CHỦ QUẰN: Kho bạc Nhà nước</t>
    </r>
  </si>
  <si>
    <r>
      <rPr>
        <b/>
        <sz val="10"/>
        <rFont val="Arial Unicode MS"/>
        <family val="2"/>
      </rPr>
      <t>ĐƠN VỊ LẬP: KBNN Kon Tum</t>
    </r>
  </si>
  <si>
    <r>
      <rPr>
        <b/>
        <sz val="10"/>
        <rFont val="Arial Unicode MS"/>
        <family val="2"/>
      </rPr>
      <t>CHI THƯỜNG XUYÊN NGÂN SÁCH CẤP TỈNH</t>
    </r>
  </si>
  <si>
    <r>
      <rPr>
        <b/>
        <sz val="10"/>
        <rFont val="Arial Unicode MS"/>
        <family val="2"/>
      </rPr>
      <t>THEO HÌNH THỨC RÚT Dự TOÁN, NIÊN ĐỘ: 2017</t>
    </r>
  </si>
  <si>
    <r>
      <rPr>
        <b/>
        <sz val="10"/>
        <rFont val="Arial Unicode MS"/>
        <family val="2"/>
      </rPr>
      <t>Từ ngày hiệu lực 01/01/2017 đến ngày 31/12/2017</t>
    </r>
  </si>
  <si>
    <r>
      <rPr>
        <b/>
        <sz val="10"/>
        <rFont val="Arial Unicode MS"/>
        <family val="2"/>
      </rPr>
      <t>Đến ngày kết sổ 20/08/2018</t>
    </r>
  </si>
  <si>
    <r>
      <rPr>
        <b/>
        <sz val="10"/>
        <rFont val="Arial Unicode MS"/>
        <family val="2"/>
      </rPr>
      <t>_________Mẩu số B5 - 03/BC-NS/Tabmis</t>
    </r>
  </si>
  <si>
    <r>
      <rPr>
        <b/>
        <sz val="10"/>
        <rFont val="Arial Unicode MS"/>
        <family val="2"/>
      </rPr>
      <t>(TT 08/2013/TT-BTC ngày 10/01/2013 của Bọ Tai Chính)</t>
    </r>
  </si>
  <si>
    <r>
      <rPr>
        <b/>
        <sz val="10"/>
        <rFont val="Arial Unicode MS"/>
        <family val="2"/>
      </rPr>
      <t>Đơn vị: Đồng</t>
    </r>
  </si>
  <si>
    <r>
      <rPr>
        <b/>
        <sz val="10"/>
        <rFont val="Arial Unicode MS"/>
        <family val="2"/>
      </rPr>
      <t>STT</t>
    </r>
  </si>
  <si>
    <r>
      <rPr>
        <b/>
        <sz val="10"/>
        <rFont val="Arial Unicode MS"/>
        <family val="2"/>
      </rPr>
      <t>Đơn vị</t>
    </r>
  </si>
  <si>
    <r>
      <rPr>
        <b/>
        <sz val="10"/>
        <rFont val="Arial Unicode MS"/>
        <family val="2"/>
      </rPr>
      <t>Tính chất nguồn kinh phí</t>
    </r>
  </si>
  <si>
    <r>
      <rPr>
        <b/>
        <sz val="10"/>
        <rFont val="Arial Unicode MS"/>
        <family val="2"/>
      </rPr>
      <t>Chương</t>
    </r>
  </si>
  <si>
    <r>
      <rPr>
        <b/>
        <sz val="10"/>
        <rFont val="Arial Unicode MS"/>
        <family val="2"/>
      </rPr>
      <t>Loại khoản</t>
    </r>
  </si>
  <si>
    <r>
      <rPr>
        <b/>
        <sz val="10"/>
        <rFont val="Arial Unicode MS"/>
        <family val="2"/>
      </rPr>
      <t>Mã chương trình mục tiêu</t>
    </r>
  </si>
  <si>
    <r>
      <rPr>
        <b/>
        <sz val="10"/>
        <rFont val="Arial Unicode MS"/>
        <family val="2"/>
      </rPr>
      <t>Tổng số</t>
    </r>
  </si>
  <si>
    <r>
      <rPr>
        <b/>
        <sz val="10"/>
        <rFont val="Arial Unicode MS"/>
        <family val="2"/>
      </rPr>
      <t>Chia ra</t>
    </r>
  </si>
  <si>
    <r>
      <rPr>
        <b/>
        <sz val="10"/>
        <rFont val="Arial Unicode MS"/>
        <family val="2"/>
      </rPr>
      <t>Dự toán năm trước chuyển sang</t>
    </r>
  </si>
  <si>
    <r>
      <rPr>
        <b/>
        <sz val="10"/>
        <rFont val="Arial Unicode MS"/>
        <family val="2"/>
      </rPr>
      <t>Dự toán giao đầu năm</t>
    </r>
  </si>
  <si>
    <r>
      <rPr>
        <b/>
        <sz val="10"/>
        <color rgb="FFFF0000"/>
        <rFont val="Arial Unicode MS"/>
        <family val="2"/>
      </rPr>
      <t>Dự toán điều chỉnh</t>
    </r>
  </si>
  <si>
    <r>
      <rPr>
        <b/>
        <sz val="10"/>
        <rFont val="Arial Unicode MS"/>
        <family val="2"/>
      </rPr>
      <t>1</t>
    </r>
  </si>
  <si>
    <r>
      <rPr>
        <b/>
        <sz val="10"/>
        <rFont val="Arial Unicode MS"/>
        <family val="2"/>
      </rPr>
      <t>2</t>
    </r>
  </si>
  <si>
    <r>
      <rPr>
        <sz val="10"/>
        <rFont val="Arial Unicode MS"/>
        <family val="2"/>
      </rPr>
      <t>3</t>
    </r>
  </si>
  <si>
    <r>
      <rPr>
        <sz val="10"/>
        <rFont val="Arial Unicode MS"/>
        <family val="2"/>
      </rPr>
      <t>4</t>
    </r>
  </si>
  <si>
    <r>
      <rPr>
        <sz val="10"/>
        <rFont val="Arial Unicode MS"/>
        <family val="2"/>
      </rPr>
      <t>5</t>
    </r>
  </si>
  <si>
    <r>
      <rPr>
        <b/>
        <sz val="10"/>
        <rFont val="Arial Unicode MS"/>
        <family val="2"/>
      </rPr>
      <t>6</t>
    </r>
  </si>
  <si>
    <r>
      <rPr>
        <sz val="10"/>
        <rFont val="Arial Unicode MS"/>
        <family val="2"/>
      </rPr>
      <t>7=8+9+10</t>
    </r>
  </si>
  <si>
    <r>
      <rPr>
        <b/>
        <sz val="10"/>
        <rFont val="Arial Unicode MS"/>
        <family val="2"/>
      </rPr>
      <t>8</t>
    </r>
  </si>
  <si>
    <r>
      <rPr>
        <sz val="10"/>
        <rFont val="Arial Unicode MS"/>
        <family val="2"/>
      </rPr>
      <t>9</t>
    </r>
  </si>
  <si>
    <r>
      <rPr>
        <b/>
        <sz val="10"/>
        <color rgb="FFFF0000"/>
        <rFont val="Arial Unicode MS"/>
        <family val="2"/>
      </rPr>
      <t>10</t>
    </r>
  </si>
  <si>
    <r>
      <rPr>
        <b/>
        <sz val="10"/>
        <rFont val="Arial Unicode MS"/>
        <family val="2"/>
      </rPr>
      <t>12</t>
    </r>
  </si>
  <si>
    <r>
      <rPr>
        <sz val="10"/>
        <rFont val="Arial Unicode MS"/>
        <family val="2"/>
      </rPr>
      <t>13</t>
    </r>
  </si>
  <si>
    <r>
      <rPr>
        <sz val="10"/>
        <rFont val="Arial Unicode MS"/>
        <family val="2"/>
      </rPr>
      <t>15</t>
    </r>
  </si>
  <si>
    <r>
      <rPr>
        <sz val="10"/>
        <rFont val="Arial Unicode MS"/>
        <family val="2"/>
      </rPr>
      <t>16</t>
    </r>
  </si>
  <si>
    <r>
      <rPr>
        <sz val="10"/>
        <rFont val="Arial Unicode MS"/>
        <family val="2"/>
      </rPr>
      <t>17</t>
    </r>
  </si>
  <si>
    <r>
      <rPr>
        <b/>
        <sz val="10"/>
        <rFont val="Arial Unicode MS"/>
        <family val="2"/>
      </rPr>
      <t>- Kinh phí thường xuyên</t>
    </r>
  </si>
  <si>
    <r>
      <rPr>
        <b/>
        <sz val="10"/>
        <rFont val="Arial Unicode MS"/>
        <family val="2"/>
      </rPr>
      <t>- Kinh phí chương trình mục tiêu</t>
    </r>
  </si>
  <si>
    <r>
      <rPr>
        <sz val="10"/>
        <rFont val="Arial Unicode MS"/>
        <family val="2"/>
      </rPr>
      <t>1</t>
    </r>
  </si>
  <si>
    <r>
      <rPr>
        <sz val="10"/>
        <rFont val="Arial Unicode MS"/>
        <family val="2"/>
      </rPr>
      <t>002685-Trường Trung Học PhS thông rrân Quốc Tuẫn</t>
    </r>
  </si>
  <si>
    <r>
      <rPr>
        <sz val="10"/>
        <rFont val="Arial Unicode MS"/>
        <family val="2"/>
      </rPr>
      <t>1.1</t>
    </r>
  </si>
  <si>
    <r>
      <rPr>
        <sz val="10"/>
        <rFont val="Arial Unicode MS"/>
        <family val="2"/>
      </rPr>
      <t>&lt;inh phí thường xuyên</t>
    </r>
  </si>
  <si>
    <r>
      <rPr>
        <sz val="10"/>
        <rFont val="Arial Unicode MS"/>
        <family val="2"/>
      </rPr>
      <t>&lt;inh phí khoán, tự chủ</t>
    </r>
  </si>
  <si>
    <r>
      <rPr>
        <sz val="10"/>
        <rFont val="Arial Unicode MS"/>
        <family val="2"/>
      </rPr>
      <t>422</t>
    </r>
  </si>
  <si>
    <r>
      <rPr>
        <sz val="10"/>
        <rFont val="Arial Unicode MS"/>
        <family val="2"/>
      </rPr>
      <t>494</t>
    </r>
  </si>
  <si>
    <r>
      <rPr>
        <sz val="10"/>
        <rFont val="Arial Unicode MS"/>
        <family val="2"/>
      </rPr>
      <t>14</t>
    </r>
  </si>
  <si>
    <r>
      <rPr>
        <sz val="10"/>
        <rFont val="Arial Unicode MS"/>
        <family val="2"/>
      </rPr>
      <t>&lt;inh phí không tự chủ</t>
    </r>
  </si>
  <si>
    <r>
      <rPr>
        <sz val="10"/>
        <rFont val="Arial Unicode MS"/>
        <family val="2"/>
      </rPr>
      <t>12</t>
    </r>
  </si>
  <si>
    <r>
      <rPr>
        <sz val="10"/>
        <rFont val="Arial Unicode MS"/>
        <family val="2"/>
      </rPr>
      <t>2</t>
    </r>
  </si>
  <si>
    <r>
      <rPr>
        <sz val="10"/>
        <rFont val="Arial Unicode MS"/>
        <family val="2"/>
      </rPr>
      <t>006948-Trường Trung Học Cơ sờ -rhực Hành sư phạm Lý tự Trọng tỉnh &lt;ontum</t>
    </r>
  </si>
  <si>
    <r>
      <rPr>
        <sz val="10"/>
        <rFont val="Arial Unicode MS"/>
        <family val="2"/>
      </rPr>
      <t>2.1</t>
    </r>
  </si>
  <si>
    <r>
      <rPr>
        <sz val="10"/>
        <rFont val="Arial Unicode MS"/>
        <family val="2"/>
      </rPr>
      <t>493</t>
    </r>
  </si>
  <si>
    <r>
      <rPr>
        <sz val="10"/>
        <rFont val="Arial Unicode MS"/>
        <family val="2"/>
      </rPr>
      <t>Kinh phí không tự chủ</t>
    </r>
  </si>
  <si>
    <r>
      <rPr>
        <sz val="10"/>
        <rFont val="Arial Unicode MS"/>
        <family val="2"/>
      </rPr>
      <t>1007205-Trường Măm non Thực hành sư phạm tỉnh Kontum</t>
    </r>
  </si>
  <si>
    <r>
      <rPr>
        <sz val="10"/>
        <rFont val="Arial Unicode MS"/>
        <family val="2"/>
      </rPr>
      <t>3.1</t>
    </r>
  </si>
  <si>
    <r>
      <rPr>
        <sz val="10"/>
        <rFont val="Arial Unicode MS"/>
        <family val="2"/>
      </rPr>
      <t>Kinh phí thường xuyên</t>
    </r>
  </si>
  <si>
    <r>
      <rPr>
        <sz val="10"/>
        <rFont val="Arial Unicode MS"/>
        <family val="2"/>
      </rPr>
      <t>Kinh phí khoán, tự chủ</t>
    </r>
  </si>
  <si>
    <r>
      <rPr>
        <sz val="10"/>
        <rFont val="Arial Unicode MS"/>
        <family val="2"/>
      </rPr>
      <t>491</t>
    </r>
  </si>
  <si>
    <r>
      <rPr>
        <sz val="10"/>
        <rFont val="Arial Unicode MS"/>
        <family val="2"/>
      </rPr>
      <t>1008744-Đoàn Đại biều Quốc hội Tình Kon Tum</t>
    </r>
  </si>
  <si>
    <r>
      <rPr>
        <sz val="10"/>
        <rFont val="Arial Unicode MS"/>
        <family val="2"/>
      </rPr>
      <t>4.1</t>
    </r>
  </si>
  <si>
    <r>
      <rPr>
        <sz val="10"/>
        <rFont val="Arial Unicode MS"/>
        <family val="2"/>
      </rPr>
      <t>402</t>
    </r>
  </si>
  <si>
    <r>
      <rPr>
        <sz val="10"/>
        <rFont val="Arial Unicode MS"/>
        <family val="2"/>
      </rPr>
      <t>463</t>
    </r>
  </si>
  <si>
    <r>
      <rPr>
        <sz val="10"/>
        <rFont val="Arial Unicode MS"/>
        <family val="2"/>
      </rPr>
      <t>1010558-BQL Khu bảo tồn Thiên nhiên Ngọc Linh</t>
    </r>
  </si>
  <si>
    <r>
      <rPr>
        <sz val="10"/>
        <rFont val="Arial Unicode MS"/>
        <family val="2"/>
      </rPr>
      <t>5.1</t>
    </r>
  </si>
  <si>
    <r>
      <rPr>
        <sz val="10"/>
        <rFont val="Arial Unicode MS"/>
        <family val="2"/>
      </rPr>
      <t>412</t>
    </r>
  </si>
  <si>
    <r>
      <rPr>
        <sz val="10"/>
        <rFont val="Arial Unicode MS"/>
        <family val="2"/>
      </rPr>
      <t>017</t>
    </r>
  </si>
  <si>
    <r>
      <rPr>
        <sz val="10"/>
        <rFont val="Arial Unicode MS"/>
        <family val="2"/>
      </rPr>
      <t>5.2</t>
    </r>
  </si>
  <si>
    <r>
      <rPr>
        <sz val="10"/>
        <rFont val="Arial Unicode MS"/>
        <family val="2"/>
      </rPr>
      <t>Kinh phí chương trinh mục tiêu</t>
    </r>
  </si>
  <si>
    <r>
      <rPr>
        <sz val="10"/>
        <rFont val="Arial Unicode MS"/>
        <family val="2"/>
      </rPr>
      <t>6</t>
    </r>
  </si>
  <si>
    <r>
      <rPr>
        <sz val="10"/>
        <rFont val="Arial Unicode MS"/>
        <family val="2"/>
      </rPr>
      <t>1010559-BQL Quỹ khâm chữa bệnh cho người nghèo</t>
    </r>
  </si>
  <si>
    <r>
      <rPr>
        <sz val="10"/>
        <rFont val="Arial Unicode MS"/>
        <family val="2"/>
      </rPr>
      <t>6.1</t>
    </r>
  </si>
  <si>
    <r>
      <rPr>
        <sz val="10"/>
        <rFont val="Arial Unicode MS"/>
        <family val="2"/>
      </rPr>
      <t>423</t>
    </r>
  </si>
  <si>
    <r>
      <rPr>
        <sz val="10"/>
        <rFont val="Arial Unicode MS"/>
        <family val="2"/>
      </rPr>
      <t>526</t>
    </r>
  </si>
  <si>
    <r>
      <rPr>
        <sz val="10"/>
        <rFont val="Arial Unicode MS"/>
        <family val="2"/>
      </rPr>
      <t>7</t>
    </r>
  </si>
  <si>
    <r>
      <rPr>
        <sz val="10"/>
        <rFont val="Arial Unicode MS"/>
        <family val="2"/>
      </rPr>
      <t>1012069-Trường PT Dân tộc Nội trú luyện KonPlong</t>
    </r>
  </si>
  <si>
    <r>
      <rPr>
        <sz val="10"/>
        <rFont val="Arial Unicode MS"/>
        <family val="2"/>
      </rPr>
      <t>7.1</t>
    </r>
  </si>
  <si>
    <r>
      <rPr>
        <sz val="10"/>
        <rFont val="Arial Unicode MS"/>
        <family val="2"/>
      </rPr>
      <t>8</t>
    </r>
  </si>
  <si>
    <r>
      <rPr>
        <sz val="10"/>
        <rFont val="Arial Unicode MS"/>
        <family val="2"/>
      </rPr>
      <t>1012070-Trường PT Dân tộc Nội trú luyện Đak tô</t>
    </r>
  </si>
  <si>
    <r>
      <rPr>
        <sz val="10"/>
        <rFont val="Arial Unicode MS"/>
        <family val="2"/>
      </rPr>
      <t>8.1</t>
    </r>
  </si>
  <si>
    <r>
      <rPr>
        <sz val="10"/>
        <rFont val="Arial Unicode MS"/>
        <family val="2"/>
      </rPr>
      <t>1012071-Trường Trung học phS thông Duy Tân</t>
    </r>
  </si>
  <si>
    <r>
      <rPr>
        <sz val="10"/>
        <rFont val="Arial Unicode MS"/>
        <family val="2"/>
      </rPr>
      <t>9.1</t>
    </r>
  </si>
  <si>
    <r>
      <rPr>
        <sz val="10"/>
        <rFont val="Arial Unicode MS"/>
        <family val="2"/>
      </rPr>
      <t>10</t>
    </r>
  </si>
  <si>
    <r>
      <rPr>
        <sz val="10"/>
        <rFont val="Arial Unicode MS"/>
        <family val="2"/>
      </rPr>
      <t>1012077-Trung tâm Giáo dục Thường xuyên Kontum</t>
    </r>
  </si>
  <si>
    <r>
      <rPr>
        <sz val="10"/>
        <rFont val="Arial Unicode MS"/>
        <family val="2"/>
      </rPr>
      <t>10.1</t>
    </r>
  </si>
  <si>
    <r>
      <rPr>
        <sz val="10"/>
        <rFont val="Arial Unicode MS"/>
        <family val="2"/>
      </rPr>
      <t>495</t>
    </r>
  </si>
  <si>
    <r>
      <rPr>
        <sz val="10"/>
        <rFont val="Arial Unicode MS"/>
        <family val="2"/>
      </rPr>
      <t>11</t>
    </r>
  </si>
  <si>
    <r>
      <rPr>
        <sz val="10"/>
        <rFont val="Arial Unicode MS"/>
        <family val="2"/>
      </rPr>
      <t>1012078-Văn phòng ủy ban Nhân dân tỉnh</t>
    </r>
  </si>
  <si>
    <r>
      <rPr>
        <sz val="10"/>
        <rFont val="Arial Unicode MS"/>
        <family val="2"/>
      </rPr>
      <t>11.1</t>
    </r>
  </si>
  <si>
    <r>
      <rPr>
        <sz val="10"/>
        <rFont val="Arial Unicode MS"/>
        <family val="2"/>
      </rPr>
      <t>405</t>
    </r>
  </si>
  <si>
    <r>
      <rPr>
        <sz val="10"/>
        <rFont val="Arial Unicode MS"/>
        <family val="2"/>
      </rPr>
      <t>1012444-Văn phòng Hội đồng Nhân dân tỉnh Kontum</t>
    </r>
  </si>
  <si>
    <r>
      <rPr>
        <sz val="10"/>
        <rFont val="Arial Unicode MS"/>
        <family val="2"/>
      </rPr>
      <t>12.1</t>
    </r>
  </si>
  <si>
    <r>
      <rPr>
        <sz val="10"/>
        <rFont val="Arial Unicode MS"/>
        <family val="2"/>
      </rPr>
      <t>1014914-Trung tâm Khuyẽn nông tỉnh Kontum</t>
    </r>
  </si>
  <si>
    <r>
      <rPr>
        <sz val="10"/>
        <rFont val="Arial Unicode MS"/>
        <family val="2"/>
      </rPr>
      <t>13.1</t>
    </r>
  </si>
  <si>
    <r>
      <rPr>
        <sz val="10"/>
        <rFont val="Arial Unicode MS"/>
        <family val="2"/>
      </rPr>
      <t>014</t>
    </r>
  </si>
  <si>
    <r>
      <rPr>
        <sz val="10"/>
        <rFont val="Arial Unicode MS"/>
        <family val="2"/>
      </rPr>
      <t xml:space="preserve">1014915-Trung tâm Giống cây trồng, </t>
    </r>
    <r>
      <rPr>
        <sz val="10"/>
        <rFont val="Candara"/>
        <family val="2"/>
      </rPr>
      <t>1</t>
    </r>
    <r>
      <rPr>
        <sz val="10"/>
        <rFont val="Arial Unicode MS"/>
        <family val="2"/>
      </rPr>
      <t>/ật nuôi, thủy sản</t>
    </r>
  </si>
  <si>
    <r>
      <rPr>
        <sz val="10"/>
        <rFont val="Arial Unicode MS"/>
        <family val="2"/>
      </rPr>
      <t>14.1</t>
    </r>
  </si>
  <si>
    <r>
      <rPr>
        <sz val="10"/>
        <rFont val="Arial Unicode MS"/>
        <family val="2"/>
      </rPr>
      <t>14.2</t>
    </r>
  </si>
  <si>
    <r>
      <rPr>
        <sz val="10"/>
        <rFont val="Arial Unicode MS"/>
        <family val="2"/>
      </rPr>
      <t>&lt;inh phí chương trinh mục tiêu</t>
    </r>
  </si>
  <si>
    <r>
      <rPr>
        <sz val="10"/>
        <rFont val="Arial Unicode MS"/>
        <family val="2"/>
      </rPr>
      <t>1015164-Chi cục Trồng trọt và Bảo vệ tiực vật tỉnh Kon Tum</t>
    </r>
  </si>
  <si>
    <r>
      <rPr>
        <sz val="10"/>
        <rFont val="Arial Unicode MS"/>
        <family val="2"/>
      </rPr>
      <t>15.1</t>
    </r>
  </si>
  <si>
    <r>
      <rPr>
        <sz val="10"/>
        <rFont val="Arial Unicode MS"/>
        <family val="2"/>
      </rPr>
      <t>1015165-Trung tâm Nước sinh hoạt và vs MT nông thôn</t>
    </r>
  </si>
  <si>
    <r>
      <rPr>
        <sz val="10"/>
        <rFont val="Arial Unicode MS"/>
        <family val="2"/>
      </rPr>
      <t>16.1</t>
    </r>
  </si>
  <si>
    <r>
      <rPr>
        <sz val="10"/>
        <rFont val="Arial Unicode MS"/>
        <family val="2"/>
      </rPr>
      <t>283</t>
    </r>
  </si>
  <si>
    <r>
      <rPr>
        <sz val="10"/>
        <rFont val="Arial Unicode MS"/>
        <family val="2"/>
      </rPr>
      <t xml:space="preserve">1015168-Văn phòng sờ Nông nghiệp </t>
    </r>
    <r>
      <rPr>
        <sz val="10"/>
        <rFont val="Candara"/>
        <family val="2"/>
      </rPr>
      <t>1</t>
    </r>
    <r>
      <rPr>
        <sz val="10"/>
        <rFont val="Arial Unicode MS"/>
        <family val="2"/>
      </rPr>
      <t>/à Phát triền Nông thôn</t>
    </r>
  </si>
  <si>
    <r>
      <rPr>
        <sz val="10"/>
        <rFont val="Arial Unicode MS"/>
        <family val="2"/>
      </rPr>
      <t>17.1</t>
    </r>
  </si>
  <si>
    <r>
      <rPr>
        <sz val="10"/>
        <rFont val="Arial Unicode MS"/>
        <family val="2"/>
      </rPr>
      <t>011</t>
    </r>
  </si>
  <si>
    <r>
      <rPr>
        <sz val="10"/>
        <rFont val="Arial Unicode MS"/>
        <family val="2"/>
      </rPr>
      <t>023</t>
    </r>
  </si>
  <si>
    <r>
      <rPr>
        <sz val="10"/>
        <rFont val="Arial Unicode MS"/>
        <family val="2"/>
      </rPr>
      <t>17.2</t>
    </r>
  </si>
  <si>
    <r>
      <rPr>
        <sz val="10"/>
        <rFont val="Arial Unicode MS"/>
        <family val="2"/>
      </rPr>
      <t>18</t>
    </r>
  </si>
  <si>
    <r>
      <rPr>
        <sz val="10"/>
        <rFont val="Arial Unicode MS"/>
        <family val="2"/>
      </rPr>
      <t>1015425-Chi cục Thủy lợi tỉnh Kon rum</t>
    </r>
  </si>
  <si>
    <r>
      <rPr>
        <sz val="10"/>
        <rFont val="Arial Unicode MS"/>
        <family val="2"/>
      </rPr>
      <t>18.1</t>
    </r>
  </si>
  <si>
    <r>
      <rPr>
        <sz val="10"/>
        <rFont val="Arial Unicode MS"/>
        <family val="2"/>
      </rPr>
      <t>016</t>
    </r>
  </si>
  <si>
    <r>
      <rPr>
        <sz val="10"/>
        <rFont val="Arial Unicode MS"/>
        <family val="2"/>
      </rPr>
      <t>19</t>
    </r>
  </si>
  <si>
    <r>
      <rPr>
        <sz val="10"/>
        <rFont val="Arial Unicode MS"/>
        <family val="2"/>
      </rPr>
      <t>1015428-Chi cục Chăn nuôi và Thú y :ỉnh Kon Tum</t>
    </r>
  </si>
  <si>
    <r>
      <rPr>
        <sz val="10"/>
        <rFont val="Arial Unicode MS"/>
        <family val="2"/>
      </rPr>
      <t>19.1</t>
    </r>
  </si>
  <si>
    <r>
      <rPr>
        <sz val="10"/>
        <rFont val="Arial Unicode MS"/>
        <family val="2"/>
      </rPr>
      <t>015</t>
    </r>
  </si>
  <si>
    <r>
      <rPr>
        <sz val="10"/>
        <rFont val="Arial Unicode MS"/>
        <family val="2"/>
      </rPr>
      <t>19.2</t>
    </r>
  </si>
  <si>
    <r>
      <rPr>
        <sz val="10"/>
        <rFont val="Arial Unicode MS"/>
        <family val="2"/>
      </rPr>
      <t>20</t>
    </r>
  </si>
  <si>
    <r>
      <rPr>
        <sz val="10"/>
        <rFont val="Arial Unicode MS"/>
        <family val="2"/>
      </rPr>
      <t>1016743-Trường Trung học PhS thông Mguyên Văn Cừ</t>
    </r>
  </si>
  <si>
    <r>
      <rPr>
        <sz val="10"/>
        <rFont val="Arial Unicode MS"/>
        <family val="2"/>
      </rPr>
      <t>20.1</t>
    </r>
  </si>
  <si>
    <r>
      <rPr>
        <sz val="10"/>
        <rFont val="Arial Unicode MS"/>
        <family val="2"/>
      </rPr>
      <t>21</t>
    </r>
  </si>
  <si>
    <r>
      <rPr>
        <sz val="10"/>
        <rFont val="Arial Unicode MS"/>
        <family val="2"/>
      </rPr>
      <t>1026899-Ban chỉ huy phòng chổng thiên tai và tim kiẽm cứu nạn tỉnh Kon Tum</t>
    </r>
  </si>
  <si>
    <r>
      <rPr>
        <sz val="10"/>
        <rFont val="Arial Unicode MS"/>
        <family val="2"/>
      </rPr>
      <t>21.1</t>
    </r>
  </si>
  <si>
    <r>
      <rPr>
        <sz val="10"/>
        <rFont val="Arial Unicode MS"/>
        <family val="2"/>
      </rPr>
      <t>22</t>
    </r>
  </si>
  <si>
    <r>
      <rPr>
        <sz val="10"/>
        <rFont val="Arial Unicode MS"/>
        <family val="2"/>
      </rPr>
      <t>1027233-Trung tâm giáo dục nghễ nghiệp nông nghiệp công nghệ cao</t>
    </r>
  </si>
  <si>
    <r>
      <rPr>
        <sz val="10"/>
        <rFont val="Arial Unicode MS"/>
        <family val="2"/>
      </rPr>
      <t>22.1</t>
    </r>
  </si>
  <si>
    <r>
      <rPr>
        <sz val="10"/>
        <rFont val="Arial Unicode MS"/>
        <family val="2"/>
      </rPr>
      <t>599</t>
    </r>
  </si>
  <si>
    <r>
      <rPr>
        <sz val="10"/>
        <rFont val="Arial Unicode MS"/>
        <family val="2"/>
      </rPr>
      <t>498</t>
    </r>
  </si>
  <si>
    <r>
      <rPr>
        <sz val="10"/>
        <rFont val="Arial Unicode MS"/>
        <family val="2"/>
      </rPr>
      <t>23</t>
    </r>
  </si>
  <si>
    <r>
      <rPr>
        <sz val="10"/>
        <rFont val="Arial Unicode MS"/>
        <family val="2"/>
      </rPr>
      <t>1028496-Trung tâm dịch vụ việc làm tỉnh Kon Tum</t>
    </r>
  </si>
  <si>
    <r>
      <rPr>
        <sz val="10"/>
        <rFont val="Arial Unicode MS"/>
        <family val="2"/>
      </rPr>
      <t>23.1</t>
    </r>
  </si>
  <si>
    <r>
      <rPr>
        <sz val="10"/>
        <rFont val="Arial Unicode MS"/>
        <family val="2"/>
      </rPr>
      <t>424</t>
    </r>
  </si>
  <si>
    <r>
      <rPr>
        <sz val="10"/>
        <rFont val="Arial Unicode MS"/>
        <family val="2"/>
      </rPr>
      <t>464</t>
    </r>
  </si>
  <si>
    <r>
      <rPr>
        <sz val="10"/>
        <rFont val="Arial Unicode MS"/>
        <family val="2"/>
      </rPr>
      <t>528</t>
    </r>
  </si>
  <si>
    <r>
      <rPr>
        <sz val="10"/>
        <rFont val="Arial Unicode MS"/>
        <family val="2"/>
      </rPr>
      <t>23.2</t>
    </r>
  </si>
  <si>
    <r>
      <rPr>
        <sz val="10"/>
        <rFont val="Arial Unicode MS"/>
        <family val="2"/>
      </rPr>
      <t>24</t>
    </r>
  </si>
  <si>
    <r>
      <rPr>
        <sz val="10"/>
        <rFont val="Arial Unicode MS"/>
        <family val="2"/>
      </rPr>
      <t>1029870-Trường PhS thông dân tộc Nội trú huyện Tu Mơ Rông</t>
    </r>
  </si>
  <si>
    <r>
      <rPr>
        <sz val="10"/>
        <rFont val="Arial Unicode MS"/>
        <family val="2"/>
      </rPr>
      <t>24.1</t>
    </r>
  </si>
  <si>
    <r>
      <rPr>
        <sz val="10"/>
        <rFont val="Arial Unicode MS"/>
        <family val="2"/>
      </rPr>
      <t>25</t>
    </r>
  </si>
  <si>
    <r>
      <rPr>
        <sz val="10"/>
        <rFont val="Arial Unicode MS"/>
        <family val="2"/>
      </rPr>
      <t>1029922-Trung tâm Kiểm dịch Y tẽ Quốc tẽ</t>
    </r>
  </si>
  <si>
    <r>
      <rPr>
        <sz val="10"/>
        <rFont val="Arial Unicode MS"/>
        <family val="2"/>
      </rPr>
      <t>25.1</t>
    </r>
  </si>
  <si>
    <r>
      <rPr>
        <sz val="10"/>
        <rFont val="Arial Unicode MS"/>
        <family val="2"/>
      </rPr>
      <t>523</t>
    </r>
  </si>
  <si>
    <r>
      <rPr>
        <sz val="10"/>
        <rFont val="Arial Unicode MS"/>
        <family val="2"/>
      </rPr>
      <t>26</t>
    </r>
  </si>
  <si>
    <r>
      <rPr>
        <sz val="10"/>
        <rFont val="Arial Unicode MS"/>
        <family val="2"/>
      </rPr>
      <t>1030058-Ban Chỉ đạo phân giới, cắm mổc tỉnh Kontum (Việt nam - Lào)</t>
    </r>
  </si>
  <si>
    <r>
      <rPr>
        <sz val="10"/>
        <rFont val="Arial Unicode MS"/>
        <family val="2"/>
      </rPr>
      <t>26.1</t>
    </r>
  </si>
  <si>
    <r>
      <rPr>
        <sz val="10"/>
        <rFont val="Arial Unicode MS"/>
        <family val="2"/>
      </rPr>
      <t>411</t>
    </r>
  </si>
  <si>
    <r>
      <rPr>
        <sz val="10"/>
        <rFont val="Arial Unicode MS"/>
        <family val="2"/>
      </rPr>
      <t>432</t>
    </r>
  </si>
  <si>
    <r>
      <rPr>
        <sz val="10"/>
        <rFont val="Arial Unicode MS"/>
        <family val="2"/>
      </rPr>
      <t>27</t>
    </r>
  </si>
  <si>
    <r>
      <rPr>
        <sz val="10"/>
        <rFont val="Arial Unicode MS"/>
        <family val="2"/>
      </rPr>
      <t>1030064-Liên hiệp các Hội KH&amp;KT tỉnh Kontum</t>
    </r>
  </si>
  <si>
    <r>
      <rPr>
        <sz val="10"/>
        <rFont val="Arial Unicode MS"/>
        <family val="2"/>
      </rPr>
      <t>27.1</t>
    </r>
  </si>
  <si>
    <r>
      <rPr>
        <sz val="10"/>
        <rFont val="Arial Unicode MS"/>
        <family val="2"/>
      </rPr>
      <t>516</t>
    </r>
  </si>
  <si>
    <r>
      <rPr>
        <sz val="10"/>
        <rFont val="Arial Unicode MS"/>
        <family val="2"/>
      </rPr>
      <t>371</t>
    </r>
  </si>
  <si>
    <r>
      <rPr>
        <sz val="10"/>
        <rFont val="Arial Unicode MS"/>
        <family val="2"/>
      </rPr>
      <t>462</t>
    </r>
  </si>
  <si>
    <r>
      <rPr>
        <sz val="10"/>
        <rFont val="Arial Unicode MS"/>
        <family val="2"/>
      </rPr>
      <t>28</t>
    </r>
  </si>
  <si>
    <r>
      <rPr>
        <sz val="10"/>
        <rFont val="Arial Unicode MS"/>
        <family val="2"/>
      </rPr>
      <t>1030065-SỜ Ngoại vụ</t>
    </r>
  </si>
  <si>
    <r>
      <rPr>
        <sz val="10"/>
        <rFont val="Arial Unicode MS"/>
        <family val="2"/>
      </rPr>
      <t>28.1</t>
    </r>
  </si>
  <si>
    <r>
      <rPr>
        <sz val="10"/>
        <rFont val="Arial Unicode MS"/>
        <family val="2"/>
      </rPr>
      <t>369</t>
    </r>
  </si>
  <si>
    <r>
      <rPr>
        <sz val="10"/>
        <rFont val="Arial Unicode MS"/>
        <family val="2"/>
      </rPr>
      <t>466</t>
    </r>
  </si>
  <si>
    <r>
      <rPr>
        <sz val="10"/>
        <rFont val="Arial Unicode MS"/>
        <family val="2"/>
      </rPr>
      <t>29</t>
    </r>
  </si>
  <si>
    <r>
      <rPr>
        <sz val="10"/>
        <rFont val="Arial Unicode MS"/>
        <family val="2"/>
      </rPr>
      <t>1030470-Trung tâm Phát hành Phim &amp; Chiẽu bống tỉnh Kontum</t>
    </r>
  </si>
  <si>
    <r>
      <rPr>
        <sz val="10"/>
        <rFont val="Arial Unicode MS"/>
        <family val="2"/>
      </rPr>
      <t>29.1</t>
    </r>
  </si>
  <si>
    <r>
      <rPr>
        <sz val="10"/>
        <rFont val="Arial Unicode MS"/>
        <family val="2"/>
      </rPr>
      <t>425</t>
    </r>
  </si>
  <si>
    <r>
      <rPr>
        <sz val="10"/>
        <rFont val="Arial Unicode MS"/>
        <family val="2"/>
      </rPr>
      <t>551</t>
    </r>
  </si>
  <si>
    <r>
      <rPr>
        <sz val="10"/>
        <rFont val="Arial Unicode MS"/>
        <family val="2"/>
      </rPr>
      <t>30</t>
    </r>
  </si>
  <si>
    <r>
      <rPr>
        <sz val="10"/>
        <rFont val="Arial Unicode MS"/>
        <family val="2"/>
      </rPr>
      <t>1035637-Trường Trung học PhS thông Nguyễn Du</t>
    </r>
  </si>
  <si>
    <r>
      <rPr>
        <sz val="10"/>
        <rFont val="Arial Unicode MS"/>
        <family val="2"/>
      </rPr>
      <t>30.1</t>
    </r>
  </si>
  <si>
    <r>
      <rPr>
        <sz val="10"/>
        <rFont val="Arial Unicode MS"/>
        <family val="2"/>
      </rPr>
      <t>31</t>
    </r>
  </si>
  <si>
    <r>
      <rPr>
        <sz val="10"/>
        <rFont val="Arial Unicode MS"/>
        <family val="2"/>
      </rPr>
      <t>1035734-BQL Rừng Phòng hộ Đăk Nhoong</t>
    </r>
  </si>
  <si>
    <r>
      <rPr>
        <sz val="10"/>
        <rFont val="Arial Unicode MS"/>
        <family val="2"/>
      </rPr>
      <t>31.1</t>
    </r>
  </si>
  <si>
    <r>
      <rPr>
        <sz val="10"/>
        <rFont val="Arial Unicode MS"/>
        <family val="2"/>
      </rPr>
      <t>31.2</t>
    </r>
  </si>
  <si>
    <r>
      <rPr>
        <sz val="10"/>
        <rFont val="Arial Unicode MS"/>
        <family val="2"/>
      </rPr>
      <t>32</t>
    </r>
  </si>
  <si>
    <r>
      <rPr>
        <sz val="10"/>
        <rFont val="Arial Unicode MS"/>
        <family val="2"/>
      </rPr>
      <t>1035747-BQL Rừng Phòng hộ Thạch Mham</t>
    </r>
  </si>
  <si>
    <r>
      <rPr>
        <sz val="10"/>
        <rFont val="Arial Unicode MS"/>
        <family val="2"/>
      </rPr>
      <t>32.1</t>
    </r>
  </si>
  <si>
    <r>
      <rPr>
        <sz val="10"/>
        <rFont val="Arial Unicode MS"/>
        <family val="2"/>
      </rPr>
      <t>32.2</t>
    </r>
  </si>
  <si>
    <r>
      <rPr>
        <sz val="10"/>
        <rFont val="Arial Unicode MS"/>
        <family val="2"/>
      </rPr>
      <t>33</t>
    </r>
  </si>
  <si>
    <r>
      <rPr>
        <sz val="10"/>
        <rFont val="Arial Unicode MS"/>
        <family val="2"/>
      </rPr>
      <t>1035748-BQL Rừng Phòng Hộ ĐăkBlô</t>
    </r>
  </si>
  <si>
    <r>
      <rPr>
        <sz val="10"/>
        <rFont val="Arial Unicode MS"/>
        <family val="2"/>
      </rPr>
      <t>33.1</t>
    </r>
  </si>
  <si>
    <r>
      <rPr>
        <sz val="10"/>
        <rFont val="Arial Unicode MS"/>
        <family val="2"/>
      </rPr>
      <t>33.2</t>
    </r>
  </si>
  <si>
    <r>
      <rPr>
        <sz val="10"/>
        <rFont val="Arial Unicode MS"/>
        <family val="2"/>
      </rPr>
      <t>34</t>
    </r>
  </si>
  <si>
    <r>
      <rPr>
        <sz val="10"/>
        <rFont val="Arial Unicode MS"/>
        <family val="2"/>
      </rPr>
      <t>1035749-BQL Dự án Phát triển Cao su Mhân dân</t>
    </r>
  </si>
  <si>
    <r>
      <rPr>
        <sz val="10"/>
        <rFont val="Arial Unicode MS"/>
        <family val="2"/>
      </rPr>
      <t>34.1</t>
    </r>
  </si>
  <si>
    <r>
      <rPr>
        <sz val="10"/>
        <rFont val="Arial Unicode MS"/>
        <family val="2"/>
      </rPr>
      <t>35</t>
    </r>
  </si>
  <si>
    <r>
      <rPr>
        <sz val="10"/>
        <rFont val="Arial Unicode MS"/>
        <family val="2"/>
      </rPr>
      <t>1037416-Hạt kiềm lâm huyện Đak Glei</t>
    </r>
  </si>
  <si>
    <r>
      <rPr>
        <sz val="10"/>
        <rFont val="Arial Unicode MS"/>
        <family val="2"/>
      </rPr>
      <t>35.1</t>
    </r>
  </si>
  <si>
    <r>
      <rPr>
        <sz val="10"/>
        <rFont val="Arial Unicode MS"/>
        <family val="2"/>
      </rPr>
      <t>36</t>
    </r>
  </si>
  <si>
    <r>
      <rPr>
        <sz val="10"/>
        <rFont val="Arial Unicode MS"/>
        <family val="2"/>
      </rPr>
      <t>1037418-Hạt Kiểm lâm huyện Đak tô</t>
    </r>
  </si>
  <si>
    <r>
      <rPr>
        <sz val="10"/>
        <rFont val="Arial Unicode MS"/>
        <family val="2"/>
      </rPr>
      <t>36.1</t>
    </r>
  </si>
  <si>
    <r>
      <rPr>
        <sz val="10"/>
        <rFont val="Arial Unicode MS"/>
        <family val="2"/>
      </rPr>
      <t>37</t>
    </r>
  </si>
  <si>
    <r>
      <rPr>
        <sz val="10"/>
        <rFont val="Arial Unicode MS"/>
        <family val="2"/>
      </rPr>
      <t>1037419-Hạt Kiềm lâm huyện Đak hà</t>
    </r>
  </si>
  <si>
    <r>
      <rPr>
        <sz val="10"/>
        <rFont val="Arial Unicode MS"/>
        <family val="2"/>
      </rPr>
      <t>37.1</t>
    </r>
  </si>
  <si>
    <r>
      <rPr>
        <sz val="10"/>
        <rFont val="Arial Unicode MS"/>
        <family val="2"/>
      </rPr>
      <t>38</t>
    </r>
  </si>
  <si>
    <r>
      <rPr>
        <sz val="10"/>
        <rFont val="Arial Unicode MS"/>
        <family val="2"/>
      </rPr>
      <t>1037420-Hạt kiểm lâm huyện &lt;onPlong</t>
    </r>
  </si>
  <si>
    <r>
      <rPr>
        <sz val="10"/>
        <rFont val="Arial Unicode MS"/>
        <family val="2"/>
      </rPr>
      <t>38.1</t>
    </r>
  </si>
  <si>
    <r>
      <rPr>
        <sz val="10"/>
        <rFont val="Arial Unicode MS"/>
        <family val="2"/>
      </rPr>
      <t>38.2</t>
    </r>
  </si>
  <si>
    <r>
      <rPr>
        <sz val="10"/>
        <rFont val="Arial Unicode MS"/>
        <family val="2"/>
      </rPr>
      <t>39</t>
    </r>
  </si>
  <si>
    <r>
      <rPr>
        <sz val="10"/>
        <rFont val="Arial Unicode MS"/>
        <family val="2"/>
      </rPr>
      <t>1037422-Hội cựu chiẽn binh tỉnh &lt;ontum</t>
    </r>
  </si>
  <si>
    <r>
      <rPr>
        <sz val="10"/>
        <rFont val="Arial Unicode MS"/>
        <family val="2"/>
      </rPr>
      <t>39.1</t>
    </r>
  </si>
  <si>
    <r>
      <rPr>
        <sz val="10"/>
        <rFont val="Arial Unicode MS"/>
        <family val="2"/>
      </rPr>
      <t>514</t>
    </r>
  </si>
  <si>
    <r>
      <rPr>
        <sz val="10"/>
        <rFont val="Arial Unicode MS"/>
        <family val="2"/>
      </rPr>
      <t>40</t>
    </r>
  </si>
  <si>
    <r>
      <rPr>
        <sz val="10"/>
        <rFont val="Arial Unicode MS"/>
        <family val="2"/>
      </rPr>
      <t>1037424-Trung tâm Ngoại ngữ - Tin 1ỌC Kontum</t>
    </r>
  </si>
  <si>
    <r>
      <rPr>
        <sz val="10"/>
        <rFont val="Arial Unicode MS"/>
        <family val="2"/>
      </rPr>
      <t>40.1</t>
    </r>
  </si>
  <si>
    <r>
      <rPr>
        <sz val="10"/>
        <rFont val="Arial Unicode MS"/>
        <family val="2"/>
      </rPr>
      <t>41</t>
    </r>
  </si>
  <si>
    <r>
      <rPr>
        <sz val="10"/>
        <rFont val="Arial Unicode MS"/>
        <family val="2"/>
      </rPr>
      <t>1037425-Trường PT Dân tộc Nội trú luyện Đak hà</t>
    </r>
  </si>
  <si>
    <r>
      <rPr>
        <sz val="10"/>
        <rFont val="Arial Unicode MS"/>
        <family val="2"/>
      </rPr>
      <t>41.1</t>
    </r>
  </si>
  <si>
    <r>
      <rPr>
        <sz val="10"/>
        <rFont val="Arial Unicode MS"/>
        <family val="2"/>
      </rPr>
      <t>42</t>
    </r>
  </si>
  <si>
    <r>
      <rPr>
        <sz val="10"/>
        <rFont val="Arial Unicode MS"/>
        <family val="2"/>
      </rPr>
      <t>1037427-Trường Trung học PhS thông Chuyên Nguyễn Tãt Thành</t>
    </r>
  </si>
  <si>
    <r>
      <rPr>
        <sz val="10"/>
        <rFont val="Arial Unicode MS"/>
        <family val="2"/>
      </rPr>
      <t>42.1</t>
    </r>
  </si>
  <si>
    <r>
      <rPr>
        <sz val="10"/>
        <rFont val="Arial Unicode MS"/>
        <family val="2"/>
      </rPr>
      <t>43</t>
    </r>
  </si>
  <si>
    <r>
      <rPr>
        <sz val="10"/>
        <rFont val="Arial Unicode MS"/>
        <family val="2"/>
      </rPr>
      <t>1037433-BQL vườn quốc gia Chư Mom Ray</t>
    </r>
  </si>
  <si>
    <r>
      <rPr>
        <sz val="10"/>
        <rFont val="Arial Unicode MS"/>
        <family val="2"/>
      </rPr>
      <t>43.1</t>
    </r>
  </si>
  <si>
    <r>
      <rPr>
        <sz val="10"/>
        <rFont val="Arial Unicode MS"/>
        <family val="2"/>
      </rPr>
      <t>43.2</t>
    </r>
  </si>
  <si>
    <r>
      <rPr>
        <sz val="10"/>
        <rFont val="Arial Unicode MS"/>
        <family val="2"/>
      </rPr>
      <t>44</t>
    </r>
  </si>
  <si>
    <r>
      <rPr>
        <sz val="10"/>
        <rFont val="Arial Unicode MS"/>
        <family val="2"/>
      </rPr>
      <t>1037479-Ban Dân tộc</t>
    </r>
  </si>
  <si>
    <r>
      <rPr>
        <sz val="10"/>
        <rFont val="Arial Unicode MS"/>
        <family val="2"/>
      </rPr>
      <t>44.1</t>
    </r>
  </si>
  <si>
    <r>
      <rPr>
        <sz val="10"/>
        <rFont val="Arial Unicode MS"/>
        <family val="2"/>
      </rPr>
      <t>483</t>
    </r>
  </si>
  <si>
    <r>
      <rPr>
        <sz val="10"/>
        <rFont val="Arial Unicode MS"/>
        <family val="2"/>
      </rPr>
      <t>44.2</t>
    </r>
  </si>
  <si>
    <r>
      <rPr>
        <sz val="10"/>
        <rFont val="Arial Unicode MS"/>
        <family val="2"/>
      </rPr>
      <t>505</t>
    </r>
  </si>
  <si>
    <r>
      <rPr>
        <sz val="10"/>
        <rFont val="Arial Unicode MS"/>
        <family val="2"/>
      </rPr>
      <t>45</t>
    </r>
  </si>
  <si>
    <r>
      <rPr>
        <sz val="10"/>
        <rFont val="Arial Unicode MS"/>
        <family val="2"/>
      </rPr>
      <t>1037480-Trung tâm Trợ giúp Pháp lý nhà nước</t>
    </r>
  </si>
  <si>
    <r>
      <rPr>
        <sz val="10"/>
        <rFont val="Arial Unicode MS"/>
        <family val="2"/>
      </rPr>
      <t>45.1</t>
    </r>
  </si>
  <si>
    <r>
      <rPr>
        <sz val="10"/>
        <rFont val="Arial Unicode MS"/>
        <family val="2"/>
      </rPr>
      <t>414</t>
    </r>
  </si>
  <si>
    <r>
      <rPr>
        <sz val="10"/>
        <rFont val="Arial Unicode MS"/>
        <family val="2"/>
      </rPr>
      <t>431</t>
    </r>
  </si>
  <si>
    <r>
      <rPr>
        <sz val="10"/>
        <rFont val="Arial Unicode MS"/>
        <family val="2"/>
      </rPr>
      <t>46</t>
    </r>
  </si>
  <si>
    <r>
      <rPr>
        <sz val="10"/>
        <rFont val="Arial Unicode MS"/>
        <family val="2"/>
      </rPr>
      <t>1037481-Hội Nông dân tinh Kon Tum</t>
    </r>
  </si>
  <si>
    <r>
      <rPr>
        <sz val="10"/>
        <rFont val="Arial Unicode MS"/>
        <family val="2"/>
      </rPr>
      <t>46.1</t>
    </r>
  </si>
  <si>
    <r>
      <rPr>
        <sz val="10"/>
        <rFont val="Arial Unicode MS"/>
        <family val="2"/>
      </rPr>
      <t>513</t>
    </r>
  </si>
  <si>
    <r>
      <rPr>
        <sz val="10"/>
        <rFont val="Arial Unicode MS"/>
        <family val="2"/>
      </rPr>
      <t>46.2</t>
    </r>
  </si>
  <si>
    <r>
      <rPr>
        <sz val="10"/>
        <rFont val="Arial Unicode MS"/>
        <family val="2"/>
      </rPr>
      <t>47</t>
    </r>
  </si>
  <si>
    <r>
      <rPr>
        <sz val="10"/>
        <rFont val="Arial Unicode MS"/>
        <family val="2"/>
      </rPr>
      <t>1037482-Trung tâm văn hóa Thể thao rhanh thiẽu nhi tỉnh Kon Tum</t>
    </r>
  </si>
  <si>
    <r>
      <rPr>
        <sz val="10"/>
        <rFont val="Arial Unicode MS"/>
        <family val="2"/>
      </rPr>
      <t>47.1</t>
    </r>
  </si>
  <si>
    <r>
      <rPr>
        <sz val="10"/>
        <rFont val="Arial Unicode MS"/>
        <family val="2"/>
      </rPr>
      <t>511</t>
    </r>
  </si>
  <si>
    <r>
      <rPr>
        <sz val="10"/>
        <rFont val="Arial Unicode MS"/>
        <family val="2"/>
      </rPr>
      <t>554</t>
    </r>
  </si>
  <si>
    <r>
      <rPr>
        <sz val="10"/>
        <rFont val="Arial Unicode MS"/>
        <family val="2"/>
      </rPr>
      <t>48</t>
    </r>
  </si>
  <si>
    <r>
      <rPr>
        <sz val="10"/>
        <rFont val="Arial Unicode MS"/>
        <family val="2"/>
      </rPr>
      <t>1037483-Tỉnh đoàn Kon Tum</t>
    </r>
  </si>
  <si>
    <r>
      <rPr>
        <sz val="10"/>
        <rFont val="Arial Unicode MS"/>
        <family val="2"/>
      </rPr>
      <t>48.1</t>
    </r>
  </si>
  <si>
    <r>
      <rPr>
        <sz val="10"/>
        <rFont val="Arial Unicode MS"/>
        <family val="2"/>
      </rPr>
      <t>49</t>
    </r>
  </si>
  <si>
    <r>
      <rPr>
        <sz val="10"/>
        <rFont val="Arial Unicode MS"/>
        <family val="2"/>
      </rPr>
      <t>1037484-Thư viện Tinh</t>
    </r>
  </si>
  <si>
    <r>
      <rPr>
        <sz val="10"/>
        <rFont val="Arial Unicode MS"/>
        <family val="2"/>
      </rPr>
      <t>49.1</t>
    </r>
  </si>
  <si>
    <r>
      <rPr>
        <sz val="10"/>
        <rFont val="Arial Unicode MS"/>
        <family val="2"/>
      </rPr>
      <t>555</t>
    </r>
  </si>
  <si>
    <r>
      <rPr>
        <sz val="10"/>
        <rFont val="Arial Unicode MS"/>
        <family val="2"/>
      </rPr>
      <t>50</t>
    </r>
  </si>
  <si>
    <r>
      <rPr>
        <sz val="10"/>
        <rFont val="Arial Unicode MS"/>
        <family val="2"/>
      </rPr>
      <t>1037488-Hạt Kiềm lâm thành phố Kon rum</t>
    </r>
  </si>
  <si>
    <r>
      <rPr>
        <sz val="10"/>
        <rFont val="Arial Unicode MS"/>
        <family val="2"/>
      </rPr>
      <t>50.1</t>
    </r>
  </si>
  <si>
    <r>
      <rPr>
        <sz val="10"/>
        <rFont val="Arial Unicode MS"/>
        <family val="2"/>
      </rPr>
      <t>51</t>
    </r>
  </si>
  <si>
    <r>
      <rPr>
        <sz val="10"/>
        <rFont val="Arial Unicode MS"/>
        <family val="2"/>
      </rPr>
      <t>1037489-Ban quản lý rừng Đặc dụng Dak uy</t>
    </r>
  </si>
  <si>
    <r>
      <rPr>
        <sz val="10"/>
        <rFont val="Arial Unicode MS"/>
        <family val="2"/>
      </rPr>
      <t>51.1</t>
    </r>
  </si>
  <si>
    <r>
      <rPr>
        <sz val="10"/>
        <rFont val="Arial Unicode MS"/>
        <family val="2"/>
      </rPr>
      <t>51.2</t>
    </r>
  </si>
  <si>
    <r>
      <rPr>
        <sz val="10"/>
        <rFont val="Arial Unicode MS"/>
        <family val="2"/>
      </rPr>
      <t>52</t>
    </r>
  </si>
  <si>
    <r>
      <rPr>
        <sz val="10"/>
        <rFont val="Arial Unicode MS"/>
        <family val="2"/>
      </rPr>
      <t>1037490-Hạt kiềm lâm huyện Sa thây</t>
    </r>
  </si>
  <si>
    <r>
      <rPr>
        <sz val="10"/>
        <rFont val="Arial Unicode MS"/>
        <family val="2"/>
      </rPr>
      <t>52.1</t>
    </r>
  </si>
  <si>
    <r>
      <rPr>
        <sz val="10"/>
        <rFont val="Arial Unicode MS"/>
        <family val="2"/>
      </rPr>
      <t>52.2</t>
    </r>
  </si>
  <si>
    <r>
      <rPr>
        <sz val="10"/>
        <rFont val="Arial Unicode MS"/>
        <family val="2"/>
      </rPr>
      <t>53</t>
    </r>
  </si>
  <si>
    <r>
      <rPr>
        <sz val="10"/>
        <rFont val="Arial Unicode MS"/>
        <family val="2"/>
      </rPr>
      <t>1037491-Hạt kiểm lâm huyện Ngọc hồ'</t>
    </r>
  </si>
  <si>
    <r>
      <rPr>
        <sz val="10"/>
        <rFont val="Arial Unicode MS"/>
        <family val="2"/>
      </rPr>
      <t>53.1</t>
    </r>
  </si>
  <si>
    <r>
      <rPr>
        <sz val="10"/>
        <rFont val="Arial Unicode MS"/>
        <family val="2"/>
      </rPr>
      <t>54</t>
    </r>
  </si>
  <si>
    <r>
      <rPr>
        <sz val="10"/>
        <rFont val="Arial Unicode MS"/>
        <family val="2"/>
      </rPr>
      <t>1037518-Trường Tiểu học Thực hành sư phạm Ngụy Như Kon Tum</t>
    </r>
  </si>
  <si>
    <r>
      <rPr>
        <sz val="10"/>
        <rFont val="Arial Unicode MS"/>
        <family val="2"/>
      </rPr>
      <t>54.1</t>
    </r>
  </si>
  <si>
    <r>
      <rPr>
        <sz val="10"/>
        <rFont val="Arial Unicode MS"/>
        <family val="2"/>
      </rPr>
      <t>492</t>
    </r>
  </si>
  <si>
    <r>
      <rPr>
        <sz val="10"/>
        <rFont val="Arial Unicode MS"/>
        <family val="2"/>
      </rPr>
      <t>55</t>
    </r>
  </si>
  <si>
    <r>
      <rPr>
        <sz val="10"/>
        <rFont val="Arial Unicode MS"/>
        <family val="2"/>
      </rPr>
      <t>1037519-Văn phòng sờ Giáo dục và Dào tạo</t>
    </r>
  </si>
  <si>
    <r>
      <rPr>
        <sz val="10"/>
        <rFont val="Arial Unicode MS"/>
        <family val="2"/>
      </rPr>
      <t>55.1</t>
    </r>
  </si>
  <si>
    <r>
      <rPr>
        <sz val="10"/>
        <rFont val="Arial Unicode MS"/>
        <family val="2"/>
      </rPr>
      <t>502</t>
    </r>
  </si>
  <si>
    <r>
      <rPr>
        <sz val="10"/>
        <rFont val="Arial Unicode MS"/>
        <family val="2"/>
      </rPr>
      <t>56</t>
    </r>
  </si>
  <si>
    <r>
      <rPr>
        <sz val="10"/>
        <rFont val="Arial Unicode MS"/>
        <family val="2"/>
      </rPr>
      <t>1037574-Trường Cao đẳng sư phạm rỉnh Kontum</t>
    </r>
  </si>
  <si>
    <r>
      <rPr>
        <sz val="10"/>
        <rFont val="Arial Unicode MS"/>
        <family val="2"/>
      </rPr>
      <t>56.1</t>
    </r>
  </si>
  <si>
    <r>
      <rPr>
        <sz val="10"/>
        <rFont val="Arial Unicode MS"/>
        <family val="2"/>
      </rPr>
      <t>501</t>
    </r>
  </si>
  <si>
    <r>
      <rPr>
        <sz val="10"/>
        <rFont val="Arial Unicode MS"/>
        <family val="2"/>
      </rPr>
      <t>57</t>
    </r>
  </si>
  <si>
    <r>
      <rPr>
        <sz val="10"/>
        <rFont val="Arial Unicode MS"/>
        <family val="2"/>
      </rPr>
      <t>1037575-Trường PT Dân tộc Nội trú luyện Ngọc hSi</t>
    </r>
  </si>
  <si>
    <r>
      <rPr>
        <sz val="10"/>
        <rFont val="Arial Unicode MS"/>
        <family val="2"/>
      </rPr>
      <t>57.1</t>
    </r>
  </si>
  <si>
    <r>
      <rPr>
        <sz val="10"/>
        <rFont val="Arial Unicode MS"/>
        <family val="2"/>
      </rPr>
      <t>58</t>
    </r>
  </si>
  <si>
    <r>
      <rPr>
        <sz val="10"/>
        <rFont val="Arial Unicode MS"/>
        <family val="2"/>
      </rPr>
      <t>1037577-Hội chử thập đỏ tỉnh Kontum</t>
    </r>
  </si>
  <si>
    <r>
      <rPr>
        <sz val="10"/>
        <rFont val="Arial Unicode MS"/>
        <family val="2"/>
      </rPr>
      <t>58.1</t>
    </r>
  </si>
  <si>
    <r>
      <rPr>
        <sz val="10"/>
        <rFont val="Arial Unicode MS"/>
        <family val="2"/>
      </rPr>
      <t>522</t>
    </r>
  </si>
  <si>
    <r>
      <rPr>
        <sz val="10"/>
        <rFont val="Arial Unicode MS"/>
        <family val="2"/>
      </rPr>
      <t>472</t>
    </r>
  </si>
  <si>
    <r>
      <rPr>
        <sz val="10"/>
        <rFont val="Arial Unicode MS"/>
        <family val="2"/>
      </rPr>
      <t>59</t>
    </r>
  </si>
  <si>
    <r>
      <rPr>
        <sz val="10"/>
        <rFont val="Arial Unicode MS"/>
        <family val="2"/>
      </rPr>
      <t>1037579-Bảo tàng - Thư viện tỉnh Kon Tum</t>
    </r>
  </si>
  <si>
    <r>
      <rPr>
        <sz val="10"/>
        <rFont val="Arial Unicode MS"/>
        <family val="2"/>
      </rPr>
      <t>59.1</t>
    </r>
  </si>
  <si>
    <r>
      <rPr>
        <sz val="10"/>
        <rFont val="Arial Unicode MS"/>
        <family val="2"/>
      </rPr>
      <t>556</t>
    </r>
  </si>
  <si>
    <r>
      <rPr>
        <sz val="10"/>
        <rFont val="Arial Unicode MS"/>
        <family val="2"/>
      </rPr>
      <t>579</t>
    </r>
  </si>
  <si>
    <r>
      <rPr>
        <sz val="10"/>
        <rFont val="Arial Unicode MS"/>
        <family val="2"/>
      </rPr>
      <t>60</t>
    </r>
  </si>
  <si>
    <r>
      <rPr>
        <sz val="10"/>
        <rFont val="Arial Unicode MS"/>
        <family val="2"/>
      </rPr>
      <t>1037582-Văn phòng sờ Văn hoá Thể thao và Du lịch tỉnh Kontum</t>
    </r>
  </si>
  <si>
    <r>
      <rPr>
        <sz val="10"/>
        <rFont val="Arial Unicode MS"/>
        <family val="2"/>
      </rPr>
      <t>60.1</t>
    </r>
  </si>
  <si>
    <r>
      <rPr>
        <sz val="10"/>
        <rFont val="Arial Unicode MS"/>
        <family val="2"/>
      </rPr>
      <t>504</t>
    </r>
  </si>
  <si>
    <r>
      <rPr>
        <sz val="10"/>
        <rFont val="Arial Unicode MS"/>
        <family val="2"/>
      </rPr>
      <t>60.2</t>
    </r>
  </si>
  <si>
    <r>
      <rPr>
        <sz val="10"/>
        <rFont val="Arial Unicode MS"/>
        <family val="2"/>
      </rPr>
      <t>61</t>
    </r>
  </si>
  <si>
    <r>
      <rPr>
        <sz val="10"/>
        <rFont val="Arial Unicode MS"/>
        <family val="2"/>
      </rPr>
      <t>1037583-Trung tâm Văn hóa Tỉnh</t>
    </r>
  </si>
  <si>
    <r>
      <rPr>
        <sz val="10"/>
        <rFont val="Arial Unicode MS"/>
        <family val="2"/>
      </rPr>
      <t>61.1</t>
    </r>
  </si>
  <si>
    <r>
      <rPr>
        <sz val="10"/>
        <rFont val="Arial Unicode MS"/>
        <family val="2"/>
      </rPr>
      <t>62</t>
    </r>
  </si>
  <si>
    <r>
      <rPr>
        <sz val="10"/>
        <rFont val="Arial Unicode MS"/>
        <family val="2"/>
      </rPr>
      <t>1037584-Trung tâm Văn hóa - nghệ liuậttỉnh Kon Tum</t>
    </r>
  </si>
  <si>
    <r>
      <rPr>
        <sz val="10"/>
        <rFont val="Arial Unicode MS"/>
        <family val="2"/>
      </rPr>
      <t>62.1</t>
    </r>
  </si>
  <si>
    <r>
      <rPr>
        <sz val="10"/>
        <rFont val="Arial Unicode MS"/>
        <family val="2"/>
      </rPr>
      <t>63</t>
    </r>
  </si>
  <si>
    <r>
      <rPr>
        <sz val="10"/>
        <rFont val="Arial Unicode MS"/>
        <family val="2"/>
      </rPr>
      <t>1037585-Hội văn học Nghệ thuật</t>
    </r>
  </si>
  <si>
    <r>
      <rPr>
        <sz val="10"/>
        <rFont val="Arial Unicode MS"/>
        <family val="2"/>
      </rPr>
      <t>63.1</t>
    </r>
  </si>
  <si>
    <r>
      <rPr>
        <sz val="10"/>
        <rFont val="Arial Unicode MS"/>
        <family val="2"/>
      </rPr>
      <t>518</t>
    </r>
  </si>
  <si>
    <r>
      <rPr>
        <sz val="10"/>
        <rFont val="Arial Unicode MS"/>
        <family val="2"/>
      </rPr>
      <t>64</t>
    </r>
  </si>
  <si>
    <r>
      <rPr>
        <sz val="10"/>
        <rFont val="Arial Unicode MS"/>
        <family val="2"/>
      </rPr>
      <t>1037641-Đài Phát thanh và TruyỄn lình</t>
    </r>
  </si>
  <si>
    <r>
      <rPr>
        <sz val="10"/>
        <rFont val="Arial Unicode MS"/>
        <family val="2"/>
      </rPr>
      <t>64.1</t>
    </r>
  </si>
  <si>
    <r>
      <rPr>
        <sz val="10"/>
        <rFont val="Arial Unicode MS"/>
        <family val="2"/>
      </rPr>
      <t>441</t>
    </r>
  </si>
  <si>
    <r>
      <rPr>
        <sz val="10"/>
        <rFont val="Arial Unicode MS"/>
        <family val="2"/>
      </rPr>
      <t>253</t>
    </r>
  </si>
  <si>
    <r>
      <rPr>
        <sz val="10"/>
        <rFont val="Arial Unicode MS"/>
        <family val="2"/>
      </rPr>
      <t>65</t>
    </r>
  </si>
  <si>
    <r>
      <rPr>
        <sz val="10"/>
        <rFont val="Arial Unicode MS"/>
        <family val="2"/>
      </rPr>
      <t>1037642-Trung tâm Huãn luyện và Thi đãu Thể dục Thể thao</t>
    </r>
  </si>
  <si>
    <r>
      <rPr>
        <sz val="10"/>
        <rFont val="Arial Unicode MS"/>
        <family val="2"/>
      </rPr>
      <t>65.1</t>
    </r>
  </si>
  <si>
    <r>
      <rPr>
        <sz val="10"/>
        <rFont val="Arial Unicode MS"/>
        <family val="2"/>
      </rPr>
      <t>562</t>
    </r>
  </si>
  <si>
    <r>
      <rPr>
        <sz val="10"/>
        <rFont val="Arial Unicode MS"/>
        <family val="2"/>
      </rPr>
      <t>66</t>
    </r>
  </si>
  <si>
    <r>
      <rPr>
        <sz val="10"/>
        <rFont val="Arial Unicode MS"/>
        <family val="2"/>
      </rPr>
      <t>1037644-SỜ Nội vụ tỉnh Kon Tum</t>
    </r>
  </si>
  <si>
    <r>
      <rPr>
        <sz val="10"/>
        <rFont val="Arial Unicode MS"/>
        <family val="2"/>
      </rPr>
      <t>66.1</t>
    </r>
  </si>
  <si>
    <r>
      <rPr>
        <sz val="10"/>
        <rFont val="Arial Unicode MS"/>
        <family val="2"/>
      </rPr>
      <t>435</t>
    </r>
  </si>
  <si>
    <r>
      <rPr>
        <sz val="10"/>
        <rFont val="Arial Unicode MS"/>
        <family val="2"/>
      </rPr>
      <t>67</t>
    </r>
  </si>
  <si>
    <r>
      <rPr>
        <sz val="10"/>
        <rFont val="Arial Unicode MS"/>
        <family val="2"/>
      </rPr>
      <t>1037649-Chi Cục Quản lý thj trường</t>
    </r>
  </si>
  <si>
    <r>
      <rPr>
        <sz val="10"/>
        <rFont val="Arial Unicode MS"/>
        <family val="2"/>
      </rPr>
      <t>67.1</t>
    </r>
  </si>
  <si>
    <r>
      <rPr>
        <sz val="10"/>
        <rFont val="Arial Unicode MS"/>
        <family val="2"/>
      </rPr>
      <t>416</t>
    </r>
  </si>
  <si>
    <r>
      <rPr>
        <sz val="10"/>
        <rFont val="Arial Unicode MS"/>
        <family val="2"/>
      </rPr>
      <t>68</t>
    </r>
  </si>
  <si>
    <r>
      <rPr>
        <sz val="10"/>
        <rFont val="Arial Unicode MS"/>
        <family val="2"/>
      </rPr>
      <t>1037650-SỜ Kẽ hoạch và Đău tư tỉnh Kontum</t>
    </r>
  </si>
  <si>
    <r>
      <rPr>
        <sz val="10"/>
        <rFont val="Arial Unicode MS"/>
        <family val="2"/>
      </rPr>
      <t>68.1</t>
    </r>
  </si>
  <si>
    <r>
      <rPr>
        <sz val="10"/>
        <rFont val="Arial Unicode MS"/>
        <family val="2"/>
      </rPr>
      <t>413</t>
    </r>
  </si>
  <si>
    <r>
      <rPr>
        <sz val="10"/>
        <rFont val="Arial Unicode MS"/>
        <family val="2"/>
      </rPr>
      <t>69</t>
    </r>
  </si>
  <si>
    <r>
      <rPr>
        <sz val="10"/>
        <rFont val="Arial Unicode MS"/>
        <family val="2"/>
      </rPr>
      <t>1044909-Trung Tâm Bảo trợ và Công tác xã hội tỉnh Kon Tum</t>
    </r>
  </si>
  <si>
    <r>
      <rPr>
        <sz val="10"/>
        <rFont val="Arial Unicode MS"/>
        <family val="2"/>
      </rPr>
      <t>69.1</t>
    </r>
  </si>
  <si>
    <r>
      <rPr>
        <sz val="10"/>
        <rFont val="Arial Unicode MS"/>
        <family val="2"/>
      </rPr>
      <t>69.2</t>
    </r>
  </si>
  <si>
    <r>
      <rPr>
        <sz val="10"/>
        <rFont val="Arial Unicode MS"/>
        <family val="2"/>
      </rPr>
      <t>70</t>
    </r>
  </si>
  <si>
    <r>
      <rPr>
        <sz val="10"/>
        <rFont val="Arial Unicode MS"/>
        <family val="2"/>
      </rPr>
      <t>1044910-Trung tâm Đăng kiềm 82.01.s</t>
    </r>
  </si>
  <si>
    <r>
      <rPr>
        <sz val="10"/>
        <rFont val="Arial Unicode MS"/>
        <family val="2"/>
      </rPr>
      <t>70.1</t>
    </r>
  </si>
  <si>
    <r>
      <rPr>
        <sz val="10"/>
        <rFont val="Arial Unicode MS"/>
        <family val="2"/>
      </rPr>
      <t>421</t>
    </r>
  </si>
  <si>
    <r>
      <rPr>
        <sz val="10"/>
        <rFont val="Arial Unicode MS"/>
        <family val="2"/>
      </rPr>
      <t>223</t>
    </r>
  </si>
  <si>
    <r>
      <rPr>
        <sz val="10"/>
        <rFont val="Arial Unicode MS"/>
        <family val="2"/>
      </rPr>
      <t>71</t>
    </r>
  </si>
  <si>
    <r>
      <rPr>
        <sz val="10"/>
        <rFont val="Arial Unicode MS"/>
        <family val="2"/>
      </rPr>
      <t>1044911-Thanh tra sờ Giao thông vận tải tỉnh Kon Tum</t>
    </r>
  </si>
  <si>
    <r>
      <rPr>
        <sz val="10"/>
        <rFont val="Arial Unicode MS"/>
        <family val="2"/>
      </rPr>
      <t>71.1</t>
    </r>
  </si>
  <si>
    <r>
      <rPr>
        <sz val="10"/>
        <rFont val="Arial Unicode MS"/>
        <family val="2"/>
      </rPr>
      <t>72</t>
    </r>
  </si>
  <si>
    <r>
      <rPr>
        <sz val="10"/>
        <rFont val="Arial Unicode MS"/>
        <family val="2"/>
      </rPr>
      <t>1045722-Văn phòng sờ Lao động Thương binh và xã hội</t>
    </r>
  </si>
  <si>
    <r>
      <rPr>
        <sz val="10"/>
        <rFont val="Arial Unicode MS"/>
        <family val="2"/>
      </rPr>
      <t>72.1</t>
    </r>
  </si>
  <si>
    <r>
      <rPr>
        <sz val="10"/>
        <rFont val="Arial Unicode MS"/>
        <family val="2"/>
      </rPr>
      <t>531</t>
    </r>
  </si>
  <si>
    <r>
      <rPr>
        <sz val="10"/>
        <rFont val="Arial Unicode MS"/>
        <family val="2"/>
      </rPr>
      <t>72.2</t>
    </r>
  </si>
  <si>
    <r>
      <rPr>
        <sz val="10"/>
        <rFont val="Arial Unicode MS"/>
        <family val="2"/>
      </rPr>
      <t>73</t>
    </r>
  </si>
  <si>
    <r>
      <rPr>
        <sz val="10"/>
        <rFont val="Arial Unicode MS"/>
        <family val="2"/>
      </rPr>
      <t>1047747-Ban bảo vệ, chăm sóc sức chòe cán bộ tỉnh Kon Tum</t>
    </r>
  </si>
  <si>
    <r>
      <rPr>
        <sz val="10"/>
        <rFont val="Arial Unicode MS"/>
        <family val="2"/>
      </rPr>
      <t>73.1</t>
    </r>
  </si>
  <si>
    <r>
      <rPr>
        <sz val="10"/>
        <rFont val="Arial Unicode MS"/>
        <family val="2"/>
      </rPr>
      <t>509</t>
    </r>
  </si>
  <si>
    <r>
      <rPr>
        <sz val="10"/>
        <rFont val="Arial Unicode MS"/>
        <family val="2"/>
      </rPr>
      <t>74</t>
    </r>
  </si>
  <si>
    <r>
      <rPr>
        <sz val="10"/>
        <rFont val="Arial Unicode MS"/>
        <family val="2"/>
      </rPr>
      <t>1047749-Trung tâm Công nghệ Thông tin - Tài nguyên và Môi trường</t>
    </r>
  </si>
  <si>
    <r>
      <rPr>
        <sz val="10"/>
        <rFont val="Arial Unicode MS"/>
        <family val="2"/>
      </rPr>
      <t>74.1</t>
    </r>
  </si>
  <si>
    <r>
      <rPr>
        <sz val="10"/>
        <rFont val="Arial Unicode MS"/>
        <family val="2"/>
      </rPr>
      <t>426</t>
    </r>
  </si>
  <si>
    <r>
      <rPr>
        <sz val="10"/>
        <rFont val="Arial Unicode MS"/>
        <family val="2"/>
      </rPr>
      <t>75</t>
    </r>
  </si>
  <si>
    <r>
      <rPr>
        <sz val="10"/>
        <rFont val="Arial Unicode MS"/>
        <family val="2"/>
      </rPr>
      <t>1047842-Bệnh viện Đa khoa tỉnh Kon Tum</t>
    </r>
  </si>
  <si>
    <r>
      <rPr>
        <sz val="10"/>
        <rFont val="Arial Unicode MS"/>
        <family val="2"/>
      </rPr>
      <t>75.1</t>
    </r>
  </si>
  <si>
    <r>
      <rPr>
        <sz val="10"/>
        <rFont val="Arial Unicode MS"/>
        <family val="2"/>
      </rPr>
      <t>521</t>
    </r>
  </si>
  <si>
    <r>
      <rPr>
        <sz val="10"/>
        <rFont val="Arial Unicode MS"/>
        <family val="2"/>
      </rPr>
      <t>76</t>
    </r>
  </si>
  <si>
    <r>
      <rPr>
        <sz val="10"/>
        <rFont val="Arial Unicode MS"/>
        <family val="2"/>
      </rPr>
      <t>1047845-Trung tâm Chăm sóc Sức chòe Sinh sản</t>
    </r>
  </si>
  <si>
    <r>
      <rPr>
        <sz val="10"/>
        <rFont val="Arial Unicode MS"/>
        <family val="2"/>
      </rPr>
      <t>76.1</t>
    </r>
  </si>
  <si>
    <r>
      <rPr>
        <sz val="10"/>
        <rFont val="Arial Unicode MS"/>
        <family val="2"/>
      </rPr>
      <t>76.2</t>
    </r>
  </si>
  <si>
    <r>
      <rPr>
        <sz val="10"/>
        <rFont val="Arial Unicode MS"/>
        <family val="2"/>
      </rPr>
      <t>534</t>
    </r>
  </si>
  <si>
    <r>
      <rPr>
        <sz val="10"/>
        <rFont val="Arial Unicode MS"/>
        <family val="2"/>
      </rPr>
      <t>77</t>
    </r>
  </si>
  <si>
    <r>
      <rPr>
        <sz val="10"/>
        <rFont val="Arial Unicode MS"/>
        <family val="2"/>
      </rPr>
      <t>1047849-Trung tâm Phòng chổng Sốt rét</t>
    </r>
  </si>
  <si>
    <r>
      <rPr>
        <sz val="10"/>
        <rFont val="Arial Unicode MS"/>
        <family val="2"/>
      </rPr>
      <t>77.1</t>
    </r>
  </si>
  <si>
    <r>
      <rPr>
        <sz val="10"/>
        <rFont val="Arial Unicode MS"/>
        <family val="2"/>
      </rPr>
      <t>77.2</t>
    </r>
  </si>
  <si>
    <r>
      <rPr>
        <sz val="10"/>
        <rFont val="Arial Unicode MS"/>
        <family val="2"/>
      </rPr>
      <t>78</t>
    </r>
  </si>
  <si>
    <r>
      <rPr>
        <sz val="10"/>
        <rFont val="Arial Unicode MS"/>
        <family val="2"/>
      </rPr>
      <t>1047850-Trung tâm Giám định Y khoa</t>
    </r>
  </si>
  <si>
    <r>
      <rPr>
        <sz val="10"/>
        <rFont val="Arial Unicode MS"/>
        <family val="2"/>
      </rPr>
      <t>78.1</t>
    </r>
  </si>
  <si>
    <r>
      <rPr>
        <sz val="10"/>
        <rFont val="Arial Unicode MS"/>
        <family val="2"/>
      </rPr>
      <t>79</t>
    </r>
  </si>
  <si>
    <r>
      <rPr>
        <sz val="10"/>
        <rFont val="Arial Unicode MS"/>
        <family val="2"/>
      </rPr>
      <t>1047851-Trường Trung cãp Y tẽ tỉnh Kon Tum</t>
    </r>
  </si>
  <si>
    <r>
      <rPr>
        <sz val="10"/>
        <rFont val="Arial Unicode MS"/>
        <family val="2"/>
      </rPr>
      <t>79.1</t>
    </r>
  </si>
  <si>
    <r>
      <rPr>
        <sz val="10"/>
        <rFont val="Arial Unicode MS"/>
        <family val="2"/>
      </rPr>
      <t>497</t>
    </r>
  </si>
  <si>
    <r>
      <rPr>
        <sz val="10"/>
        <rFont val="Arial Unicode MS"/>
        <family val="2"/>
      </rPr>
      <t>80</t>
    </r>
  </si>
  <si>
    <r>
      <rPr>
        <sz val="10"/>
        <rFont val="Arial Unicode MS"/>
        <family val="2"/>
      </rPr>
      <t>1047955-Bệnh viện Phục hồi chức năng</t>
    </r>
  </si>
  <si>
    <r>
      <rPr>
        <sz val="10"/>
        <rFont val="Arial Unicode MS"/>
        <family val="2"/>
      </rPr>
      <t>80.1</t>
    </r>
  </si>
  <si>
    <r>
      <rPr>
        <sz val="10"/>
        <rFont val="Arial Unicode MS"/>
        <family val="2"/>
      </rPr>
      <t>525</t>
    </r>
  </si>
  <si>
    <r>
      <rPr>
        <sz val="10"/>
        <rFont val="Arial Unicode MS"/>
        <family val="2"/>
      </rPr>
      <t>81</t>
    </r>
  </si>
  <si>
    <r>
      <rPr>
        <sz val="10"/>
        <rFont val="Arial Unicode MS"/>
        <family val="2"/>
      </rPr>
      <t>1047956-Trung tâm Y tẽ huyện Sa thăy</t>
    </r>
  </si>
  <si>
    <r>
      <rPr>
        <sz val="10"/>
        <rFont val="Arial Unicode MS"/>
        <family val="2"/>
      </rPr>
      <t>81.1</t>
    </r>
  </si>
  <si>
    <r>
      <rPr>
        <sz val="10"/>
        <rFont val="Arial Unicode MS"/>
        <family val="2"/>
      </rPr>
      <t>81.2</t>
    </r>
  </si>
  <si>
    <r>
      <rPr>
        <sz val="10"/>
        <rFont val="Arial Unicode MS"/>
        <family val="2"/>
      </rPr>
      <t>82</t>
    </r>
  </si>
  <si>
    <r>
      <rPr>
        <sz val="10"/>
        <rFont val="Arial Unicode MS"/>
        <family val="2"/>
      </rPr>
      <t>1047957-SỜ Y tẽ tinh Kontum</t>
    </r>
  </si>
  <si>
    <r>
      <rPr>
        <sz val="10"/>
        <rFont val="Arial Unicode MS"/>
        <family val="2"/>
      </rPr>
      <t>82.1</t>
    </r>
  </si>
  <si>
    <r>
      <rPr>
        <sz val="10"/>
        <rFont val="Arial Unicode MS"/>
        <family val="2"/>
      </rPr>
      <t>83</t>
    </r>
  </si>
  <si>
    <r>
      <rPr>
        <sz val="10"/>
        <rFont val="Arial Unicode MS"/>
        <family val="2"/>
      </rPr>
      <t>1047958-Trung tâm Kiểm nghiệm rhuổc, Mỹ phầm, Thực phẩm</t>
    </r>
  </si>
  <si>
    <r>
      <rPr>
        <sz val="10"/>
        <rFont val="Arial Unicode MS"/>
        <family val="2"/>
      </rPr>
      <t>83.1</t>
    </r>
  </si>
  <si>
    <r>
      <rPr>
        <sz val="10"/>
        <rFont val="Arial Unicode MS"/>
        <family val="2"/>
      </rPr>
      <t>84</t>
    </r>
  </si>
  <si>
    <r>
      <rPr>
        <sz val="10"/>
        <rFont val="Arial Unicode MS"/>
        <family val="2"/>
      </rPr>
      <t>1048054-Trung tâm Y tẽ huyện Đak tô :ỉnh Kontum</t>
    </r>
  </si>
  <si>
    <r>
      <rPr>
        <sz val="10"/>
        <rFont val="Arial Unicode MS"/>
        <family val="2"/>
      </rPr>
      <t>84.1</t>
    </r>
  </si>
  <si>
    <r>
      <rPr>
        <sz val="10"/>
        <rFont val="Arial Unicode MS"/>
        <family val="2"/>
      </rPr>
      <t>84.2</t>
    </r>
  </si>
  <si>
    <r>
      <rPr>
        <sz val="10"/>
        <rFont val="Arial Unicode MS"/>
        <family val="2"/>
      </rPr>
      <t>85</t>
    </r>
  </si>
  <si>
    <r>
      <rPr>
        <sz val="10"/>
        <rFont val="Arial Unicode MS"/>
        <family val="2"/>
      </rPr>
      <t>1048055-Trung tâm y tẽ Huyện Đak glei</t>
    </r>
  </si>
  <si>
    <r>
      <rPr>
        <sz val="10"/>
        <rFont val="Arial Unicode MS"/>
        <family val="2"/>
      </rPr>
      <t>85.1</t>
    </r>
  </si>
  <si>
    <r>
      <rPr>
        <sz val="10"/>
        <rFont val="Arial Unicode MS"/>
        <family val="2"/>
      </rPr>
      <t>85.2</t>
    </r>
  </si>
  <si>
    <r>
      <rPr>
        <sz val="10"/>
        <rFont val="Arial Unicode MS"/>
        <family val="2"/>
      </rPr>
      <t>86</t>
    </r>
  </si>
  <si>
    <r>
      <rPr>
        <sz val="10"/>
        <rFont val="Arial Unicode MS"/>
        <family val="2"/>
      </rPr>
      <t>1048056-Trung tâm y tẽ huyện KonPlong</t>
    </r>
  </si>
  <si>
    <r>
      <rPr>
        <sz val="10"/>
        <rFont val="Arial Unicode MS"/>
        <family val="2"/>
      </rPr>
      <t>86.1</t>
    </r>
  </si>
  <si>
    <r>
      <rPr>
        <sz val="10"/>
        <rFont val="Arial Unicode MS"/>
        <family val="2"/>
      </rPr>
      <t>86.2</t>
    </r>
  </si>
  <si>
    <r>
      <rPr>
        <sz val="10"/>
        <rFont val="Arial Unicode MS"/>
        <family val="2"/>
      </rPr>
      <t>87</t>
    </r>
  </si>
  <si>
    <r>
      <rPr>
        <sz val="10"/>
        <rFont val="Arial Unicode MS"/>
        <family val="2"/>
      </rPr>
      <t>1048057-Trung tâm y tẽ Thành phổ &lt;on Tum</t>
    </r>
  </si>
  <si>
    <r>
      <rPr>
        <sz val="10"/>
        <rFont val="Arial Unicode MS"/>
        <family val="2"/>
      </rPr>
      <t>87.1</t>
    </r>
  </si>
  <si>
    <r>
      <rPr>
        <sz val="10"/>
        <rFont val="Arial Unicode MS"/>
        <family val="2"/>
      </rPr>
      <t>87.2</t>
    </r>
  </si>
  <si>
    <r>
      <rPr>
        <sz val="10"/>
        <rFont val="Arial Unicode MS"/>
        <family val="2"/>
      </rPr>
      <t>88</t>
    </r>
  </si>
  <si>
    <r>
      <rPr>
        <sz val="10"/>
        <rFont val="Arial Unicode MS"/>
        <family val="2"/>
      </rPr>
      <t>1048058-Trung tâm y tẽ huyện Đak hà</t>
    </r>
  </si>
  <si>
    <r>
      <rPr>
        <sz val="10"/>
        <rFont val="Arial Unicode MS"/>
        <family val="2"/>
      </rPr>
      <t>88.1</t>
    </r>
  </si>
  <si>
    <r>
      <rPr>
        <sz val="10"/>
        <rFont val="Arial Unicode MS"/>
        <family val="2"/>
      </rPr>
      <t>88.2</t>
    </r>
  </si>
  <si>
    <r>
      <rPr>
        <sz val="10"/>
        <rFont val="Arial Unicode MS"/>
        <family val="2"/>
      </rPr>
      <t>89</t>
    </r>
  </si>
  <si>
    <r>
      <rPr>
        <sz val="10"/>
        <rFont val="Arial Unicode MS"/>
        <family val="2"/>
      </rPr>
      <t>1048059-Trung tâm kiềm soát bệnh tật :ỉnh Kon Tum</t>
    </r>
  </si>
  <si>
    <r>
      <rPr>
        <sz val="10"/>
        <rFont val="Arial Unicode MS"/>
        <family val="2"/>
      </rPr>
      <t>89.1</t>
    </r>
  </si>
  <si>
    <r>
      <rPr>
        <sz val="10"/>
        <rFont val="Arial Unicode MS"/>
        <family val="2"/>
      </rPr>
      <t>89.2</t>
    </r>
  </si>
  <si>
    <r>
      <rPr>
        <sz val="10"/>
        <rFont val="Arial Unicode MS"/>
        <family val="2"/>
      </rPr>
      <t>90</t>
    </r>
  </si>
  <si>
    <r>
      <rPr>
        <sz val="10"/>
        <rFont val="Arial Unicode MS"/>
        <family val="2"/>
      </rPr>
      <t>1048060-Trung tâm Phòng chổng 3ệnh xã hội</t>
    </r>
  </si>
  <si>
    <r>
      <rPr>
        <sz val="10"/>
        <rFont val="Arial Unicode MS"/>
        <family val="2"/>
      </rPr>
      <t>90.1</t>
    </r>
  </si>
  <si>
    <r>
      <rPr>
        <sz val="10"/>
        <rFont val="Arial Unicode MS"/>
        <family val="2"/>
      </rPr>
      <t>90.2</t>
    </r>
  </si>
  <si>
    <r>
      <rPr>
        <sz val="10"/>
        <rFont val="Arial Unicode MS"/>
        <family val="2"/>
      </rPr>
      <t>91</t>
    </r>
  </si>
  <si>
    <r>
      <rPr>
        <sz val="10"/>
        <rFont val="Arial Unicode MS"/>
        <family val="2"/>
      </rPr>
      <t>1048061-Trung tâm y tẽ huyện Ngọc lồi</t>
    </r>
  </si>
  <si>
    <r>
      <rPr>
        <sz val="10"/>
        <rFont val="Arial Unicode MS"/>
        <family val="2"/>
      </rPr>
      <t>91.1</t>
    </r>
  </si>
  <si>
    <r>
      <rPr>
        <sz val="10"/>
        <rFont val="Arial Unicode MS"/>
        <family val="2"/>
      </rPr>
      <t>376</t>
    </r>
  </si>
  <si>
    <r>
      <rPr>
        <sz val="10"/>
        <rFont val="Arial Unicode MS"/>
        <family val="2"/>
      </rPr>
      <t>91.2</t>
    </r>
  </si>
  <si>
    <r>
      <rPr>
        <sz val="10"/>
        <rFont val="Arial Unicode MS"/>
        <family val="2"/>
      </rPr>
      <t>92</t>
    </r>
  </si>
  <si>
    <r>
      <rPr>
        <sz val="10"/>
        <rFont val="Arial Unicode MS"/>
        <family val="2"/>
      </rPr>
      <t>1048063-SỜ Giao thông Vận tải Tỉnh Kon Tum</t>
    </r>
  </si>
  <si>
    <r>
      <rPr>
        <sz val="10"/>
        <rFont val="Arial Unicode MS"/>
        <family val="2"/>
      </rPr>
      <t>92.1</t>
    </r>
  </si>
  <si>
    <r>
      <rPr>
        <sz val="10"/>
        <rFont val="Arial Unicode MS"/>
        <family val="2"/>
      </rPr>
      <t>93</t>
    </r>
  </si>
  <si>
    <r>
      <rPr>
        <sz val="10"/>
        <rFont val="Arial Unicode MS"/>
        <family val="2"/>
      </rPr>
      <t>1048179-Ban an toàn Giao thông</t>
    </r>
  </si>
  <si>
    <r>
      <rPr>
        <sz val="10"/>
        <rFont val="Arial Unicode MS"/>
        <family val="2"/>
      </rPr>
      <t>93.1</t>
    </r>
  </si>
  <si>
    <r>
      <rPr>
        <sz val="10"/>
        <rFont val="Arial Unicode MS"/>
        <family val="2"/>
      </rPr>
      <t>94</t>
    </r>
  </si>
  <si>
    <r>
      <rPr>
        <sz val="10"/>
        <rFont val="Arial Unicode MS"/>
        <family val="2"/>
      </rPr>
      <t>1048180-SỜ Xây dựng</t>
    </r>
  </si>
  <si>
    <r>
      <rPr>
        <sz val="10"/>
        <rFont val="Arial Unicode MS"/>
        <family val="2"/>
      </rPr>
      <t>94.1</t>
    </r>
  </si>
  <si>
    <r>
      <rPr>
        <sz val="10"/>
        <rFont val="Arial Unicode MS"/>
        <family val="2"/>
      </rPr>
      <t>419</t>
    </r>
  </si>
  <si>
    <r>
      <rPr>
        <sz val="10"/>
        <rFont val="Arial Unicode MS"/>
        <family val="2"/>
      </rPr>
      <t>189</t>
    </r>
  </si>
  <si>
    <r>
      <rPr>
        <sz val="10"/>
        <rFont val="Arial Unicode MS"/>
        <family val="2"/>
      </rPr>
      <t>95</t>
    </r>
  </si>
  <si>
    <r>
      <rPr>
        <sz val="10"/>
        <rFont val="Arial Unicode MS"/>
        <family val="2"/>
      </rPr>
      <t>1048181-Hội Liên hiệp Phụ nữ tỉnh &lt;ontum</t>
    </r>
  </si>
  <si>
    <r>
      <rPr>
        <sz val="10"/>
        <rFont val="Arial Unicode MS"/>
        <family val="2"/>
      </rPr>
      <t>95.1</t>
    </r>
  </si>
  <si>
    <r>
      <rPr>
        <sz val="10"/>
        <rFont val="Arial Unicode MS"/>
        <family val="2"/>
      </rPr>
      <t>512</t>
    </r>
  </si>
  <si>
    <r>
      <rPr>
        <sz val="10"/>
        <rFont val="Arial Unicode MS"/>
        <family val="2"/>
      </rPr>
      <t>96</t>
    </r>
  </si>
  <si>
    <r>
      <rPr>
        <sz val="10"/>
        <rFont val="Arial Unicode MS"/>
        <family val="2"/>
      </rPr>
      <t>1048182-Văn phòng sờ Công Thương ■ tỉnh Kontum</t>
    </r>
  </si>
  <si>
    <r>
      <rPr>
        <sz val="10"/>
        <rFont val="Arial Unicode MS"/>
        <family val="2"/>
      </rPr>
      <t>96.1</t>
    </r>
  </si>
  <si>
    <r>
      <rPr>
        <sz val="10"/>
        <rFont val="Arial Unicode MS"/>
        <family val="2"/>
      </rPr>
      <t>97</t>
    </r>
  </si>
  <si>
    <r>
      <rPr>
        <sz val="10"/>
        <rFont val="Arial Unicode MS"/>
        <family val="2"/>
      </rPr>
      <t>1048277-Liên minh Hợp tác xã tỉnh &lt;on Tum</t>
    </r>
  </si>
  <si>
    <r>
      <rPr>
        <sz val="10"/>
        <rFont val="Arial Unicode MS"/>
        <family val="2"/>
      </rPr>
      <t>97.1</t>
    </r>
  </si>
  <si>
    <r>
      <rPr>
        <sz val="10"/>
        <rFont val="Arial Unicode MS"/>
        <family val="2"/>
      </rPr>
      <t>448</t>
    </r>
  </si>
  <si>
    <r>
      <rPr>
        <sz val="10"/>
        <rFont val="Arial Unicode MS"/>
        <family val="2"/>
      </rPr>
      <t>98</t>
    </r>
  </si>
  <si>
    <r>
      <rPr>
        <sz val="10"/>
        <rFont val="Arial Unicode MS"/>
        <family val="2"/>
      </rPr>
      <t>1048278-Uỷ ban Mặt trận Tồ quốc Việt nam tỉnh Kontum</t>
    </r>
  </si>
  <si>
    <r>
      <rPr>
        <sz val="10"/>
        <rFont val="Arial Unicode MS"/>
        <family val="2"/>
      </rPr>
      <t>98.1</t>
    </r>
  </si>
  <si>
    <r>
      <rPr>
        <sz val="10"/>
        <rFont val="Arial Unicode MS"/>
        <family val="2"/>
      </rPr>
      <t>510</t>
    </r>
  </si>
  <si>
    <r>
      <rPr>
        <sz val="10"/>
        <rFont val="Arial Unicode MS"/>
        <family val="2"/>
      </rPr>
      <t>99</t>
    </r>
  </si>
  <si>
    <r>
      <rPr>
        <sz val="10"/>
        <rFont val="Arial Unicode MS"/>
        <family val="2"/>
      </rPr>
      <t>1048279-Thanh tra tỉnh</t>
    </r>
  </si>
  <si>
    <r>
      <rPr>
        <sz val="10"/>
        <rFont val="Arial Unicode MS"/>
        <family val="2"/>
      </rPr>
      <t>99.1</t>
    </r>
  </si>
  <si>
    <r>
      <rPr>
        <sz val="10"/>
        <rFont val="Arial Unicode MS"/>
        <family val="2"/>
      </rPr>
      <t>437</t>
    </r>
  </si>
  <si>
    <r>
      <rPr>
        <sz val="10"/>
        <rFont val="Arial Unicode MS"/>
        <family val="2"/>
      </rPr>
      <t>100</t>
    </r>
  </si>
  <si>
    <r>
      <rPr>
        <sz val="10"/>
        <rFont val="Arial Unicode MS"/>
        <family val="2"/>
      </rPr>
      <t>1049264-Trường Cao đẳng cộng đồng Kon Tum</t>
    </r>
  </si>
  <si>
    <r>
      <rPr>
        <sz val="10"/>
        <rFont val="Arial Unicode MS"/>
        <family val="2"/>
      </rPr>
      <t>100.1</t>
    </r>
  </si>
  <si>
    <r>
      <rPr>
        <sz val="10"/>
        <rFont val="Arial Unicode MS"/>
        <family val="2"/>
      </rPr>
      <t>100.2</t>
    </r>
  </si>
  <si>
    <r>
      <rPr>
        <sz val="10"/>
        <rFont val="Arial Unicode MS"/>
        <family val="2"/>
      </rPr>
      <t>101</t>
    </r>
  </si>
  <si>
    <r>
      <rPr>
        <sz val="10"/>
        <rFont val="Arial Unicode MS"/>
        <family val="2"/>
      </rPr>
      <t>1049265-Trường PT TH Dân tộc Nội trú huyện Sa thăy</t>
    </r>
  </si>
  <si>
    <r>
      <rPr>
        <sz val="10"/>
        <rFont val="Arial Unicode MS"/>
        <family val="2"/>
      </rPr>
      <t>101.1</t>
    </r>
  </si>
  <si>
    <r>
      <rPr>
        <sz val="10"/>
        <rFont val="Arial Unicode MS"/>
        <family val="2"/>
      </rPr>
      <t>102</t>
    </r>
  </si>
  <si>
    <r>
      <rPr>
        <sz val="10"/>
        <rFont val="Arial Unicode MS"/>
        <family val="2"/>
      </rPr>
      <t>1049266-Trường PhS thông Dân tộc nội trú tỉnh Kontum</t>
    </r>
  </si>
  <si>
    <r>
      <rPr>
        <sz val="10"/>
        <rFont val="Arial Unicode MS"/>
        <family val="2"/>
      </rPr>
      <t>102.1</t>
    </r>
  </si>
  <si>
    <r>
      <rPr>
        <sz val="10"/>
        <rFont val="Arial Unicode MS"/>
        <family val="2"/>
      </rPr>
      <t>103</t>
    </r>
  </si>
  <si>
    <r>
      <rPr>
        <sz val="10"/>
        <rFont val="Arial Unicode MS"/>
        <family val="2"/>
      </rPr>
      <t>1049271-SỜ Tài nguyên và Môi trường tỉnh Kontum</t>
    </r>
  </si>
  <si>
    <r>
      <rPr>
        <sz val="10"/>
        <rFont val="Arial Unicode MS"/>
        <family val="2"/>
      </rPr>
      <t>103.1</t>
    </r>
  </si>
  <si>
    <r>
      <rPr>
        <sz val="10"/>
        <rFont val="Arial Unicode MS"/>
        <family val="2"/>
      </rPr>
      <t>309</t>
    </r>
  </si>
  <si>
    <r>
      <rPr>
        <sz val="10"/>
        <rFont val="Arial Unicode MS"/>
        <family val="2"/>
      </rPr>
      <t>104</t>
    </r>
  </si>
  <si>
    <r>
      <rPr>
        <sz val="10"/>
        <rFont val="Arial Unicode MS"/>
        <family val="2"/>
      </rPr>
      <t>1049800-Trường PhS thông Trung học Kontum</t>
    </r>
  </si>
  <si>
    <r>
      <rPr>
        <sz val="10"/>
        <rFont val="Arial Unicode MS"/>
        <family val="2"/>
      </rPr>
      <t>104.1</t>
    </r>
  </si>
  <si>
    <r>
      <rPr>
        <sz val="10"/>
        <rFont val="Arial Unicode MS"/>
        <family val="2"/>
      </rPr>
      <t>105</t>
    </r>
  </si>
  <si>
    <r>
      <rPr>
        <sz val="10"/>
        <rFont val="Arial Unicode MS"/>
        <family val="2"/>
      </rPr>
      <t>1050582-Chi cục Phát triển Nông thôn</t>
    </r>
  </si>
  <si>
    <r>
      <rPr>
        <sz val="10"/>
        <rFont val="Arial Unicode MS"/>
        <family val="2"/>
      </rPr>
      <t>105.1</t>
    </r>
  </si>
  <si>
    <r>
      <rPr>
        <sz val="10"/>
        <rFont val="Arial Unicode MS"/>
        <family val="2"/>
      </rPr>
      <t>105.2</t>
    </r>
  </si>
  <si>
    <r>
      <rPr>
        <sz val="10"/>
        <rFont val="Arial Unicode MS"/>
        <family val="2"/>
      </rPr>
      <t>106</t>
    </r>
  </si>
  <si>
    <r>
      <rPr>
        <sz val="10"/>
        <rFont val="Arial Unicode MS"/>
        <family val="2"/>
      </rPr>
      <t>1050718-Trung Tâm TruyỄn thông -Giáo dục Sức khoè</t>
    </r>
  </si>
  <si>
    <r>
      <rPr>
        <sz val="10"/>
        <rFont val="Arial Unicode MS"/>
        <family val="2"/>
      </rPr>
      <t>106.1</t>
    </r>
  </si>
  <si>
    <r>
      <rPr>
        <sz val="10"/>
        <rFont val="Arial Unicode MS"/>
        <family val="2"/>
      </rPr>
      <t>106.2</t>
    </r>
  </si>
  <si>
    <r>
      <rPr>
        <sz val="10"/>
        <rFont val="Arial Unicode MS"/>
        <family val="2"/>
      </rPr>
      <t>107</t>
    </r>
  </si>
  <si>
    <r>
      <rPr>
        <sz val="10"/>
        <rFont val="Arial Unicode MS"/>
        <family val="2"/>
      </rPr>
      <t>1050722-Hạt Kiểm lâm huyện Kon Rầy</t>
    </r>
  </si>
  <si>
    <r>
      <rPr>
        <sz val="10"/>
        <rFont val="Arial Unicode MS"/>
        <family val="2"/>
      </rPr>
      <t>107.1</t>
    </r>
  </si>
  <si>
    <r>
      <rPr>
        <sz val="10"/>
        <rFont val="Arial Unicode MS"/>
        <family val="2"/>
      </rPr>
      <t>108</t>
    </r>
  </si>
  <si>
    <r>
      <rPr>
        <sz val="10"/>
        <rFont val="Arial Unicode MS"/>
        <family val="2"/>
      </rPr>
      <t>1050724-Trường Trung cãp NghỄ</t>
    </r>
  </si>
  <si>
    <r>
      <rPr>
        <sz val="10"/>
        <rFont val="Arial Unicode MS"/>
        <family val="2"/>
      </rPr>
      <t>108.1</t>
    </r>
  </si>
  <si>
    <r>
      <rPr>
        <sz val="10"/>
        <rFont val="Arial Unicode MS"/>
        <family val="2"/>
      </rPr>
      <t>108.2</t>
    </r>
  </si>
  <si>
    <r>
      <rPr>
        <sz val="10"/>
        <rFont val="Arial Unicode MS"/>
        <family val="2"/>
      </rPr>
      <t>109</t>
    </r>
  </si>
  <si>
    <r>
      <rPr>
        <sz val="10"/>
        <rFont val="Arial Unicode MS"/>
        <family val="2"/>
      </rPr>
      <t>1050726-Trung tâm Y tẽ huyện Kon Rẫy</t>
    </r>
  </si>
  <si>
    <r>
      <rPr>
        <sz val="10"/>
        <rFont val="Arial Unicode MS"/>
        <family val="2"/>
      </rPr>
      <t>109.1</t>
    </r>
  </si>
  <si>
    <r>
      <rPr>
        <sz val="10"/>
        <rFont val="Arial Unicode MS"/>
        <family val="2"/>
      </rPr>
      <t>109.2</t>
    </r>
  </si>
  <si>
    <r>
      <rPr>
        <sz val="10"/>
        <rFont val="Arial Unicode MS"/>
        <family val="2"/>
      </rPr>
      <t>110</t>
    </r>
  </si>
  <si>
    <r>
      <rPr>
        <sz val="10"/>
        <rFont val="Arial Unicode MS"/>
        <family val="2"/>
      </rPr>
      <t>1053629-BỘ Công An</t>
    </r>
  </si>
  <si>
    <r>
      <rPr>
        <sz val="10"/>
        <rFont val="Arial Unicode MS"/>
        <family val="2"/>
      </rPr>
      <t>110.1</t>
    </r>
  </si>
  <si>
    <r>
      <rPr>
        <sz val="10"/>
        <rFont val="Arial Unicode MS"/>
        <family val="2"/>
      </rPr>
      <t>560</t>
    </r>
  </si>
  <si>
    <r>
      <rPr>
        <sz val="10"/>
        <rFont val="Arial Unicode MS"/>
        <family val="2"/>
      </rPr>
      <t>471</t>
    </r>
  </si>
  <si>
    <r>
      <rPr>
        <sz val="10"/>
        <rFont val="Arial Unicode MS"/>
        <family val="2"/>
      </rPr>
      <t>110.2</t>
    </r>
  </si>
  <si>
    <r>
      <rPr>
        <sz val="10"/>
        <rFont val="Arial Unicode MS"/>
        <family val="2"/>
      </rPr>
      <t>111</t>
    </r>
  </si>
  <si>
    <r>
      <rPr>
        <sz val="10"/>
        <rFont val="Arial Unicode MS"/>
        <family val="2"/>
      </rPr>
      <t>1053630-BỘ Quốc phòng</t>
    </r>
  </si>
  <si>
    <r>
      <rPr>
        <sz val="10"/>
        <rFont val="Arial Unicode MS"/>
        <family val="2"/>
      </rPr>
      <t>111.1</t>
    </r>
  </si>
  <si>
    <r>
      <rPr>
        <sz val="10"/>
        <rFont val="Arial Unicode MS"/>
        <family val="2"/>
      </rPr>
      <t>468</t>
    </r>
  </si>
  <si>
    <r>
      <rPr>
        <sz val="10"/>
        <rFont val="Arial Unicode MS"/>
        <family val="2"/>
      </rPr>
      <t>112</t>
    </r>
  </si>
  <si>
    <r>
      <rPr>
        <sz val="10"/>
        <rFont val="Arial Unicode MS"/>
        <family val="2"/>
      </rPr>
      <t>1058267-Trường Chính tri tỉnh Kontum</t>
    </r>
  </si>
  <si>
    <r>
      <rPr>
        <sz val="10"/>
        <rFont val="Arial Unicode MS"/>
        <family val="2"/>
      </rPr>
      <t>112.1</t>
    </r>
  </si>
  <si>
    <r>
      <rPr>
        <sz val="10"/>
        <rFont val="Arial Unicode MS"/>
        <family val="2"/>
      </rPr>
      <t>113</t>
    </r>
  </si>
  <si>
    <r>
      <rPr>
        <sz val="10"/>
        <rFont val="Arial Unicode MS"/>
        <family val="2"/>
      </rPr>
      <t>1058269-SỜ Khoa học và Công nghệ :ỉnh Kontum</t>
    </r>
  </si>
  <si>
    <r>
      <rPr>
        <sz val="10"/>
        <rFont val="Arial Unicode MS"/>
        <family val="2"/>
      </rPr>
      <t>113.1</t>
    </r>
  </si>
  <si>
    <r>
      <rPr>
        <sz val="10"/>
        <rFont val="Arial Unicode MS"/>
        <family val="2"/>
      </rPr>
      <t>417</t>
    </r>
  </si>
  <si>
    <r>
      <rPr>
        <sz val="10"/>
        <rFont val="Arial Unicode MS"/>
        <family val="2"/>
      </rPr>
      <t>114</t>
    </r>
  </si>
  <si>
    <r>
      <rPr>
        <sz val="10"/>
        <rFont val="Arial Unicode MS"/>
        <family val="2"/>
      </rPr>
      <t>1060648-BQL Rừng phòng hộ Đăk Long</t>
    </r>
  </si>
  <si>
    <r>
      <rPr>
        <sz val="10"/>
        <rFont val="Arial Unicode MS"/>
        <family val="2"/>
      </rPr>
      <t>114.1</t>
    </r>
  </si>
  <si>
    <r>
      <rPr>
        <sz val="10"/>
        <rFont val="Arial Unicode MS"/>
        <family val="2"/>
      </rPr>
      <t>114.2</t>
    </r>
  </si>
  <si>
    <r>
      <rPr>
        <sz val="10"/>
        <rFont val="Arial Unicode MS"/>
        <family val="2"/>
      </rPr>
      <t>115</t>
    </r>
  </si>
  <si>
    <r>
      <rPr>
        <sz val="10"/>
        <rFont val="Arial Unicode MS"/>
        <family val="2"/>
      </rPr>
      <t>1060884-Trung Tâm Khuyẽn Công -Xúc tiễn thương mại và Tư vãn công nghiệp tỉnh Kon Tum</t>
    </r>
  </si>
  <si>
    <r>
      <rPr>
        <sz val="10"/>
        <rFont val="Arial Unicode MS"/>
        <family val="2"/>
      </rPr>
      <t>115.1</t>
    </r>
  </si>
  <si>
    <r>
      <rPr>
        <sz val="10"/>
        <rFont val="Arial Unicode MS"/>
        <family val="2"/>
      </rPr>
      <t>116</t>
    </r>
  </si>
  <si>
    <r>
      <rPr>
        <sz val="10"/>
        <rFont val="Arial Unicode MS"/>
        <family val="2"/>
      </rPr>
      <t>1061580-Trường Dân tộc Nội trú Đakglei</t>
    </r>
  </si>
  <si>
    <r>
      <rPr>
        <sz val="10"/>
        <rFont val="Arial Unicode MS"/>
        <family val="2"/>
      </rPr>
      <t>116.1</t>
    </r>
  </si>
  <si>
    <r>
      <rPr>
        <sz val="10"/>
        <rFont val="Arial Unicode MS"/>
        <family val="2"/>
      </rPr>
      <t>117</t>
    </r>
  </si>
  <si>
    <r>
      <rPr>
        <sz val="10"/>
        <rFont val="Arial Unicode MS"/>
        <family val="2"/>
      </rPr>
      <t>1063790-Ban Quản lý Rừng phòng hộ Đăk Ang</t>
    </r>
  </si>
  <si>
    <r>
      <rPr>
        <sz val="10"/>
        <rFont val="Arial Unicode MS"/>
        <family val="2"/>
      </rPr>
      <t>117.1</t>
    </r>
  </si>
  <si>
    <r>
      <rPr>
        <sz val="10"/>
        <rFont val="Arial Unicode MS"/>
        <family val="2"/>
      </rPr>
      <t>117.2</t>
    </r>
  </si>
  <si>
    <r>
      <rPr>
        <sz val="10"/>
        <rFont val="Arial Unicode MS"/>
        <family val="2"/>
      </rPr>
      <t>118</t>
    </r>
  </si>
  <si>
    <r>
      <rPr>
        <sz val="10"/>
        <rFont val="Arial Unicode MS"/>
        <family val="2"/>
      </rPr>
      <t>1063795-SỜ Thông tin và TruyỄn rhông</t>
    </r>
  </si>
  <si>
    <r>
      <rPr>
        <sz val="10"/>
        <rFont val="Arial Unicode MS"/>
        <family val="2"/>
      </rPr>
      <t>118.1</t>
    </r>
  </si>
  <si>
    <r>
      <rPr>
        <sz val="10"/>
        <rFont val="Arial Unicode MS"/>
        <family val="2"/>
      </rPr>
      <t>427</t>
    </r>
  </si>
  <si>
    <r>
      <rPr>
        <sz val="10"/>
        <rFont val="Arial Unicode MS"/>
        <family val="2"/>
      </rPr>
      <t>251</t>
    </r>
  </si>
  <si>
    <r>
      <rPr>
        <sz val="10"/>
        <rFont val="Arial Unicode MS"/>
        <family val="2"/>
      </rPr>
      <t>254</t>
    </r>
  </si>
  <si>
    <r>
      <rPr>
        <sz val="10"/>
        <rFont val="Arial Unicode MS"/>
        <family val="2"/>
      </rPr>
      <t>255</t>
    </r>
  </si>
  <si>
    <r>
      <rPr>
        <sz val="10"/>
        <rFont val="Arial Unicode MS"/>
        <family val="2"/>
      </rPr>
      <t>373</t>
    </r>
  </si>
  <si>
    <r>
      <rPr>
        <sz val="10"/>
        <rFont val="Arial Unicode MS"/>
        <family val="2"/>
      </rPr>
      <t>118.2</t>
    </r>
  </si>
  <si>
    <r>
      <rPr>
        <sz val="10"/>
        <rFont val="Arial Unicode MS"/>
        <family val="2"/>
      </rPr>
      <t>119</t>
    </r>
  </si>
  <si>
    <r>
      <rPr>
        <sz val="10"/>
        <rFont val="Arial Unicode MS"/>
        <family val="2"/>
      </rPr>
      <t>1063796-Trung Tâm Y tẽ huyện Tu \/lơ Rông</t>
    </r>
  </si>
  <si>
    <r>
      <rPr>
        <sz val="10"/>
        <rFont val="Arial Unicode MS"/>
        <family val="2"/>
      </rPr>
      <t>119.1</t>
    </r>
  </si>
  <si>
    <r>
      <rPr>
        <sz val="10"/>
        <rFont val="Arial Unicode MS"/>
        <family val="2"/>
      </rPr>
      <t>119.2</t>
    </r>
  </si>
  <si>
    <r>
      <rPr>
        <sz val="10"/>
        <rFont val="Arial Unicode MS"/>
        <family val="2"/>
      </rPr>
      <t>120</t>
    </r>
  </si>
  <si>
    <r>
      <rPr>
        <sz val="10"/>
        <rFont val="Arial Unicode MS"/>
        <family val="2"/>
      </rPr>
      <t>1063797-Hạt Kiểm lâm huyện Tu Mơ Rông</t>
    </r>
  </si>
  <si>
    <r>
      <rPr>
        <sz val="10"/>
        <rFont val="Arial Unicode MS"/>
        <family val="2"/>
      </rPr>
      <t>120.1</t>
    </r>
  </si>
  <si>
    <r>
      <rPr>
        <sz val="10"/>
        <rFont val="Arial Unicode MS"/>
        <family val="2"/>
      </rPr>
      <t>121</t>
    </r>
  </si>
  <si>
    <r>
      <rPr>
        <sz val="10"/>
        <rFont val="Arial Unicode MS"/>
        <family val="2"/>
      </rPr>
      <t>1063798-Trường Trung học PhS thông Nguyễn Trãi - huyện Ngọc Hồi</t>
    </r>
  </si>
  <si>
    <r>
      <rPr>
        <sz val="10"/>
        <rFont val="Arial Unicode MS"/>
        <family val="2"/>
      </rPr>
      <t>121.1</t>
    </r>
  </si>
  <si>
    <r>
      <rPr>
        <sz val="10"/>
        <rFont val="Arial Unicode MS"/>
        <family val="2"/>
      </rPr>
      <t>122</t>
    </r>
  </si>
  <si>
    <r>
      <rPr>
        <sz val="10"/>
        <rFont val="Arial Unicode MS"/>
        <family val="2"/>
      </rPr>
      <t>1064680-SỜ Tư Pháp</t>
    </r>
  </si>
  <si>
    <r>
      <rPr>
        <sz val="10"/>
        <rFont val="Arial Unicode MS"/>
        <family val="2"/>
      </rPr>
      <t>122.1</t>
    </r>
  </si>
  <si>
    <r>
      <rPr>
        <sz val="10"/>
        <rFont val="Arial Unicode MS"/>
        <family val="2"/>
      </rPr>
      <t>123</t>
    </r>
  </si>
  <si>
    <r>
      <rPr>
        <sz val="10"/>
        <rFont val="Arial Unicode MS"/>
        <family val="2"/>
      </rPr>
      <t>1065149-Trung Tâm ứng dụng Tiẽn JỘ Khoa Học và Công nghệ Kon Tum</t>
    </r>
  </si>
  <si>
    <r>
      <rPr>
        <sz val="10"/>
        <rFont val="Arial Unicode MS"/>
        <family val="2"/>
      </rPr>
      <t>123.1</t>
    </r>
  </si>
  <si>
    <r>
      <rPr>
        <sz val="10"/>
        <rFont val="Arial Unicode MS"/>
        <family val="2"/>
      </rPr>
      <t>124</t>
    </r>
  </si>
  <si>
    <r>
      <rPr>
        <sz val="10"/>
        <rFont val="Arial Unicode MS"/>
        <family val="2"/>
      </rPr>
      <t>1065150-Chi cục Tiêu chuẫn Đo lường Chăt lượng</t>
    </r>
  </si>
  <si>
    <r>
      <rPr>
        <sz val="10"/>
        <rFont val="Arial Unicode MS"/>
        <family val="2"/>
      </rPr>
      <t>124.1</t>
    </r>
  </si>
  <si>
    <r>
      <rPr>
        <sz val="10"/>
        <rFont val="Arial Unicode MS"/>
        <family val="2"/>
      </rPr>
      <t>125</t>
    </r>
  </si>
  <si>
    <r>
      <rPr>
        <sz val="10"/>
        <rFont val="Arial Unicode MS"/>
        <family val="2"/>
      </rPr>
      <t>1065152-SỜ Tài chính tỉnh Kontum</t>
    </r>
  </si>
  <si>
    <r>
      <rPr>
        <sz val="10"/>
        <rFont val="Arial Unicode MS"/>
        <family val="2"/>
      </rPr>
      <t>125.1</t>
    </r>
  </si>
  <si>
    <r>
      <rPr>
        <sz val="10"/>
        <rFont val="Arial Unicode MS"/>
        <family val="2"/>
      </rPr>
      <t>418</t>
    </r>
  </si>
  <si>
    <r>
      <rPr>
        <sz val="10"/>
        <rFont val="Arial Unicode MS"/>
        <family val="2"/>
      </rPr>
      <t>126</t>
    </r>
  </si>
  <si>
    <r>
      <rPr>
        <sz val="10"/>
        <rFont val="Arial Unicode MS"/>
        <family val="2"/>
      </rPr>
      <t>1067980-Trường Trung học PhS thông Lê Lợi</t>
    </r>
  </si>
  <si>
    <r>
      <rPr>
        <sz val="10"/>
        <rFont val="Arial Unicode MS"/>
        <family val="2"/>
      </rPr>
      <t>126.1</t>
    </r>
  </si>
  <si>
    <r>
      <rPr>
        <sz val="10"/>
        <rFont val="Arial Unicode MS"/>
        <family val="2"/>
      </rPr>
      <t>127</t>
    </r>
  </si>
  <si>
    <r>
      <rPr>
        <sz val="10"/>
        <rFont val="Arial Unicode MS"/>
        <family val="2"/>
      </rPr>
      <t>1068011-Chi cục Kiểm lâm tỉnh Kon Tum</t>
    </r>
  </si>
  <si>
    <r>
      <rPr>
        <sz val="10"/>
        <rFont val="Arial Unicode MS"/>
        <family val="2"/>
      </rPr>
      <t>127.1</t>
    </r>
  </si>
  <si>
    <r>
      <rPr>
        <sz val="10"/>
        <rFont val="Arial Unicode MS"/>
        <family val="2"/>
      </rPr>
      <t>128</t>
    </r>
  </si>
  <si>
    <r>
      <rPr>
        <sz val="10"/>
        <rFont val="Arial Unicode MS"/>
        <family val="2"/>
      </rPr>
      <t>1078282-Hội nạn nhân chăt độc Da cam - Điôxin Kontum</t>
    </r>
  </si>
  <si>
    <r>
      <rPr>
        <sz val="10"/>
        <rFont val="Arial Unicode MS"/>
        <family val="2"/>
      </rPr>
      <t>128.1</t>
    </r>
  </si>
  <si>
    <r>
      <rPr>
        <sz val="10"/>
        <rFont val="Arial Unicode MS"/>
        <family val="2"/>
      </rPr>
      <t>536</t>
    </r>
  </si>
  <si>
    <r>
      <rPr>
        <sz val="10"/>
        <rFont val="Arial Unicode MS"/>
        <family val="2"/>
      </rPr>
      <t>129</t>
    </r>
  </si>
  <si>
    <r>
      <rPr>
        <sz val="10"/>
        <rFont val="Arial Unicode MS"/>
        <family val="2"/>
      </rPr>
      <t>1078283-Nhà khách Hữu nghị Kontum</t>
    </r>
  </si>
  <si>
    <r>
      <rPr>
        <sz val="10"/>
        <rFont val="Arial Unicode MS"/>
        <family val="2"/>
      </rPr>
      <t>129.1</t>
    </r>
  </si>
  <si>
    <r>
      <rPr>
        <sz val="10"/>
        <rFont val="Arial Unicode MS"/>
        <family val="2"/>
      </rPr>
      <t>311</t>
    </r>
  </si>
  <si>
    <r>
      <rPr>
        <sz val="10"/>
        <rFont val="Arial Unicode MS"/>
        <family val="2"/>
      </rPr>
      <t>130</t>
    </r>
  </si>
  <si>
    <r>
      <rPr>
        <sz val="10"/>
        <rFont val="Arial Unicode MS"/>
        <family val="2"/>
      </rPr>
      <t>1078438-Văn phòng đăng ký đãt đai tỉnh Kon Tum</t>
    </r>
  </si>
  <si>
    <r>
      <rPr>
        <sz val="10"/>
        <rFont val="Arial Unicode MS"/>
        <family val="2"/>
      </rPr>
      <t>130.1</t>
    </r>
  </si>
  <si>
    <r>
      <rPr>
        <sz val="10"/>
        <rFont val="Arial Unicode MS"/>
        <family val="2"/>
      </rPr>
      <t>131</t>
    </r>
  </si>
  <si>
    <r>
      <rPr>
        <sz val="10"/>
        <rFont val="Arial Unicode MS"/>
        <family val="2"/>
      </rPr>
      <t>1078439-Trung tâm Phát triển Quỹđãt</t>
    </r>
  </si>
  <si>
    <r>
      <rPr>
        <sz val="10"/>
        <rFont val="Arial Unicode MS"/>
        <family val="2"/>
      </rPr>
      <t>131.1</t>
    </r>
  </si>
  <si>
    <r>
      <rPr>
        <sz val="10"/>
        <rFont val="Arial Unicode MS"/>
        <family val="2"/>
      </rPr>
      <t>132</t>
    </r>
  </si>
  <si>
    <r>
      <rPr>
        <sz val="10"/>
        <rFont val="Arial Unicode MS"/>
        <family val="2"/>
      </rPr>
      <t>1081016-Trường Trung học PhS thông Sa Thăy</t>
    </r>
  </si>
  <si>
    <r>
      <rPr>
        <sz val="10"/>
        <rFont val="Arial Unicode MS"/>
        <family val="2"/>
      </rPr>
      <t>132.1</t>
    </r>
  </si>
  <si>
    <r>
      <rPr>
        <sz val="10"/>
        <rFont val="Arial Unicode MS"/>
        <family val="2"/>
      </rPr>
      <t>133</t>
    </r>
  </si>
  <si>
    <r>
      <rPr>
        <sz val="10"/>
        <rFont val="Arial Unicode MS"/>
        <family val="2"/>
      </rPr>
      <t>1081017-Chi cục Dân sổ - Kẽ hoạch lóa Gia đinh - tỉnh Kontum</t>
    </r>
  </si>
  <si>
    <r>
      <rPr>
        <sz val="10"/>
        <rFont val="Arial Unicode MS"/>
        <family val="2"/>
      </rPr>
      <t>133.1</t>
    </r>
  </si>
  <si>
    <r>
      <rPr>
        <sz val="10"/>
        <rFont val="Arial Unicode MS"/>
        <family val="2"/>
      </rPr>
      <t>133.2</t>
    </r>
  </si>
  <si>
    <r>
      <rPr>
        <sz val="10"/>
        <rFont val="Arial Unicode MS"/>
        <family val="2"/>
      </rPr>
      <t>134</t>
    </r>
  </si>
  <si>
    <r>
      <rPr>
        <sz val="10"/>
        <rFont val="Arial Unicode MS"/>
        <family val="2"/>
      </rPr>
      <t>1082133-Trường Trung học PhS thông Chu Văn An huyện Kon Rẫy tỉnh Kon Tum</t>
    </r>
  </si>
  <si>
    <r>
      <rPr>
        <sz val="10"/>
        <rFont val="Arial Unicode MS"/>
        <family val="2"/>
      </rPr>
      <t>134.1</t>
    </r>
  </si>
  <si>
    <r>
      <rPr>
        <sz val="10"/>
        <rFont val="Arial Unicode MS"/>
        <family val="2"/>
      </rPr>
      <t>135</t>
    </r>
  </si>
  <si>
    <r>
      <rPr>
        <sz val="10"/>
        <rFont val="Arial Unicode MS"/>
        <family val="2"/>
      </rPr>
      <t>1082134-Trường Trung học PhS thông Lương Thẽ Vinh - huyện Đăk Glei tỉnh Kontum</t>
    </r>
  </si>
  <si>
    <r>
      <rPr>
        <sz val="10"/>
        <rFont val="Arial Unicode MS"/>
        <family val="2"/>
      </rPr>
      <t>135.1</t>
    </r>
  </si>
  <si>
    <r>
      <rPr>
        <sz val="10"/>
        <rFont val="Arial Unicode MS"/>
        <family val="2"/>
      </rPr>
      <t>136</t>
    </r>
  </si>
  <si>
    <r>
      <rPr>
        <sz val="10"/>
        <rFont val="Arial Unicode MS"/>
        <family val="2"/>
      </rPr>
      <t>1082143-Đội Kiềm lâm cơ động -</t>
    </r>
    <r>
      <rPr>
        <vertAlign val="superscript"/>
        <sz val="10"/>
        <rFont val="Arial Unicode MS"/>
        <family val="2"/>
      </rPr>
      <t>3</t>
    </r>
    <r>
      <rPr>
        <sz val="10"/>
        <rFont val="Arial Unicode MS"/>
        <family val="2"/>
      </rPr>
      <t>CCCRs61</t>
    </r>
  </si>
  <si>
    <r>
      <rPr>
        <sz val="10"/>
        <rFont val="Arial Unicode MS"/>
        <family val="2"/>
      </rPr>
      <t>136.1</t>
    </r>
  </si>
  <si>
    <r>
      <rPr>
        <sz val="10"/>
        <rFont val="Arial Unicode MS"/>
        <family val="2"/>
      </rPr>
      <t>137</t>
    </r>
  </si>
  <si>
    <r>
      <rPr>
        <sz val="10"/>
        <rFont val="Arial Unicode MS"/>
        <family val="2"/>
      </rPr>
      <t>1082144-Đội Kiểm lâm Cơ động --’CCCR số 2</t>
    </r>
  </si>
  <si>
    <r>
      <rPr>
        <sz val="10"/>
        <rFont val="Arial Unicode MS"/>
        <family val="2"/>
      </rPr>
      <t>137.1</t>
    </r>
  </si>
  <si>
    <r>
      <rPr>
        <sz val="10"/>
        <rFont val="Arial Unicode MS"/>
        <family val="2"/>
      </rPr>
      <t>138</t>
    </r>
  </si>
  <si>
    <r>
      <rPr>
        <sz val="10"/>
        <rFont val="Arial Unicode MS"/>
        <family val="2"/>
      </rPr>
      <t xml:space="preserve">1082145-Đội Kiềm lâm Cơ động &amp; </t>
    </r>
    <r>
      <rPr>
        <vertAlign val="superscript"/>
        <sz val="10"/>
        <rFont val="Arial Unicode MS"/>
        <family val="2"/>
      </rPr>
      <t>3</t>
    </r>
    <r>
      <rPr>
        <sz val="10"/>
        <rFont val="Arial Unicode MS"/>
        <family val="2"/>
      </rPr>
      <t>CCCRs63</t>
    </r>
  </si>
  <si>
    <r>
      <rPr>
        <sz val="10"/>
        <rFont val="Arial Unicode MS"/>
        <family val="2"/>
      </rPr>
      <t>138.1</t>
    </r>
  </si>
  <si>
    <r>
      <rPr>
        <sz val="10"/>
        <rFont val="Arial Unicode MS"/>
        <family val="2"/>
      </rPr>
      <t>139</t>
    </r>
  </si>
  <si>
    <r>
      <rPr>
        <sz val="10"/>
        <rFont val="Arial Unicode MS"/>
        <family val="2"/>
      </rPr>
      <t>1082897-BQL Rừng phòng hộ Đăk Hà</t>
    </r>
  </si>
  <si>
    <r>
      <rPr>
        <sz val="10"/>
        <rFont val="Arial Unicode MS"/>
        <family val="2"/>
      </rPr>
      <t>139.1</t>
    </r>
  </si>
  <si>
    <r>
      <rPr>
        <sz val="10"/>
        <rFont val="Arial Unicode MS"/>
        <family val="2"/>
      </rPr>
      <t>139.2</t>
    </r>
  </si>
  <si>
    <r>
      <rPr>
        <sz val="10"/>
        <rFont val="Arial Unicode MS"/>
        <family val="2"/>
      </rPr>
      <t>140</t>
    </r>
  </si>
  <si>
    <r>
      <rPr>
        <sz val="10"/>
        <rFont val="Arial Unicode MS"/>
        <family val="2"/>
      </rPr>
      <t>1082898-BQL Rừng Phòng hộ Tu Mơ Rông - huyện Tu Mơ Rông - tỉnh &lt;ontum</t>
    </r>
  </si>
  <si>
    <r>
      <rPr>
        <sz val="10"/>
        <rFont val="Arial Unicode MS"/>
        <family val="2"/>
      </rPr>
      <t>140.1</t>
    </r>
  </si>
  <si>
    <r>
      <rPr>
        <sz val="10"/>
        <rFont val="Arial Unicode MS"/>
        <family val="2"/>
      </rPr>
      <t>140.2</t>
    </r>
  </si>
  <si>
    <r>
      <rPr>
        <sz val="10"/>
        <rFont val="Arial Unicode MS"/>
        <family val="2"/>
      </rPr>
      <t>141</t>
    </r>
  </si>
  <si>
    <r>
      <rPr>
        <sz val="10"/>
        <rFont val="Arial Unicode MS"/>
        <family val="2"/>
      </rPr>
      <t>1083231-Bệnh viện Đa khoa Khu vực Mgọc hồi</t>
    </r>
  </si>
  <si>
    <r>
      <rPr>
        <sz val="10"/>
        <rFont val="Arial Unicode MS"/>
        <family val="2"/>
      </rPr>
      <t>141.1</t>
    </r>
  </si>
  <si>
    <r>
      <rPr>
        <sz val="10"/>
        <rFont val="Arial Unicode MS"/>
        <family val="2"/>
      </rPr>
      <t>142</t>
    </r>
  </si>
  <si>
    <r>
      <rPr>
        <sz val="10"/>
        <rFont val="Arial Unicode MS"/>
        <family val="2"/>
      </rPr>
      <t>1084079-Trung Tâm Công nghệ rhông tin và TruyỄn thông</t>
    </r>
  </si>
  <si>
    <r>
      <rPr>
        <sz val="10"/>
        <rFont val="Arial Unicode MS"/>
        <family val="2"/>
      </rPr>
      <t>142.1</t>
    </r>
  </si>
  <si>
    <r>
      <rPr>
        <sz val="10"/>
        <rFont val="Arial Unicode MS"/>
        <family val="2"/>
      </rPr>
      <t>279</t>
    </r>
  </si>
  <si>
    <r>
      <rPr>
        <sz val="10"/>
        <rFont val="Arial Unicode MS"/>
        <family val="2"/>
      </rPr>
      <t>143</t>
    </r>
  </si>
  <si>
    <r>
      <rPr>
        <sz val="10"/>
        <rFont val="Arial Unicode MS"/>
        <family val="2"/>
      </rPr>
      <t>1090829-Trung tâm Dịch vụ đãu giá tà' sản</t>
    </r>
  </si>
  <si>
    <r>
      <rPr>
        <sz val="10"/>
        <rFont val="Arial Unicode MS"/>
        <family val="2"/>
      </rPr>
      <t>143.1</t>
    </r>
  </si>
  <si>
    <r>
      <rPr>
        <sz val="10"/>
        <rFont val="Arial Unicode MS"/>
        <family val="2"/>
      </rPr>
      <t>144</t>
    </r>
  </si>
  <si>
    <r>
      <rPr>
        <sz val="10"/>
        <rFont val="Arial Unicode MS"/>
        <family val="2"/>
      </rPr>
      <t>1093133-Ban Quản lý Rừng phòng hộ &lt;on Rẫy</t>
    </r>
  </si>
  <si>
    <r>
      <rPr>
        <sz val="10"/>
        <rFont val="Arial Unicode MS"/>
        <family val="2"/>
      </rPr>
      <t>144.1</t>
    </r>
  </si>
  <si>
    <r>
      <rPr>
        <sz val="10"/>
        <rFont val="Arial Unicode MS"/>
        <family val="2"/>
      </rPr>
      <t>144.2</t>
    </r>
  </si>
  <si>
    <r>
      <rPr>
        <sz val="10"/>
        <rFont val="Arial Unicode MS"/>
        <family val="2"/>
      </rPr>
      <t>145</t>
    </r>
  </si>
  <si>
    <r>
      <rPr>
        <sz val="10"/>
        <rFont val="Arial Unicode MS"/>
        <family val="2"/>
      </rPr>
      <t>1093434-Hội Cựu Giáo chức Kontum</t>
    </r>
  </si>
  <si>
    <r>
      <rPr>
        <sz val="10"/>
        <rFont val="Arial Unicode MS"/>
        <family val="2"/>
      </rPr>
      <t>145.1</t>
    </r>
  </si>
  <si>
    <r>
      <rPr>
        <sz val="10"/>
        <rFont val="Arial Unicode MS"/>
        <family val="2"/>
      </rPr>
      <t>146</t>
    </r>
  </si>
  <si>
    <r>
      <rPr>
        <sz val="10"/>
        <rFont val="Arial Unicode MS"/>
        <family val="2"/>
      </rPr>
      <t>1093512-Hội Luật gia tỉnh Kontum</t>
    </r>
  </si>
  <si>
    <r>
      <rPr>
        <sz val="10"/>
        <rFont val="Arial Unicode MS"/>
        <family val="2"/>
      </rPr>
      <t>146.1</t>
    </r>
  </si>
  <si>
    <r>
      <rPr>
        <sz val="10"/>
        <rFont val="Arial Unicode MS"/>
        <family val="2"/>
      </rPr>
      <t>147</t>
    </r>
  </si>
  <si>
    <r>
      <rPr>
        <sz val="10"/>
        <rFont val="Arial Unicode MS"/>
        <family val="2"/>
      </rPr>
      <t>1093795-Ban Liên lạc Tù chính trj</t>
    </r>
  </si>
  <si>
    <r>
      <rPr>
        <sz val="10"/>
        <rFont val="Arial Unicode MS"/>
        <family val="2"/>
      </rPr>
      <t>147.1</t>
    </r>
  </si>
  <si>
    <r>
      <rPr>
        <sz val="10"/>
        <rFont val="Arial Unicode MS"/>
        <family val="2"/>
      </rPr>
      <t>148</t>
    </r>
  </si>
  <si>
    <r>
      <rPr>
        <sz val="10"/>
        <rFont val="Arial Unicode MS"/>
        <family val="2"/>
      </rPr>
      <t>1093848-Hội Khuyẽn học tỉnh Kontum</t>
    </r>
  </si>
  <si>
    <r>
      <rPr>
        <sz val="10"/>
        <rFont val="Arial Unicode MS"/>
        <family val="2"/>
      </rPr>
      <t>148.1</t>
    </r>
  </si>
  <si>
    <r>
      <rPr>
        <sz val="10"/>
        <rFont val="Arial Unicode MS"/>
        <family val="2"/>
      </rPr>
      <t>539</t>
    </r>
  </si>
  <si>
    <r>
      <rPr>
        <sz val="10"/>
        <rFont val="Arial Unicode MS"/>
        <family val="2"/>
      </rPr>
      <t>149</t>
    </r>
  </si>
  <si>
    <r>
      <rPr>
        <sz val="10"/>
        <rFont val="Arial Unicode MS"/>
        <family val="2"/>
      </rPr>
      <t>1093941-Trường PhS thông Dân tộc Mội trú huyện Kon Rẫy</t>
    </r>
  </si>
  <si>
    <r>
      <rPr>
        <sz val="10"/>
        <rFont val="Arial Unicode MS"/>
        <family val="2"/>
      </rPr>
      <t>149.1</t>
    </r>
  </si>
  <si>
    <r>
      <rPr>
        <sz val="10"/>
        <rFont val="Arial Unicode MS"/>
        <family val="2"/>
      </rPr>
      <t>150</t>
    </r>
  </si>
  <si>
    <r>
      <rPr>
        <sz val="10"/>
        <rFont val="Arial Unicode MS"/>
        <family val="2"/>
      </rPr>
      <t>1094591-Hội bảo vệ QuyỄn trẻ em và Bảo trợ Người khuyẽt tật tỉnh Kon Tum</t>
    </r>
  </si>
  <si>
    <r>
      <rPr>
        <sz val="10"/>
        <rFont val="Arial Unicode MS"/>
        <family val="2"/>
      </rPr>
      <t>150.1</t>
    </r>
  </si>
  <si>
    <r>
      <rPr>
        <sz val="10"/>
        <rFont val="Arial Unicode MS"/>
        <family val="2"/>
      </rPr>
      <t>538</t>
    </r>
  </si>
  <si>
    <r>
      <rPr>
        <sz val="10"/>
        <rFont val="Arial Unicode MS"/>
        <family val="2"/>
      </rPr>
      <t>151</t>
    </r>
  </si>
  <si>
    <r>
      <rPr>
        <sz val="10"/>
        <rFont val="Arial Unicode MS"/>
        <family val="2"/>
      </rPr>
      <t>1094963-Hội Cựu Thanh niên xung phong tỉnh Kon Tum</t>
    </r>
  </si>
  <si>
    <r>
      <rPr>
        <sz val="10"/>
        <rFont val="Arial Unicode MS"/>
        <family val="2"/>
      </rPr>
      <t>151.1</t>
    </r>
  </si>
  <si>
    <r>
      <rPr>
        <sz val="10"/>
        <rFont val="Arial Unicode MS"/>
        <family val="2"/>
      </rPr>
      <t>537</t>
    </r>
  </si>
  <si>
    <r>
      <rPr>
        <sz val="10"/>
        <rFont val="Arial Unicode MS"/>
        <family val="2"/>
      </rPr>
      <t>152</t>
    </r>
  </si>
  <si>
    <r>
      <rPr>
        <sz val="10"/>
        <rFont val="Arial Unicode MS"/>
        <family val="2"/>
      </rPr>
      <t>1095546-Hội đSng Nhân dân tinh Kontum</t>
    </r>
  </si>
  <si>
    <r>
      <rPr>
        <sz val="10"/>
        <rFont val="Arial Unicode MS"/>
        <family val="2"/>
      </rPr>
      <t>152.1</t>
    </r>
  </si>
  <si>
    <r>
      <rPr>
        <sz val="10"/>
        <rFont val="Arial Unicode MS"/>
        <family val="2"/>
      </rPr>
      <t>153</t>
    </r>
  </si>
  <si>
    <r>
      <rPr>
        <sz val="10"/>
        <rFont val="Arial Unicode MS"/>
        <family val="2"/>
      </rPr>
      <t>1096607-Trung tâm Quan trắc tài nguyên và môi trường tỉnh Kon Tum</t>
    </r>
  </si>
  <si>
    <r>
      <rPr>
        <sz val="10"/>
        <rFont val="Arial Unicode MS"/>
        <family val="2"/>
      </rPr>
      <t>153.1</t>
    </r>
  </si>
  <si>
    <r>
      <rPr>
        <sz val="10"/>
        <rFont val="Arial Unicode MS"/>
        <family val="2"/>
      </rPr>
      <t>281</t>
    </r>
  </si>
  <si>
    <r>
      <rPr>
        <sz val="10"/>
        <rFont val="Arial Unicode MS"/>
        <family val="2"/>
      </rPr>
      <t>154</t>
    </r>
  </si>
  <si>
    <r>
      <rPr>
        <sz val="10"/>
        <rFont val="Arial Unicode MS"/>
        <family val="2"/>
      </rPr>
      <t>1096916-Đoàn Luật sư tỉnh Kontum</t>
    </r>
  </si>
  <si>
    <r>
      <rPr>
        <sz val="10"/>
        <rFont val="Arial Unicode MS"/>
        <family val="2"/>
      </rPr>
      <t>154.1</t>
    </r>
  </si>
  <si>
    <r>
      <rPr>
        <sz val="10"/>
        <rFont val="Arial Unicode MS"/>
        <family val="2"/>
      </rPr>
      <t>155</t>
    </r>
  </si>
  <si>
    <r>
      <rPr>
        <sz val="10"/>
        <rFont val="Arial Unicode MS"/>
        <family val="2"/>
      </rPr>
      <t>1098089-Hội Nhà báo</t>
    </r>
  </si>
  <si>
    <r>
      <rPr>
        <sz val="10"/>
        <rFont val="Arial Unicode MS"/>
        <family val="2"/>
      </rPr>
      <t>155.1</t>
    </r>
  </si>
  <si>
    <r>
      <rPr>
        <sz val="10"/>
        <rFont val="Arial Unicode MS"/>
        <family val="2"/>
      </rPr>
      <t>520</t>
    </r>
  </si>
  <si>
    <r>
      <rPr>
        <sz val="10"/>
        <rFont val="Arial Unicode MS"/>
        <family val="2"/>
      </rPr>
      <t>156</t>
    </r>
  </si>
  <si>
    <r>
      <rPr>
        <sz val="10"/>
        <rFont val="Arial Unicode MS"/>
        <family val="2"/>
      </rPr>
      <t>1098191-TSng đội Thanh niên xung phong Tĩnh Kon Tum</t>
    </r>
  </si>
  <si>
    <r>
      <rPr>
        <sz val="10"/>
        <rFont val="Arial Unicode MS"/>
        <family val="2"/>
      </rPr>
      <t>156.1</t>
    </r>
  </si>
  <si>
    <r>
      <rPr>
        <sz val="10"/>
        <rFont val="Arial Unicode MS"/>
        <family val="2"/>
      </rPr>
      <t>157</t>
    </r>
  </si>
  <si>
    <r>
      <rPr>
        <sz val="10"/>
        <rFont val="Arial Unicode MS"/>
        <family val="2"/>
      </rPr>
      <t>1098455-Trường Trung học PhS thông Ngô Mây Thành phố Kontum tỉnh Kontum</t>
    </r>
  </si>
  <si>
    <r>
      <rPr>
        <sz val="10"/>
        <rFont val="Arial Unicode MS"/>
        <family val="2"/>
      </rPr>
      <t>157.1</t>
    </r>
  </si>
  <si>
    <r>
      <rPr>
        <sz val="10"/>
        <rFont val="Arial Unicode MS"/>
        <family val="2"/>
      </rPr>
      <t>158</t>
    </r>
  </si>
  <si>
    <r>
      <rPr>
        <sz val="10"/>
        <rFont val="Arial Unicode MS"/>
        <family val="2"/>
      </rPr>
      <t>1098629-Chi cục An toàn Vệ sinh Thực phẩm tỉnh Kontum</t>
    </r>
  </si>
  <si>
    <r>
      <rPr>
        <sz val="10"/>
        <rFont val="Arial Unicode MS"/>
        <family val="2"/>
      </rPr>
      <t>158.1</t>
    </r>
  </si>
  <si>
    <r>
      <rPr>
        <sz val="10"/>
        <rFont val="Arial Unicode MS"/>
        <family val="2"/>
      </rPr>
      <t>158.2</t>
    </r>
  </si>
  <si>
    <r>
      <rPr>
        <sz val="10"/>
        <rFont val="Arial Unicode MS"/>
        <family val="2"/>
      </rPr>
      <t>159</t>
    </r>
  </si>
  <si>
    <r>
      <rPr>
        <sz val="10"/>
        <rFont val="Arial Unicode MS"/>
        <family val="2"/>
      </rPr>
      <t>1098957-Uỷ ban tỉnh Kontum - Hội Liên hiệp Thanh niên Việt nam</t>
    </r>
  </si>
  <si>
    <r>
      <rPr>
        <sz val="10"/>
        <rFont val="Arial Unicode MS"/>
        <family val="2"/>
      </rPr>
      <t>159.1</t>
    </r>
  </si>
  <si>
    <r>
      <rPr>
        <sz val="10"/>
        <rFont val="Arial Unicode MS"/>
        <family val="2"/>
      </rPr>
      <t>160</t>
    </r>
  </si>
  <si>
    <r>
      <rPr>
        <sz val="10"/>
        <rFont val="Arial Unicode MS"/>
        <family val="2"/>
      </rPr>
      <t>1102850-Chi cục quản lý chãt lượng Nông lâm sản và Thủy sản tỉnh Kon Tum</t>
    </r>
  </si>
  <si>
    <r>
      <rPr>
        <sz val="10"/>
        <rFont val="Arial Unicode MS"/>
        <family val="2"/>
      </rPr>
      <t>160.1</t>
    </r>
  </si>
  <si>
    <r>
      <rPr>
        <sz val="10"/>
        <rFont val="Arial Unicode MS"/>
        <family val="2"/>
      </rPr>
      <t>160.2</t>
    </r>
  </si>
  <si>
    <r>
      <rPr>
        <sz val="10"/>
        <rFont val="Arial Unicode MS"/>
        <family val="2"/>
      </rPr>
      <t>161</t>
    </r>
  </si>
  <si>
    <r>
      <rPr>
        <sz val="10"/>
        <rFont val="Arial Unicode MS"/>
        <family val="2"/>
      </rPr>
      <t>1102860-Ban Quản lý Khu Kinh tẽ -:ỉnh Kontum</t>
    </r>
  </si>
  <si>
    <r>
      <rPr>
        <sz val="10"/>
        <rFont val="Arial Unicode MS"/>
        <family val="2"/>
      </rPr>
      <t>161.1</t>
    </r>
  </si>
  <si>
    <r>
      <rPr>
        <sz val="10"/>
        <rFont val="Arial Unicode MS"/>
        <family val="2"/>
      </rPr>
      <t>465</t>
    </r>
  </si>
  <si>
    <r>
      <rPr>
        <sz val="10"/>
        <rFont val="Arial Unicode MS"/>
        <family val="2"/>
      </rPr>
      <t>162</t>
    </r>
  </si>
  <si>
    <r>
      <rPr>
        <sz val="10"/>
        <rFont val="Arial Unicode MS"/>
        <family val="2"/>
      </rPr>
      <t>1103882-Ban Quản lý Dự ân khu vực &lt;hu kinh tẽ cửa khẩu quốc tẽ Bờ Y</t>
    </r>
  </si>
  <si>
    <r>
      <rPr>
        <sz val="10"/>
        <rFont val="Arial Unicode MS"/>
        <family val="2"/>
      </rPr>
      <t>162.1</t>
    </r>
  </si>
  <si>
    <r>
      <rPr>
        <sz val="10"/>
        <rFont val="Arial Unicode MS"/>
        <family val="2"/>
      </rPr>
      <t>163</t>
    </r>
  </si>
  <si>
    <r>
      <rPr>
        <sz val="10"/>
        <rFont val="Arial Unicode MS"/>
        <family val="2"/>
      </rPr>
      <t>1104765-Ban quản lý di tích Kon Tum</t>
    </r>
  </si>
  <si>
    <r>
      <rPr>
        <sz val="10"/>
        <rFont val="Arial Unicode MS"/>
        <family val="2"/>
      </rPr>
      <t>163.1</t>
    </r>
  </si>
  <si>
    <r>
      <rPr>
        <sz val="10"/>
        <rFont val="Arial Unicode MS"/>
        <family val="2"/>
      </rPr>
      <t>164</t>
    </r>
  </si>
  <si>
    <r>
      <rPr>
        <sz val="10"/>
        <rFont val="Arial Unicode MS"/>
        <family val="2"/>
      </rPr>
      <t>1105650-Trường Trung học PhS rhông Trường Chinh - TP.Kon Tum -rỉnh Kon Tum</t>
    </r>
  </si>
  <si>
    <r>
      <rPr>
        <sz val="10"/>
        <rFont val="Arial Unicode MS"/>
        <family val="2"/>
      </rPr>
      <t>164.1</t>
    </r>
  </si>
  <si>
    <r>
      <rPr>
        <sz val="10"/>
        <rFont val="Arial Unicode MS"/>
        <family val="2"/>
      </rPr>
      <t>165</t>
    </r>
  </si>
  <si>
    <r>
      <rPr>
        <sz val="10"/>
        <rFont val="Arial Unicode MS"/>
        <family val="2"/>
      </rPr>
      <t>1105744-Công ty Đău tư phát triển Hạ ăng Khu Kinh tẽ tỉnh Kon Tum</t>
    </r>
  </si>
  <si>
    <r>
      <rPr>
        <sz val="10"/>
        <rFont val="Arial Unicode MS"/>
        <family val="2"/>
      </rPr>
      <t>165.1</t>
    </r>
  </si>
  <si>
    <r>
      <rPr>
        <sz val="10"/>
        <rFont val="Arial Unicode MS"/>
        <family val="2"/>
      </rPr>
      <t>166</t>
    </r>
  </si>
  <si>
    <r>
      <rPr>
        <sz val="10"/>
        <rFont val="Arial Unicode MS"/>
        <family val="2"/>
      </rPr>
      <t>1105924-Trung Tâm hỗ trợ Thanh niên rỉnh Kon Tum</t>
    </r>
  </si>
  <si>
    <r>
      <rPr>
        <sz val="10"/>
        <rFont val="Arial Unicode MS"/>
        <family val="2"/>
      </rPr>
      <t>166.1</t>
    </r>
  </si>
  <si>
    <r>
      <rPr>
        <sz val="10"/>
        <rFont val="Arial Unicode MS"/>
        <family val="2"/>
      </rPr>
      <t>167</t>
    </r>
  </si>
  <si>
    <r>
      <rPr>
        <sz val="10"/>
        <rFont val="Arial Unicode MS"/>
        <family val="2"/>
      </rPr>
      <t xml:space="preserve">1106147-Trường Trung học PhS thông </t>
    </r>
    <r>
      <rPr>
        <vertAlign val="superscript"/>
        <sz val="10"/>
        <rFont val="Arial Unicode MS"/>
        <family val="2"/>
      </rPr>
      <t>:,</t>
    </r>
    <r>
      <rPr>
        <sz val="10"/>
        <rFont val="Arial Unicode MS"/>
        <family val="2"/>
      </rPr>
      <t>han Bội Châu - tỉnh Kontum</t>
    </r>
  </si>
  <si>
    <r>
      <rPr>
        <sz val="10"/>
        <rFont val="Arial Unicode MS"/>
        <family val="2"/>
      </rPr>
      <t>167.1</t>
    </r>
  </si>
  <si>
    <r>
      <rPr>
        <sz val="10"/>
        <rFont val="Arial Unicode MS"/>
        <family val="2"/>
      </rPr>
      <t>168</t>
    </r>
  </si>
  <si>
    <r>
      <rPr>
        <sz val="10"/>
        <rFont val="Arial Unicode MS"/>
        <family val="2"/>
      </rPr>
      <t xml:space="preserve">1106537-Trường Trung học PhS thông </t>
    </r>
    <r>
      <rPr>
        <vertAlign val="superscript"/>
        <sz val="10"/>
        <rFont val="Arial Unicode MS"/>
        <family val="2"/>
      </rPr>
      <t>:,</t>
    </r>
    <r>
      <rPr>
        <sz val="10"/>
        <rFont val="Arial Unicode MS"/>
        <family val="2"/>
      </rPr>
      <t>han Chu Trinh - huyện Ngọc Hồi -:ỉnh Kontum</t>
    </r>
  </si>
  <si>
    <r>
      <rPr>
        <sz val="10"/>
        <rFont val="Arial Unicode MS"/>
        <family val="2"/>
      </rPr>
      <t>168.1</t>
    </r>
  </si>
  <si>
    <r>
      <rPr>
        <sz val="10"/>
        <rFont val="Arial Unicode MS"/>
        <family val="2"/>
      </rPr>
      <t>169</t>
    </r>
  </si>
  <si>
    <r>
      <rPr>
        <sz val="10"/>
        <rFont val="Arial Unicode MS"/>
        <family val="2"/>
      </rPr>
      <t>1107173-Hội Hữu nghị Việt Nam -Campuchia và Hội hữu Nghị Việt Nam Lào</t>
    </r>
  </si>
  <si>
    <r>
      <rPr>
        <sz val="10"/>
        <rFont val="Arial Unicode MS"/>
        <family val="2"/>
      </rPr>
      <t>169.1</t>
    </r>
  </si>
  <si>
    <r>
      <rPr>
        <sz val="10"/>
        <rFont val="Arial Unicode MS"/>
        <family val="2"/>
      </rPr>
      <t>517</t>
    </r>
  </si>
  <si>
    <r>
      <rPr>
        <sz val="10"/>
        <rFont val="Arial Unicode MS"/>
        <family val="2"/>
      </rPr>
      <t>170</t>
    </r>
  </si>
  <si>
    <r>
      <rPr>
        <sz val="10"/>
        <rFont val="Arial Unicode MS"/>
        <family val="2"/>
      </rPr>
      <t>1108872-Trung tâm phòng chổng HIV/AIDS tinh Kon Tum</t>
    </r>
  </si>
  <si>
    <r>
      <rPr>
        <sz val="10"/>
        <rFont val="Arial Unicode MS"/>
        <family val="2"/>
      </rPr>
      <t>170.1</t>
    </r>
  </si>
  <si>
    <r>
      <rPr>
        <sz val="10"/>
        <rFont val="Arial Unicode MS"/>
        <family val="2"/>
      </rPr>
      <t>170.2</t>
    </r>
  </si>
  <si>
    <r>
      <rPr>
        <sz val="10"/>
        <rFont val="Arial Unicode MS"/>
        <family val="2"/>
      </rPr>
      <t>171</t>
    </r>
  </si>
  <si>
    <r>
      <rPr>
        <sz val="10"/>
        <rFont val="Arial Unicode MS"/>
        <family val="2"/>
      </rPr>
      <t>1109490-Trung tâm Kỹ thuật Tiêu chuẫn Đo lường Chăt lượng tỉnh -Kontum</t>
    </r>
  </si>
  <si>
    <r>
      <rPr>
        <sz val="10"/>
        <rFont val="Arial Unicode MS"/>
        <family val="2"/>
      </rPr>
      <t>171.1</t>
    </r>
  </si>
  <si>
    <r>
      <rPr>
        <sz val="10"/>
        <rFont val="Arial Unicode MS"/>
        <family val="2"/>
      </rPr>
      <t>172</t>
    </r>
  </si>
  <si>
    <r>
      <rPr>
        <sz val="10"/>
        <rFont val="Arial Unicode MS"/>
        <family val="2"/>
      </rPr>
      <t>1112480-Ban quản lý Khai thác các công trinh thủy lợi tỉnh Kontum</t>
    </r>
  </si>
  <si>
    <r>
      <rPr>
        <sz val="10"/>
        <rFont val="Arial Unicode MS"/>
        <family val="2"/>
      </rPr>
      <t>172.1</t>
    </r>
  </si>
  <si>
    <r>
      <rPr>
        <sz val="10"/>
        <rFont val="Arial Unicode MS"/>
        <family val="2"/>
      </rPr>
      <t>173</t>
    </r>
  </si>
  <si>
    <r>
      <rPr>
        <sz val="10"/>
        <rFont val="Arial Unicode MS"/>
        <family val="2"/>
      </rPr>
      <t>1113386-Chi cục Văn thư Lưu trữ, sờ Nội vụ tỉnh Kontum</t>
    </r>
  </si>
  <si>
    <r>
      <rPr>
        <sz val="10"/>
        <rFont val="Arial Unicode MS"/>
        <family val="2"/>
      </rPr>
      <t>173.1</t>
    </r>
  </si>
  <si>
    <r>
      <rPr>
        <sz val="10"/>
        <rFont val="Arial Unicode MS"/>
        <family val="2"/>
      </rPr>
      <t>174</t>
    </r>
  </si>
  <si>
    <r>
      <rPr>
        <sz val="10"/>
        <rFont val="Arial Unicode MS"/>
        <family val="2"/>
      </rPr>
      <t>1114113-Ban chỉ đạo phân giới, cắm mổc tỉnh Kontum (Viêt nam - Cam Pu Chia)</t>
    </r>
  </si>
  <si>
    <r>
      <rPr>
        <sz val="10"/>
        <rFont val="Arial Unicode MS"/>
        <family val="2"/>
      </rPr>
      <t>174.1</t>
    </r>
  </si>
  <si>
    <r>
      <rPr>
        <sz val="10"/>
        <rFont val="Arial Unicode MS"/>
        <family val="2"/>
      </rPr>
      <t>175</t>
    </r>
  </si>
  <si>
    <r>
      <rPr>
        <sz val="10"/>
        <rFont val="Arial Unicode MS"/>
        <family val="2"/>
      </rPr>
      <t>1114511-Bệnh viện Y dược cỗ truyỄn tỉnh Kontum</t>
    </r>
  </si>
  <si>
    <r>
      <rPr>
        <sz val="10"/>
        <rFont val="Arial Unicode MS"/>
        <family val="2"/>
      </rPr>
      <t>175.1</t>
    </r>
  </si>
  <si>
    <r>
      <rPr>
        <sz val="10"/>
        <rFont val="Arial Unicode MS"/>
        <family val="2"/>
      </rPr>
      <t>176</t>
    </r>
  </si>
  <si>
    <r>
      <rPr>
        <sz val="10"/>
        <rFont val="Arial Unicode MS"/>
        <family val="2"/>
      </rPr>
      <t>1115051-Hội liên lạc người Việt nam ờ nước ngoài tỉnh Kontum</t>
    </r>
  </si>
  <si>
    <r>
      <rPr>
        <sz val="10"/>
        <rFont val="Arial Unicode MS"/>
        <family val="2"/>
      </rPr>
      <t>176.1</t>
    </r>
  </si>
  <si>
    <r>
      <rPr>
        <sz val="10"/>
        <rFont val="Arial Unicode MS"/>
        <family val="2"/>
      </rPr>
      <t>177</t>
    </r>
  </si>
  <si>
    <r>
      <rPr>
        <sz val="10"/>
        <rFont val="Arial Unicode MS"/>
        <family val="2"/>
      </rPr>
      <t>1115161 -Ban Quản lý mua sắm thiẽt b trường học sờ giáo dục đào tạo Kon Tum</t>
    </r>
  </si>
  <si>
    <r>
      <rPr>
        <sz val="10"/>
        <rFont val="Arial Unicode MS"/>
        <family val="2"/>
      </rPr>
      <t>177.1</t>
    </r>
  </si>
  <si>
    <r>
      <rPr>
        <sz val="10"/>
        <rFont val="Arial Unicode MS"/>
        <family val="2"/>
      </rPr>
      <t>177.2</t>
    </r>
  </si>
  <si>
    <r>
      <rPr>
        <sz val="10"/>
        <rFont val="Arial Unicode MS"/>
        <family val="2"/>
      </rPr>
      <t>178</t>
    </r>
  </si>
  <si>
    <r>
      <rPr>
        <sz val="10"/>
        <rFont val="Arial Unicode MS"/>
        <family val="2"/>
      </rPr>
      <t>1115609-Dự ân Bạn hữu trè em tỉnh Kontum</t>
    </r>
  </si>
  <si>
    <r>
      <rPr>
        <sz val="10"/>
        <rFont val="Arial Unicode MS"/>
        <family val="2"/>
      </rPr>
      <t>178.1</t>
    </r>
  </si>
  <si>
    <r>
      <rPr>
        <sz val="10"/>
        <rFont val="Arial Unicode MS"/>
        <family val="2"/>
      </rPr>
      <t>179</t>
    </r>
  </si>
  <si>
    <r>
      <rPr>
        <sz val="10"/>
        <rFont val="Arial Unicode MS"/>
        <family val="2"/>
      </rPr>
      <t>1117920-Hội Giáo dục chăm sốc sức chòe cộng đSng tỉnh Kontum</t>
    </r>
  </si>
  <si>
    <r>
      <rPr>
        <sz val="10"/>
        <rFont val="Arial Unicode MS"/>
        <family val="2"/>
      </rPr>
      <t>179.1</t>
    </r>
  </si>
  <si>
    <r>
      <rPr>
        <sz val="10"/>
        <rFont val="Arial Unicode MS"/>
        <family val="2"/>
      </rPr>
      <t>180</t>
    </r>
  </si>
  <si>
    <r>
      <rPr>
        <sz val="10"/>
        <rFont val="Arial Unicode MS"/>
        <family val="2"/>
      </rPr>
      <t>1118341 -Phân hiệu trường PhS thông Dân tộc nội trú huyện Kon Plông - tỉnh Kon Tum</t>
    </r>
  </si>
  <si>
    <r>
      <rPr>
        <sz val="10"/>
        <rFont val="Arial Unicode MS"/>
        <family val="2"/>
      </rPr>
      <t>180.1</t>
    </r>
  </si>
  <si>
    <r>
      <rPr>
        <sz val="10"/>
        <rFont val="Arial Unicode MS"/>
        <family val="2"/>
      </rPr>
      <t>181</t>
    </r>
  </si>
  <si>
    <r>
      <rPr>
        <sz val="10"/>
        <rFont val="Arial Unicode MS"/>
        <family val="2"/>
      </rPr>
      <t>1118342-Phân hiệu trường Trung học PhS thông Lương Thẽ Vinh - huyện Đăk Glei - tỉnh Kon Tum</t>
    </r>
  </si>
  <si>
    <r>
      <rPr>
        <sz val="10"/>
        <rFont val="Arial Unicode MS"/>
        <family val="2"/>
      </rPr>
      <t>181.1</t>
    </r>
  </si>
  <si>
    <r>
      <rPr>
        <sz val="10"/>
        <rFont val="Arial Unicode MS"/>
        <family val="2"/>
      </rPr>
      <t>182</t>
    </r>
  </si>
  <si>
    <r>
      <rPr>
        <sz val="10"/>
        <rFont val="Arial Unicode MS"/>
        <family val="2"/>
      </rPr>
      <t>1121877-Trung tâm Dạy nghễ và Hỗ TỢ Nông dân</t>
    </r>
  </si>
  <si>
    <r>
      <rPr>
        <sz val="10"/>
        <rFont val="Arial Unicode MS"/>
        <family val="2"/>
      </rPr>
      <t>182.1</t>
    </r>
  </si>
  <si>
    <r>
      <rPr>
        <sz val="10"/>
        <rFont val="Arial Unicode MS"/>
        <family val="2"/>
      </rPr>
      <t>183</t>
    </r>
  </si>
  <si>
    <r>
      <rPr>
        <sz val="10"/>
        <rFont val="Arial Unicode MS"/>
        <family val="2"/>
      </rPr>
      <t>1121980-Hạtkiểm lâm Huyện H'Drai</t>
    </r>
  </si>
  <si>
    <r>
      <rPr>
        <sz val="10"/>
        <rFont val="Arial Unicode MS"/>
        <family val="2"/>
      </rPr>
      <t>183.1</t>
    </r>
  </si>
  <si>
    <r>
      <rPr>
        <sz val="10"/>
        <rFont val="Arial Unicode MS"/>
        <family val="2"/>
      </rPr>
      <t>184</t>
    </r>
  </si>
  <si>
    <r>
      <rPr>
        <sz val="10"/>
        <rFont val="Arial Unicode MS"/>
        <family val="2"/>
      </rPr>
      <t>1122826-Trung tâm Y tẽ huyện la -TDrai, tỉnh Kon Tum</t>
    </r>
  </si>
  <si>
    <r>
      <rPr>
        <sz val="10"/>
        <rFont val="Arial Unicode MS"/>
        <family val="2"/>
      </rPr>
      <t>184.1</t>
    </r>
  </si>
  <si>
    <r>
      <rPr>
        <sz val="10"/>
        <rFont val="Arial Unicode MS"/>
        <family val="2"/>
      </rPr>
      <t>184.2</t>
    </r>
  </si>
  <si>
    <r>
      <rPr>
        <sz val="10"/>
        <rFont val="Arial Unicode MS"/>
        <family val="2"/>
      </rPr>
      <t>185</t>
    </r>
  </si>
  <si>
    <r>
      <rPr>
        <sz val="10"/>
        <rFont val="Arial Unicode MS"/>
        <family val="2"/>
      </rPr>
      <t>1123107-Ban thi đua - khen thưởng trực thuộc Sờ Nội vụ tỉnh Kon Tum</t>
    </r>
  </si>
  <si>
    <r>
      <rPr>
        <sz val="10"/>
        <rFont val="Arial Unicode MS"/>
        <family val="2"/>
      </rPr>
      <t>185.1</t>
    </r>
  </si>
  <si>
    <r>
      <rPr>
        <sz val="10"/>
        <rFont val="Arial Unicode MS"/>
        <family val="2"/>
      </rPr>
      <t>186</t>
    </r>
  </si>
  <si>
    <r>
      <rPr>
        <sz val="10"/>
        <rFont val="Arial Unicode MS"/>
        <family val="2"/>
      </rPr>
      <t>1123126-Ban Tôn giáo - trực thuộc sờ Nội vụ tỉnh Kon Tum</t>
    </r>
  </si>
  <si>
    <r>
      <rPr>
        <sz val="10"/>
        <rFont val="Arial Unicode MS"/>
        <family val="2"/>
      </rPr>
      <t>186.1</t>
    </r>
  </si>
  <si>
    <r>
      <rPr>
        <sz val="10"/>
        <rFont val="Arial Unicode MS"/>
        <family val="2"/>
      </rPr>
      <t>187</t>
    </r>
  </si>
  <si>
    <r>
      <rPr>
        <sz val="10"/>
        <rFont val="Arial Unicode MS"/>
        <family val="2"/>
      </rPr>
      <t>1123648-Trung tâm pháp y tỉnh Kon Tum</t>
    </r>
  </si>
  <si>
    <r>
      <rPr>
        <sz val="10"/>
        <rFont val="Arial Unicode MS"/>
        <family val="2"/>
      </rPr>
      <t>187.1</t>
    </r>
  </si>
  <si>
    <r>
      <rPr>
        <sz val="10"/>
        <rFont val="Arial Unicode MS"/>
        <family val="2"/>
      </rPr>
      <t>188</t>
    </r>
  </si>
  <si>
    <r>
      <rPr>
        <sz val="10"/>
        <rFont val="Arial Unicode MS"/>
        <family val="2"/>
      </rPr>
      <t>1124495-Ban quản lý Khu Nông nghiệp ứng dụng công nghệ cao Măng Đen</t>
    </r>
  </si>
  <si>
    <r>
      <rPr>
        <sz val="10"/>
        <rFont val="Arial Unicode MS"/>
        <family val="2"/>
      </rPr>
      <t>188.1</t>
    </r>
  </si>
  <si>
    <r>
      <rPr>
        <sz val="10"/>
        <rFont val="Arial Unicode MS"/>
        <family val="2"/>
      </rPr>
      <t>1124496-Hạt kiềm lâm rừng phòng hộ Tu Mơ Rông</t>
    </r>
  </si>
  <si>
    <r>
      <rPr>
        <sz val="10"/>
        <rFont val="Arial Unicode MS"/>
        <family val="2"/>
      </rPr>
      <t>189.1</t>
    </r>
  </si>
  <si>
    <r>
      <rPr>
        <sz val="10"/>
        <rFont val="Arial Unicode MS"/>
        <family val="2"/>
      </rPr>
      <t>190</t>
    </r>
  </si>
  <si>
    <r>
      <rPr>
        <sz val="10"/>
        <rFont val="Arial Unicode MS"/>
        <family val="2"/>
      </rPr>
      <t>1124841-Ban quản lý dự ân Hỗ trợ quản trị địa phương trách nhiệm giải trình, đáp ứng được tại tỉnh Kon Tum</t>
    </r>
  </si>
  <si>
    <r>
      <rPr>
        <sz val="10"/>
        <rFont val="Arial Unicode MS"/>
        <family val="2"/>
      </rPr>
      <t>190.1</t>
    </r>
  </si>
  <si>
    <r>
      <rPr>
        <sz val="10"/>
        <rFont val="Arial Unicode MS"/>
        <family val="2"/>
      </rPr>
      <t>191</t>
    </r>
  </si>
  <si>
    <r>
      <rPr>
        <sz val="10"/>
        <rFont val="Arial Unicode MS"/>
        <family val="2"/>
      </rPr>
      <t>1125130-Trung tâm Cứu hộ, bảo tồn và phát triển sinh vật vườn quốc gia Chư Mom Ray</t>
    </r>
  </si>
  <si>
    <r>
      <rPr>
        <sz val="10"/>
        <rFont val="Arial Unicode MS"/>
        <family val="2"/>
      </rPr>
      <t>191.1</t>
    </r>
  </si>
  <si>
    <r>
      <rPr>
        <sz val="10"/>
        <rFont val="Arial Unicode MS"/>
        <family val="2"/>
      </rPr>
      <t>191.2</t>
    </r>
  </si>
  <si>
    <r>
      <rPr>
        <sz val="10"/>
        <rFont val="Arial Unicode MS"/>
        <family val="2"/>
      </rPr>
      <t>192</t>
    </r>
  </si>
  <si>
    <r>
      <rPr>
        <sz val="10"/>
        <rFont val="Arial Unicode MS"/>
        <family val="2"/>
      </rPr>
      <t>1125215-Chi cục Bảo vệ Môi trường tỉnh Kon Tum</t>
    </r>
  </si>
  <si>
    <r>
      <rPr>
        <sz val="10"/>
        <rFont val="Arial Unicode MS"/>
        <family val="2"/>
      </rPr>
      <t>192.1</t>
    </r>
  </si>
  <si>
    <r>
      <rPr>
        <sz val="10"/>
        <rFont val="Arial Unicode MS"/>
        <family val="2"/>
      </rPr>
      <t>193</t>
    </r>
  </si>
  <si>
    <r>
      <rPr>
        <sz val="10"/>
        <rFont val="Arial Unicode MS"/>
        <family val="2"/>
      </rPr>
      <t>1125216-Chi cục Quản lý đãt đai tỉnh Kon Tum</t>
    </r>
  </si>
  <si>
    <r>
      <rPr>
        <sz val="10"/>
        <rFont val="Arial Unicode MS"/>
        <family val="2"/>
      </rPr>
      <t>193.1</t>
    </r>
  </si>
  <si>
    <r>
      <rPr>
        <sz val="10"/>
        <rFont val="Arial Unicode MS"/>
        <family val="2"/>
      </rPr>
      <t>194</t>
    </r>
  </si>
  <si>
    <r>
      <rPr>
        <sz val="10"/>
        <rFont val="Arial Unicode MS"/>
        <family val="2"/>
      </rPr>
      <t>1125232-Trung tâm Thông tin và Thống kê khoa học và công nghệ tỉnh Kon Tum</t>
    </r>
  </si>
  <si>
    <r>
      <rPr>
        <sz val="10"/>
        <rFont val="Arial Unicode MS"/>
        <family val="2"/>
      </rPr>
      <t>194.1</t>
    </r>
  </si>
  <si>
    <r>
      <rPr>
        <sz val="10"/>
        <rFont val="Arial Unicode MS"/>
        <family val="2"/>
      </rPr>
      <t>195</t>
    </r>
  </si>
  <si>
    <r>
      <rPr>
        <sz val="10"/>
        <rFont val="Arial Unicode MS"/>
        <family val="2"/>
      </rPr>
      <t>1125306-Chi cục Giâm định xây dựng tỉnh Kon Tum</t>
    </r>
  </si>
  <si>
    <r>
      <rPr>
        <sz val="10"/>
        <rFont val="Arial Unicode MS"/>
        <family val="2"/>
      </rPr>
      <t>195.1</t>
    </r>
  </si>
  <si>
    <r>
      <rPr>
        <sz val="10"/>
        <rFont val="Arial Unicode MS"/>
        <family val="2"/>
      </rPr>
      <t>196</t>
    </r>
  </si>
  <si>
    <r>
      <rPr>
        <sz val="10"/>
        <rFont val="Arial Unicode MS"/>
        <family val="2"/>
      </rPr>
      <t>1125318-Trung tâm nghiên cứu và phát triền nông nghiệp công nghệ cao</t>
    </r>
  </si>
  <si>
    <r>
      <rPr>
        <sz val="10"/>
        <rFont val="Arial Unicode MS"/>
        <family val="2"/>
      </rPr>
      <t>196.1</t>
    </r>
  </si>
  <si>
    <r>
      <rPr>
        <sz val="10"/>
        <rFont val="Arial Unicode MS"/>
        <family val="2"/>
      </rPr>
      <t>197</t>
    </r>
  </si>
  <si>
    <r>
      <rPr>
        <sz val="10"/>
        <rFont val="Arial Unicode MS"/>
        <family val="2"/>
      </rPr>
      <t>1125325-Ban quản lý khu nông nghiệp ứng dụng công nghệ cao Măng Đen</t>
    </r>
  </si>
  <si>
    <r>
      <rPr>
        <sz val="10"/>
        <rFont val="Arial Unicode MS"/>
        <family val="2"/>
      </rPr>
      <t>197.1</t>
    </r>
  </si>
  <si>
    <r>
      <rPr>
        <sz val="10"/>
        <rFont val="Arial Unicode MS"/>
        <family val="2"/>
      </rPr>
      <t>198</t>
    </r>
  </si>
  <si>
    <r>
      <rPr>
        <sz val="10"/>
        <rFont val="Arial Unicode MS"/>
        <family val="2"/>
      </rPr>
      <t>1125793-Phân hiệu trường PhS thông Dân tộc nội trú tỉnh tại huyện la HDrai</t>
    </r>
  </si>
  <si>
    <r>
      <rPr>
        <sz val="10"/>
        <rFont val="Arial Unicode MS"/>
        <family val="2"/>
      </rPr>
      <t>198.1</t>
    </r>
  </si>
  <si>
    <r>
      <rPr>
        <sz val="10"/>
        <rFont val="Arial Unicode MS"/>
        <family val="2"/>
      </rPr>
      <t>199</t>
    </r>
  </si>
  <si>
    <r>
      <rPr>
        <sz val="10"/>
        <rFont val="Arial Unicode MS"/>
        <family val="2"/>
      </rPr>
      <t>3007431-Trung tâm Xúc tiẽn Đău tư :ỉnh Kontum</t>
    </r>
  </si>
  <si>
    <r>
      <rPr>
        <sz val="10"/>
        <rFont val="Arial Unicode MS"/>
        <family val="2"/>
      </rPr>
      <t>199.1</t>
    </r>
  </si>
  <si>
    <r>
      <rPr>
        <sz val="10"/>
        <rFont val="Arial Unicode MS"/>
        <family val="2"/>
      </rPr>
      <t>200</t>
    </r>
  </si>
  <si>
    <r>
      <rPr>
        <sz val="10"/>
        <rFont val="Arial Unicode MS"/>
        <family val="2"/>
      </rPr>
      <t>3007905-Hội bóng bàn tỉnh Kon Tum</t>
    </r>
  </si>
  <si>
    <r>
      <rPr>
        <sz val="10"/>
        <rFont val="Arial Unicode MS"/>
        <family val="2"/>
      </rPr>
      <t>200.1</t>
    </r>
  </si>
  <si>
    <r>
      <rPr>
        <sz val="10"/>
        <rFont val="Arial Unicode MS"/>
        <family val="2"/>
      </rPr>
      <t>201</t>
    </r>
  </si>
  <si>
    <r>
      <rPr>
        <sz val="10"/>
        <rFont val="Arial Unicode MS"/>
        <family val="2"/>
      </rPr>
      <t>3016323-Văn phòng ĐiỄu phổi chương trinh Mục tiêu quốc gia Xây dựng nông íiôn mới tỉnh Kontum</t>
    </r>
  </si>
  <si>
    <r>
      <rPr>
        <sz val="10"/>
        <rFont val="Arial Unicode MS"/>
        <family val="2"/>
      </rPr>
      <t>201.1</t>
    </r>
  </si>
  <si>
    <r>
      <rPr>
        <sz val="10"/>
        <rFont val="Arial Unicode MS"/>
        <family val="2"/>
      </rPr>
      <t>201.2</t>
    </r>
  </si>
  <si>
    <r>
      <rPr>
        <sz val="10"/>
        <rFont val="Arial Unicode MS"/>
        <family val="2"/>
      </rPr>
      <t>202</t>
    </r>
  </si>
  <si>
    <r>
      <rPr>
        <sz val="10"/>
        <rFont val="Arial Unicode MS"/>
        <family val="2"/>
      </rPr>
      <t>3017052-Ban đại diện Hội người cao :uỗi tỉnh Kon Tum</t>
    </r>
  </si>
  <si>
    <r>
      <rPr>
        <sz val="10"/>
        <rFont val="Arial Unicode MS"/>
        <family val="2"/>
      </rPr>
      <t>202.1</t>
    </r>
  </si>
  <si>
    <r>
      <rPr>
        <sz val="10"/>
        <rFont val="Arial Unicode MS"/>
        <family val="2"/>
      </rPr>
      <t>533</t>
    </r>
  </si>
  <si>
    <r>
      <rPr>
        <sz val="10"/>
        <rFont val="Arial Unicode MS"/>
        <family val="2"/>
      </rPr>
      <t>203</t>
    </r>
  </si>
  <si>
    <r>
      <rPr>
        <sz val="10"/>
        <rFont val="Arial Unicode MS"/>
        <family val="2"/>
      </rPr>
      <t>3019708-Phòng công chứng sổ 2 tỉnh &lt;on Tum</t>
    </r>
  </si>
  <si>
    <r>
      <rPr>
        <sz val="10"/>
        <rFont val="Arial Unicode MS"/>
        <family val="2"/>
      </rPr>
      <t>203.1</t>
    </r>
  </si>
  <si>
    <r>
      <rPr>
        <sz val="10"/>
        <rFont val="Arial Unicode MS"/>
        <family val="2"/>
      </rPr>
      <t>204</t>
    </r>
  </si>
  <si>
    <r>
      <rPr>
        <sz val="10"/>
        <rFont val="Arial Unicode MS"/>
        <family val="2"/>
      </rPr>
      <t>3023385-Ban quản lý dự án "Chăm sốc sức khòe nhân dân các tỉnh Tây Nguyên giai đoạn 2" tỉnh Kon Tum.</t>
    </r>
  </si>
  <si>
    <r>
      <rPr>
        <sz val="10"/>
        <rFont val="Arial Unicode MS"/>
        <family val="2"/>
      </rPr>
      <t>204.1</t>
    </r>
  </si>
  <si>
    <r>
      <rPr>
        <sz val="10"/>
        <rFont val="Arial Unicode MS"/>
        <family val="2"/>
      </rPr>
      <t>205</t>
    </r>
  </si>
  <si>
    <r>
      <rPr>
        <sz val="10"/>
        <rFont val="Arial Unicode MS"/>
        <family val="2"/>
      </rPr>
      <t>3024159-Hội truyỄn thống Trường Sơn Đường HS Chí Minh tỉnh Kon Tum</t>
    </r>
  </si>
  <si>
    <r>
      <rPr>
        <sz val="10"/>
        <rFont val="Arial Unicode MS"/>
        <family val="2"/>
      </rPr>
      <t>205.1</t>
    </r>
  </si>
  <si>
    <r>
      <rPr>
        <sz val="10"/>
        <rFont val="Arial Unicode MS"/>
        <family val="2"/>
      </rPr>
      <t>206</t>
    </r>
  </si>
  <si>
    <r>
      <rPr>
        <sz val="10"/>
        <rFont val="Arial Unicode MS"/>
        <family val="2"/>
      </rPr>
      <t>3027473-Ban quản lý dự án "An ninh y tẽ khu vực tiều vùng Mê Công mở rộng" tỉnh Kon Tum</t>
    </r>
  </si>
  <si>
    <r>
      <rPr>
        <sz val="10"/>
        <rFont val="Arial Unicode MS"/>
        <family val="2"/>
      </rPr>
      <t>206.1</t>
    </r>
  </si>
  <si>
    <t>Mã ĐVSDNS</t>
  </si>
  <si>
    <r>
      <rPr>
        <b/>
        <sz val="11"/>
        <rFont val="Arial"/>
        <family val="2"/>
      </rPr>
      <t>Đơn vị</t>
    </r>
  </si>
  <si>
    <t>Quyết toán TX 2017</t>
  </si>
  <si>
    <t>QT chi TX</t>
  </si>
  <si>
    <t>QT CTMTQG</t>
  </si>
  <si>
    <t>Dự toán 2017</t>
  </si>
  <si>
    <t>ĐVT: triệu đồng</t>
  </si>
  <si>
    <r>
      <rPr>
        <b/>
        <sz val="10"/>
        <rFont val="Arial Unicode MS"/>
        <family val="2"/>
      </rPr>
      <t>00000</t>
    </r>
  </si>
  <si>
    <r>
      <rPr>
        <b/>
        <sz val="10"/>
        <rFont val="Arial Unicode MS"/>
        <family val="2"/>
      </rPr>
      <t>00629</t>
    </r>
  </si>
  <si>
    <r>
      <rPr>
        <b/>
        <sz val="10"/>
        <rFont val="Arial Unicode MS"/>
        <family val="2"/>
      </rPr>
      <t>00395</t>
    </r>
  </si>
  <si>
    <r>
      <rPr>
        <b/>
        <sz val="10"/>
        <rFont val="Arial Unicode MS"/>
        <family val="2"/>
      </rPr>
      <t>00024</t>
    </r>
  </si>
  <si>
    <r>
      <rPr>
        <b/>
        <sz val="10"/>
        <rFont val="Arial Unicode MS"/>
        <family val="2"/>
      </rPr>
      <t>00022</t>
    </r>
  </si>
  <si>
    <r>
      <rPr>
        <b/>
        <sz val="10"/>
        <rFont val="Arial Unicode MS"/>
        <family val="2"/>
      </rPr>
      <t>00709</t>
    </r>
  </si>
  <si>
    <r>
      <rPr>
        <b/>
        <sz val="10"/>
        <rFont val="Arial Unicode MS"/>
        <family val="2"/>
      </rPr>
      <t>00620</t>
    </r>
  </si>
  <si>
    <r>
      <rPr>
        <b/>
        <sz val="10"/>
        <rFont val="Arial Unicode MS"/>
        <family val="2"/>
      </rPr>
      <t>00023</t>
    </r>
  </si>
  <si>
    <r>
      <rPr>
        <b/>
        <sz val="10"/>
        <rFont val="Arial Unicode MS"/>
        <family val="2"/>
      </rPr>
      <t>00394</t>
    </r>
  </si>
  <si>
    <r>
      <rPr>
        <b/>
        <sz val="10"/>
        <rFont val="Arial Unicode MS"/>
        <family val="2"/>
      </rPr>
      <t>00729</t>
    </r>
  </si>
  <si>
    <r>
      <rPr>
        <b/>
        <sz val="10"/>
        <rFont val="Arial Unicode MS"/>
        <family val="2"/>
      </rPr>
      <t>00719</t>
    </r>
  </si>
  <si>
    <r>
      <rPr>
        <b/>
        <sz val="10"/>
        <rFont val="Arial Unicode MS"/>
        <family val="2"/>
      </rPr>
      <t>00025</t>
    </r>
  </si>
  <si>
    <r>
      <rPr>
        <b/>
        <sz val="10"/>
        <rFont val="Arial Unicode MS"/>
        <family val="2"/>
      </rPr>
      <t>00026</t>
    </r>
  </si>
  <si>
    <r>
      <rPr>
        <b/>
        <sz val="10"/>
        <rFont val="Arial Unicode MS"/>
        <family val="2"/>
      </rPr>
      <t>00257</t>
    </r>
  </si>
  <si>
    <r>
      <rPr>
        <b/>
        <sz val="10"/>
        <rFont val="Arial Unicode MS"/>
        <family val="2"/>
      </rPr>
      <t>00405</t>
    </r>
  </si>
  <si>
    <r>
      <rPr>
        <b/>
        <sz val="10"/>
        <rFont val="Arial Unicode MS"/>
        <family val="2"/>
      </rPr>
      <t>00649</t>
    </r>
  </si>
  <si>
    <r>
      <rPr>
        <b/>
        <sz val="10"/>
        <rFont val="Arial Unicode MS"/>
        <family val="2"/>
      </rPr>
      <t>00669</t>
    </r>
  </si>
  <si>
    <r>
      <rPr>
        <b/>
        <sz val="10"/>
        <rFont val="Arial Unicode MS"/>
        <family val="2"/>
      </rPr>
      <t>00018</t>
    </r>
  </si>
  <si>
    <r>
      <rPr>
        <b/>
        <sz val="10"/>
        <rFont val="Arial Unicode MS"/>
        <family val="2"/>
      </rPr>
      <t>00699</t>
    </r>
  </si>
  <si>
    <r>
      <rPr>
        <b/>
        <sz val="10"/>
        <rFont val="Arial Unicode MS"/>
        <family val="2"/>
      </rPr>
      <t>00391</t>
    </r>
  </si>
  <si>
    <t>Huyện Ia H'Drai</t>
  </si>
  <si>
    <t xml:space="preserve">Dự toán </t>
  </si>
  <si>
    <t xml:space="preserve">Quyết toán </t>
  </si>
  <si>
    <t>CÁC HUYỆN, THÀNH PHỐ (chi quyết toán tại NS cấp tỉnh)</t>
  </si>
  <si>
    <t>DT TX</t>
  </si>
  <si>
    <t>CT MTQG XD NTM</t>
  </si>
  <si>
    <t>CT MTQG GNBV</t>
  </si>
  <si>
    <t>CT MTQG GNBV - CT 135</t>
  </si>
  <si>
    <t>002685- Trường Trung Học PhS thông rrân Quốc Tuẫn</t>
  </si>
  <si>
    <t>006948- Trường Trung Học Cơ sờ -rhực Hành sư phạm Lý tự Trọng tỉnh &lt;ontum</t>
  </si>
  <si>
    <t>CT MTQG NTM</t>
  </si>
  <si>
    <t>CT MTQG NTN</t>
  </si>
  <si>
    <t>CT MTQG</t>
  </si>
  <si>
    <t>1053629-Công an tỉnh</t>
  </si>
  <si>
    <t>1053630-Bộ chỉ huy biên phòng tỉnh</t>
  </si>
  <si>
    <t>DT CT MTQG NTM</t>
  </si>
  <si>
    <t>BQL Khu bảo tồn Thiên nhiên Ngọc Linh</t>
  </si>
  <si>
    <t>Văn phòng ủy ban Nhân dân tỉnh</t>
  </si>
  <si>
    <t>Trung tâm Nước sinh hoạt và vs MT nông thôn</t>
  </si>
  <si>
    <t>Chi cục Thủy lợi tỉnh Kon rum</t>
  </si>
  <si>
    <t>BQL Rừng Phòng hộ Đăk Nhoong</t>
  </si>
  <si>
    <t>BQL Rừng Phòng hộ Thạch Mham</t>
  </si>
  <si>
    <t>BQL Rừng Phòng Hộ ĐăkBlô</t>
  </si>
  <si>
    <t>BQL Dự án Phát triển Cao su Mhân dân</t>
  </si>
  <si>
    <t>Hạt Kiểm lâm huyện Đak tô</t>
  </si>
  <si>
    <t>Thư viện Tinh</t>
  </si>
  <si>
    <t>Trung tâm Văn hóa Tỉnh</t>
  </si>
  <si>
    <t>Hội văn học Nghệ thuật</t>
  </si>
  <si>
    <t>Trung tâm Công nghệ Thông tin - Tài nguyên và Môi trường</t>
  </si>
  <si>
    <t>Trung tâm Phòng chổng Sốt rét</t>
  </si>
  <si>
    <t>Trung tâm Giám định Y khoa</t>
  </si>
  <si>
    <t>Bệnh viện Phục hồi chức năng</t>
  </si>
  <si>
    <t>Ban an toàn Giao thông</t>
  </si>
  <si>
    <t>Chi cục Phát triển Nông thôn</t>
  </si>
  <si>
    <t>Hạt Kiểm lâm huyện Kon Rầy</t>
  </si>
  <si>
    <t>Trường Dân tộc Nội trú Đakglei</t>
  </si>
  <si>
    <t>Ban Quản lý Rừng phòng hộ Đăk Ang</t>
  </si>
  <si>
    <t>Hạt Kiểm lâm huyện Tu Mơ Rông</t>
  </si>
  <si>
    <t>Chi cục Tiêu chuẫn Đo lường Chăt lượng</t>
  </si>
  <si>
    <t>Đội Kiểm lâm Cơ động --’CCCR số 2</t>
  </si>
  <si>
    <t>BQL Rừng phòng hộ Đăk Hà</t>
  </si>
  <si>
    <t>Bệnh viện Đa khoa Khu vực Mgọc hồi</t>
  </si>
  <si>
    <t>Hội Hữu nghị Việt Nam -Campuchia và Hội hữu Nghị Việt Nam Lào</t>
  </si>
  <si>
    <t>Ban quản lý Khu Nông nghiệp ứng dụng công nghệ cao Măng Đen</t>
  </si>
  <si>
    <t>Trung tâm Cứu hộ, bảo tồn và phát triển sinh vật vườn quốc gia Chư Mom Ray</t>
  </si>
  <si>
    <t>Trung tâm nghiên cứu và phát triền nông nghiệp công nghệ cao</t>
  </si>
  <si>
    <t>Ban quản lý khu nông nghiệp ứng dụng công nghệ cao Măng Đen</t>
  </si>
  <si>
    <t xml:space="preserve">Đoàn Đại biều Quốc hội Tình  </t>
  </si>
  <si>
    <t xml:space="preserve">Chi cục Chăn nuôi và Thú y :ỉnh  </t>
  </si>
  <si>
    <t xml:space="preserve">Trung tâm dịch vụ việc làm tỉnh  </t>
  </si>
  <si>
    <t xml:space="preserve">Hội Nông dân tinh  </t>
  </si>
  <si>
    <t xml:space="preserve">Tỉnh đoàn  </t>
  </si>
  <si>
    <t xml:space="preserve">Trường Tiểu học Thực hành sư phạm Ngụy Như  </t>
  </si>
  <si>
    <t xml:space="preserve">Bảo tàng - Thư viện tỉnh  </t>
  </si>
  <si>
    <t xml:space="preserve">Trung Tâm Bảo trợ và Công tác xã hội tỉnh  </t>
  </si>
  <si>
    <t xml:space="preserve">Ban bảo vệ, chăm sóc sức chòe cán bộ tỉnh  </t>
  </si>
  <si>
    <t xml:space="preserve">Bệnh viện Đa khoa tỉnh  </t>
  </si>
  <si>
    <t xml:space="preserve">Hội Liên hiệp Phụ nữ tỉnh  </t>
  </si>
  <si>
    <t xml:space="preserve">Trường Cao đẳng cộng đồng  </t>
  </si>
  <si>
    <t xml:space="preserve">Trung Tâm Khuyẽn Công -Xúc tiễn thương mại và Tư vãn công nghiệp tỉnh  </t>
  </si>
  <si>
    <t xml:space="preserve">Trung Tâm ứng dụng Tiẽn JỘ Khoa Học và Công nghệ  </t>
  </si>
  <si>
    <t xml:space="preserve">Chi cục Kiểm lâm tỉnh  </t>
  </si>
  <si>
    <t xml:space="preserve">Văn phòng đăng ký đãt đai tỉnh  </t>
  </si>
  <si>
    <t xml:space="preserve">BQL Rừng Phòng hộ Tu Mơ Rông - huyện Tu Mơ Rông - tỉnh  </t>
  </si>
  <si>
    <t xml:space="preserve">Hội Cựu Thanh niên xung phong tỉnh  </t>
  </si>
  <si>
    <t xml:space="preserve">Trung tâm Quan trắc tài nguyên và môi trường tỉnh  </t>
  </si>
  <si>
    <t xml:space="preserve">Ban quản lý di tích  </t>
  </si>
  <si>
    <t xml:space="preserve">Trung tâm phòng chổng HIV/AIDS tinh  </t>
  </si>
  <si>
    <t xml:space="preserve">Trung tâm pháp y tỉnh  </t>
  </si>
  <si>
    <t xml:space="preserve">Chi cục Bảo vệ Môi trường tỉnh  </t>
  </si>
  <si>
    <t xml:space="preserve">Chi cục Quản lý đãt đai tỉnh  </t>
  </si>
  <si>
    <t xml:space="preserve">Trung tâm Thông tin và Thống kê khoa học và công nghệ tỉnh  </t>
  </si>
  <si>
    <t xml:space="preserve">Chi cục Giâm định xây dựng tỉnh  </t>
  </si>
  <si>
    <t xml:space="preserve">Hội bóng bàn tỉnh  </t>
  </si>
  <si>
    <t>Ban quản lý dự án "Chăm sốc sức khòe nhân dân các tỉnh Tây Nguyên giai đoạn 2" tỉnh  .</t>
  </si>
  <si>
    <t>006948- Trường Trung Học Cơ sờ  thực hành sư phạm Lý tự Trọng tỉnh &lt;ontum</t>
  </si>
  <si>
    <t xml:space="preserve">Trường Măm non Thực hành sư phạm tỉnh   </t>
  </si>
  <si>
    <t xml:space="preserve">Trung tâm Giáo dục Thường xuyên   </t>
  </si>
  <si>
    <t xml:space="preserve">Văn phòng Hội đồng Nhân dân tỉnh   </t>
  </si>
  <si>
    <t xml:space="preserve">Trung tâm Khuyẽn nông tỉnh   </t>
  </si>
  <si>
    <t xml:space="preserve">Liên hiệp các Hội KH&amp;KT tỉnh   </t>
  </si>
  <si>
    <t xml:space="preserve">Trường Chính tri tỉnh   </t>
  </si>
  <si>
    <t xml:space="preserve">Hội nạn nhân chăt độc Da cam - Điôxin   </t>
  </si>
  <si>
    <t xml:space="preserve">Nhà khách Hữu nghị   </t>
  </si>
  <si>
    <t xml:space="preserve">Hội Cựu Giáo chức   </t>
  </si>
  <si>
    <t xml:space="preserve">Hội Luật gia tỉnh   </t>
  </si>
  <si>
    <t xml:space="preserve">Đoàn Luật sư tỉnh   </t>
  </si>
  <si>
    <t xml:space="preserve">Chi cục An toàn Vệ sinh Thực phẩm tỉnh   </t>
  </si>
  <si>
    <t xml:space="preserve">Ban quản lý Khai thác các công trinh thủy lợi tỉnh   </t>
  </si>
  <si>
    <t xml:space="preserve">Hội liên lạc người Việt nam ờ nước ngoài tỉnh   </t>
  </si>
  <si>
    <t xml:space="preserve">Dự ân Bạn hữu trè em tỉnh   </t>
  </si>
  <si>
    <t>Trường Trung Học phổ thông trần Quốc Tuấn</t>
  </si>
  <si>
    <t>BQL Quỹ khám chữa bệnh cho người nghèo</t>
  </si>
  <si>
    <t>Trường PT Dân tộc Nội trú huyện KonPlong</t>
  </si>
  <si>
    <t>Trường PT Dân tộc Nội trú huyện Đak tô</t>
  </si>
  <si>
    <t>Trường Trung học phổ thông Duy Tân</t>
  </si>
  <si>
    <t>Trung tâm Giống cây trồng, vật nuôi, thủy sản</t>
  </si>
  <si>
    <t xml:space="preserve">Chi cục Trồng trọt và Bảo vệ thực vật tỉnh  </t>
  </si>
  <si>
    <t>Trường Trung học phổ thông Nguyễn Văn Cừ</t>
  </si>
  <si>
    <t xml:space="preserve">Ban chỉ huy phòng chổng thiên tai và TKCN tỉnh  </t>
  </si>
  <si>
    <t>Trung tâm giáo dục nhề nghiệp nông nghiệp công nghệ cao</t>
  </si>
  <si>
    <t>Trường phổ thông dân tộc Nội trú huyện Tu Mơ Rông</t>
  </si>
  <si>
    <t>Ban Chỉ đạo phân giới, cắm mổc tỉnh</t>
  </si>
  <si>
    <t>Sở Ngoại vụ</t>
  </si>
  <si>
    <t xml:space="preserve">Trung tâm Phát hành Phim và Chiếu bống tỉnh   </t>
  </si>
  <si>
    <t>Trường Trung học phổ thông Nguyễn Du</t>
  </si>
  <si>
    <t>Hạt kiểm lâm huyện Đak Glei</t>
  </si>
  <si>
    <t>Hạt kiểm lâm huyện Đak hà</t>
  </si>
  <si>
    <t>Hạt kiểm lâm huyện Sa thây</t>
  </si>
  <si>
    <t>Trung tâm Đăng kiểm 82.01.s</t>
  </si>
  <si>
    <t>Đội kiểm lâm cơ động -3CCCRs61</t>
  </si>
  <si>
    <t>Đội kiểm lâm Cơ động &amp; 3CCCRs63</t>
  </si>
  <si>
    <t>Hạt kiểm lâm rừng phòng hộ Tu Mơ Rông</t>
  </si>
  <si>
    <t>Hạt kiểm lâm huyện Kon Plong</t>
  </si>
  <si>
    <t xml:space="preserve">Hội cựu chiến binh tỉnh  </t>
  </si>
  <si>
    <t xml:space="preserve">Trung tâm Ngoại ngữ - Tin học  </t>
  </si>
  <si>
    <t>Trường PT Dân tộc Nội trú luyện Đăk Hà</t>
  </si>
  <si>
    <t>Trường Trung học phổ thông Chuyên Nguyễn Tãt Thành</t>
  </si>
  <si>
    <t>BQL Vườn quốc gia Chư Mom Ray</t>
  </si>
  <si>
    <t>Trung tâm Trợ giúp Pháp lý nhà nước</t>
  </si>
  <si>
    <t xml:space="preserve">Trung tâm văn hóa Thể thao thanh thiếu nhi tỉnh  </t>
  </si>
  <si>
    <t>Hạt kiểm lâm thành phố Kon Tum</t>
  </si>
  <si>
    <t>Ban quản lý rừng Đặc dụng Đăk uy</t>
  </si>
  <si>
    <t>Hạt kiểm lâm huyện Ngọc Hồi</t>
  </si>
  <si>
    <t xml:space="preserve">Trường Cao đẳng sư phạm tỉnh   </t>
  </si>
  <si>
    <t>Trường PT Dân tộc Nội trú luyện Ngọc Hồi</t>
  </si>
  <si>
    <t xml:space="preserve">Hội chữ thập đỏ tỉnh   </t>
  </si>
  <si>
    <t xml:space="preserve">Trung tâm Văn hóa - nghệ thuật ttỉnh  </t>
  </si>
  <si>
    <t>Đài Phát thanh và Truyền hình</t>
  </si>
  <si>
    <t>Trung tâm Huấn luyện và Thi đấu Thể dục Thể thao</t>
  </si>
  <si>
    <t xml:space="preserve">Sở Nội vụ tỉnh  </t>
  </si>
  <si>
    <t>Chi Cục Quản lý thị trường</t>
  </si>
  <si>
    <t xml:space="preserve">Sở Kẽ hoạch và Đău tư tỉnh   </t>
  </si>
  <si>
    <t>Trung tâm Chăm sóc Sức khoẻ Sinh sản</t>
  </si>
  <si>
    <t>Trung tâm Y tế huyện Sa thăy</t>
  </si>
  <si>
    <t xml:space="preserve">Sở Y tế tinh   </t>
  </si>
  <si>
    <t>Trung tâm Kiểm nghiệm thuổc, Mỹ phầm, Thực phẩm</t>
  </si>
  <si>
    <t>Trung tâm Kiểm dịch Y tế Quốc tế</t>
  </si>
  <si>
    <t xml:space="preserve">Trường Trung cấp Y tế tỉnh  </t>
  </si>
  <si>
    <t xml:space="preserve">Trung tâm Y tế huyện Đăk tô tỉnh   </t>
  </si>
  <si>
    <t>Trung tâm y tế Huyện Đăk glei</t>
  </si>
  <si>
    <t>Trung tâm Y tế huyện Kon Rẫy</t>
  </si>
  <si>
    <t>Trung Tâm Y tế huyện Tu \/lơ Rông</t>
  </si>
  <si>
    <t xml:space="preserve">Công ty Đău tư phát triển Hạ ăng Khu Kinh tế tỉnh  </t>
  </si>
  <si>
    <t xml:space="preserve">Trung tâm Y tế huyện la -TDrai, tỉnh  </t>
  </si>
  <si>
    <t xml:space="preserve">Ban quản lý dự án "An ninh y tế khu vực tiều vùng Mê Công mở rộng" tỉnh  </t>
  </si>
  <si>
    <t>Trung tâm y tế huyện Kon Plong</t>
  </si>
  <si>
    <t>Trung tâm y tế Thành phổ Kon Tum</t>
  </si>
  <si>
    <t>Trung tâm y tế huyện Đak Hà</t>
  </si>
  <si>
    <t xml:space="preserve">Trung tâm kiểm soát bệnh tật tỉnh  </t>
  </si>
  <si>
    <t>Trung tâm Phòng chổng bệnh xã hội</t>
  </si>
  <si>
    <t>Trung tâm y tế huyện Ngọc Hồi</t>
  </si>
  <si>
    <t xml:space="preserve">Sở Giao thông Vận tải Tỉnh  </t>
  </si>
  <si>
    <t>Sở Xây dựng</t>
  </si>
  <si>
    <t>Sở Công Thương tỉnh</t>
  </si>
  <si>
    <t xml:space="preserve">Liên minh Hợp tác xã tỉnh </t>
  </si>
  <si>
    <t>Trường PT TH Dân tộc Nội trú huyện Sa Thầy</t>
  </si>
  <si>
    <t xml:space="preserve">Trường phổ thông Dân tộc nội trú tỉnh   </t>
  </si>
  <si>
    <t xml:space="preserve">Sở Tài nguyên và Môi trường tỉnh   </t>
  </si>
  <si>
    <t xml:space="preserve">Trường phổ thông Trung học   </t>
  </si>
  <si>
    <t>Trung Tâm Truyền thông -Giáo dục Sức khoẻ</t>
  </si>
  <si>
    <t>Trường Trung cãp Ngề</t>
  </si>
  <si>
    <t xml:space="preserve">Sở Khoa học và Công nghệ tỉnh   </t>
  </si>
  <si>
    <t>Sở Giáo dục và Đào tạo</t>
  </si>
  <si>
    <t xml:space="preserve">Sở Văn hoá Thể thao và Du lịch tỉnh   </t>
  </si>
  <si>
    <t xml:space="preserve">Trường Trung Học Cơ Sở  thực hành sư phạm Lý tự Trọng tỉnh  </t>
  </si>
  <si>
    <t>Sở Nông nghiệp và Phát triền Nông thôn</t>
  </si>
  <si>
    <t xml:space="preserve">Thanh tra Sở Giao thông vận tải tỉnh </t>
  </si>
  <si>
    <t>Sở Lao động Thương binh và xã hội</t>
  </si>
  <si>
    <t>Sở Tư Pháp</t>
  </si>
  <si>
    <t xml:space="preserve">Sở Tài chính tỉnh   </t>
  </si>
  <si>
    <t xml:space="preserve">Ban thi đua - khen thưởng trực thuộc Sở Nội vụ tỉnh  </t>
  </si>
  <si>
    <t xml:space="preserve">Ban Tôn giáo - trực thuộc Sở Nội vụ tỉnh  </t>
  </si>
  <si>
    <t xml:space="preserve">Uỷ ban Mặt trận Tồ quốc Việt Nam tỉnh   </t>
  </si>
  <si>
    <t>Sở Thông tin và Truyền rhông</t>
  </si>
  <si>
    <t>Trường Trung học phổ thông Nguyễn Trãi - huyện Ngọc Hồi</t>
  </si>
  <si>
    <t>Trường Trung học phổ thông Lê Lợi</t>
  </si>
  <si>
    <t xml:space="preserve">Trường Trung học phổ thông Chu Văn An huyện Kon Rẫy tỉnh  </t>
  </si>
  <si>
    <t xml:space="preserve">Trường Trung học phổ thông Lương Thẽ Vinh - huyện Đăk Glei tỉnh   </t>
  </si>
  <si>
    <t xml:space="preserve">Trường Trung học phổ thông Ngô Mây Thành phố    tỉnh   </t>
  </si>
  <si>
    <t>Trung tâm Phát triển Quỹ đất</t>
  </si>
  <si>
    <t>Trường Trung học phổ thông Sa Thầy</t>
  </si>
  <si>
    <t xml:space="preserve">Chi cục Dân sổ - Kẽ hoạch lóa Gia đinh  </t>
  </si>
  <si>
    <t>Trung Tâm Công nghệ rhông tin và Truyền thông</t>
  </si>
  <si>
    <t>Trung tâm Dịch vụ đãu giá tài sản</t>
  </si>
  <si>
    <t>Ban Quản lý Rừng phòng hộ Kon Rẫy</t>
  </si>
  <si>
    <t>Ban Liên lạc Tù chính trị</t>
  </si>
  <si>
    <t xml:space="preserve">Hội Khuyến học tỉnh   </t>
  </si>
  <si>
    <t>Trường phổ thông Dân tộc Mội trú huyện Kon Rẫy</t>
  </si>
  <si>
    <t xml:space="preserve">Hội bảo vệ Quyền trẻ em và Bảo trợ Người khuyẽt tật tỉnh  </t>
  </si>
  <si>
    <t xml:space="preserve">Hội đồng Nhân dân tinh   </t>
  </si>
  <si>
    <t xml:space="preserve">Trung đội Thanh niên xung phong Tĩnh  </t>
  </si>
  <si>
    <t>Uỷ ban tỉnh - Hội Liên hiệp Thanh niên Việt nam</t>
  </si>
  <si>
    <t xml:space="preserve">Chi cục quản lý chất lượng Nông lâm sản và Thủy sản tỉnh  </t>
  </si>
  <si>
    <t>Ban Quản lý Khu Kinh tế</t>
  </si>
  <si>
    <t>Ban Quản lý Dự ân khu vực Khu kinh tế cửa khẩu quốc tế Bờ Y</t>
  </si>
  <si>
    <t xml:space="preserve">Trường Trung học phổ thông Trường Chinh </t>
  </si>
  <si>
    <t xml:space="preserve">Trung Tâm hỗ trợ Thanh niên </t>
  </si>
  <si>
    <t xml:space="preserve">Trường Trung học phổ thông Phan Bội Châu - tỉnh   </t>
  </si>
  <si>
    <t>Trường Trung học phổ thông Phan Chu Trinh - huyện Ngọc Hồi</t>
  </si>
  <si>
    <t xml:space="preserve">Trung tâm Kỹ thuật Tiêu chuấn Đo lường Chất lượng tỉnh -  </t>
  </si>
  <si>
    <t xml:space="preserve">Chi cục Văn thư Lưu trữ, Sở Nội vụ  </t>
  </si>
  <si>
    <t>Ban chỉ đạo phân giới, cắm mổc tỉnh (Viêt nam - Cam Pu Chia)</t>
  </si>
  <si>
    <t xml:space="preserve">Bệnh viện Y dược cổ truyền tỉnh   </t>
  </si>
  <si>
    <t xml:space="preserve"> Ban Quản lý mua sắm thiết trường học Sở giáo dục đào tạo</t>
  </si>
  <si>
    <t xml:space="preserve">Hội Giáo dục chăm sóc sức khoẻ cộng đồng tỉnh   </t>
  </si>
  <si>
    <t xml:space="preserve">Phân hiệu trường Trung học phổ thông Lương Thế Vinh - huyện Đăk Glei </t>
  </si>
  <si>
    <t>Trung tâm Dạy nghễ và Hỗ trợ Nông dân</t>
  </si>
  <si>
    <t>Hạt kiểm lâm Huyện H'Drai</t>
  </si>
  <si>
    <t xml:space="preserve">Ban quản lý dự án Hỗ trợ quản trị địa phương trách nhiệm giải trình, đáp ứng được tại tỉnh  </t>
  </si>
  <si>
    <t>Phân hiệu trường phổ thông Dân tộc nội trú tỉnh tại huyện la HDrai</t>
  </si>
  <si>
    <t xml:space="preserve">Trung tâm Xúc tiến Đầu tư tỉnh   </t>
  </si>
  <si>
    <t xml:space="preserve">Văn phòng Điềuphổi chương trinh Mục tiêu quốc gia Xây dựng nông thôn mới tỉnh   </t>
  </si>
  <si>
    <t xml:space="preserve">Ban đại diện Hội người cao tuổi tỉnh  </t>
  </si>
  <si>
    <t xml:space="preserve">Phòng công chứng sổ 2 </t>
  </si>
  <si>
    <t xml:space="preserve">Hội truyền thống Trường Sơn Đường HS Chí Minh tỉnh  </t>
  </si>
  <si>
    <t xml:space="preserve">Sở Kế hoạch và Đầu tư </t>
  </si>
  <si>
    <t xml:space="preserve">Sở Giao thông vận tải </t>
  </si>
  <si>
    <t xml:space="preserve">Sở Văn hóa thông tin </t>
  </si>
  <si>
    <t>Phân hiệu trường phổ thông Dân tộc nội trú huyện Kon Plông</t>
  </si>
  <si>
    <t>22</t>
  </si>
  <si>
    <t>23</t>
  </si>
  <si>
    <t>24</t>
  </si>
  <si>
    <t>25</t>
  </si>
  <si>
    <t>26</t>
  </si>
  <si>
    <t>27</t>
  </si>
  <si>
    <t>28</t>
  </si>
  <si>
    <t>29</t>
  </si>
  <si>
    <t>31</t>
  </si>
  <si>
    <t>32</t>
  </si>
  <si>
    <t>33</t>
  </si>
  <si>
    <t>34</t>
  </si>
  <si>
    <t>35</t>
  </si>
  <si>
    <t>38</t>
  </si>
  <si>
    <t>41</t>
  </si>
  <si>
    <t>42</t>
  </si>
  <si>
    <t>43</t>
  </si>
  <si>
    <t>44</t>
  </si>
  <si>
    <t>45</t>
  </si>
  <si>
    <t>46</t>
  </si>
  <si>
    <t>47</t>
  </si>
  <si>
    <t>48</t>
  </si>
  <si>
    <t>51</t>
  </si>
  <si>
    <t>52</t>
  </si>
  <si>
    <t>53</t>
  </si>
  <si>
    <t>54</t>
  </si>
  <si>
    <t>55</t>
  </si>
  <si>
    <t>56</t>
  </si>
  <si>
    <t>57</t>
  </si>
  <si>
    <t>58</t>
  </si>
  <si>
    <t>59</t>
  </si>
  <si>
    <t>60</t>
  </si>
  <si>
    <t>61</t>
  </si>
  <si>
    <t>62</t>
  </si>
  <si>
    <t>63</t>
  </si>
  <si>
    <t>64</t>
  </si>
  <si>
    <t>65</t>
  </si>
  <si>
    <t>66</t>
  </si>
  <si>
    <t>67</t>
  </si>
  <si>
    <t>68</t>
  </si>
  <si>
    <t>69</t>
  </si>
  <si>
    <t>70</t>
  </si>
  <si>
    <t>71</t>
  </si>
  <si>
    <t>72</t>
  </si>
  <si>
    <t>73</t>
  </si>
  <si>
    <t>74</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</si>
  <si>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</si>
  <si>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</si>
  <si>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</si>
  <si>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</si>
  <si>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</si>
  <si>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</si>
  <si>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</si>
  <si>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</si>
  <si>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</si>
  <si>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</si>
  <si>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</si>
  <si>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</si>
  <si>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</si>
  <si>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</si>
  <si>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</si>
  <si>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</si>
  <si>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</si>
  <si>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</si>
  <si>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</si>
  <si>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</si>
  <si>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</si>
  <si>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</si>
  <si>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</si>
  <si>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</si>
  <si>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</si>
  <si>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</si>
  <si>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</si>
  <si>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</si>
  <si>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</si>
  <si>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</si>
  <si>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</si>
  <si>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</si>
  <si>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</si>
  <si>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</si>
  <si>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</si>
  <si>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</si>
  <si>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</si>
  <si>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</si>
  <si>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</si>
  <si>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</si>
  <si>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</si>
  <si>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</si>
  <si>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</si>
  <si>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</si>
  <si>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</si>
  <si>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</si>
  <si>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</si>
  <si>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</si>
  <si>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</si>
  <si>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</si>
  <si>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</si>
  <si>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</si>
  <si>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</si>
  <si>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</si>
  <si>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</si>
  <si>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</si>
  <si>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</si>
  <si>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</si>
  <si>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</si>
  <si>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</si>
  <si>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</si>
  <si>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</si>
  <si>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</si>
  <si>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</si>
  <si>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</si>
  <si>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</si>
  <si>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</si>
  <si>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</si>
  <si>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</si>
  <si>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</si>
  <si>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</si>
  <si>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</si>
  <si>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</si>
  <si>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</si>
  <si>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</si>
  <si>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</si>
  <si>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</si>
  <si>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</si>
  <si>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</si>
  <si>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</si>
  <si>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</si>
  <si>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</si>
  <si>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</si>
  <si>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</si>
  <si>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</si>
  <si>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</si>
  <si>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</si>
  <si>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</si>
  <si>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</si>
  <si>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</si>
  <si>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</si>
  <si>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</si>
  <si>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</si>
  <si>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</si>
  <si>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</si>
  <si>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</si>
  <si>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</si>
  <si>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</si>
  <si>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</si>
  <si>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</si>
  <si>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</si>
  <si>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</si>
  <si>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</si>
  <si>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</si>
  <si>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</si>
  <si>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</si>
  <si>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</si>
  <si>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</si>
  <si>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</si>
  <si>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</si>
  <si>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</si>
  <si>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</si>
  <si>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</si>
  <si>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</si>
  <si>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</si>
  <si>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</si>
  <si>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</si>
  <si>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</si>
  <si>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</si>
  <si>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</si>
  <si>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</si>
  <si>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</si>
  <si>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</si>
  <si>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</si>
  <si>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</si>
  <si>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</si>
  <si>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</si>
  <si>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</si>
  <si>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</si>
  <si>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</si>
  <si>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</si>
  <si>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</si>
  <si>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</si>
  <si>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</si>
  <si>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</si>
  <si>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</si>
  <si>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</si>
  <si>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</si>
  <si>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</si>
  <si>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</si>
  <si>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</si>
  <si>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</si>
  <si>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</si>
  <si>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</si>
  <si>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</si>
  <si>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</si>
  <si>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</si>
  <si>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</si>
  <si>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</si>
  <si>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 xml:space="preserve">Bệnh viện y học cổ truyền tỉnh   </t>
  </si>
  <si>
    <t xml:space="preserve">Chi cục Chăn nuôi và Thú y </t>
  </si>
  <si>
    <t>Đoàn nghệ thuật tỉnh</t>
  </si>
  <si>
    <t>Sở Thông tin và Truyền thông</t>
  </si>
  <si>
    <t>Trung tâm Y tế Huyện Đăk glei</t>
  </si>
  <si>
    <t>Trung tâm Y tế huyện Đak Hà</t>
  </si>
  <si>
    <t>Trung tâm Y tế Thành phổ Kon Tum</t>
  </si>
  <si>
    <t>20=9/1</t>
  </si>
  <si>
    <t>21=10/2</t>
  </si>
  <si>
    <t>22=11/3</t>
  </si>
  <si>
    <t>23=14/6</t>
  </si>
  <si>
    <t xml:space="preserve">Ban bảo vệ, chăm sóc sức khoẻ cán bộ tỉnh  </t>
  </si>
  <si>
    <t>1030058-Ban Chỉ đạo phân giới, cắm mổc tỉnh Kontum (Việt nam - Lào)</t>
  </si>
  <si>
    <t>Ban Chỉ đạo phân giới, cắm mổc tỉnh (Việt nam - Lào)</t>
  </si>
  <si>
    <t>Ban quản lý rừng Đặc dụng Đăk Uy</t>
  </si>
  <si>
    <t>Bệnh viện Đa khoa Khu vực Ngọc Hồi</t>
  </si>
  <si>
    <t>Chi cục quản lý chất lượng Nông lâm sản và Thủy sản</t>
  </si>
  <si>
    <t>BQL khu nông nghiệp ứng dụng công nghệ cao Măng Đen</t>
  </si>
  <si>
    <t>BQL Rừng Phòng hộ Tu Mơ Rông</t>
  </si>
  <si>
    <t xml:space="preserve">Chi cục Giám định xây dựng tỉnh  </t>
  </si>
  <si>
    <t>Chi cục Tiêu chuẩn Đo lường Chất lượng</t>
  </si>
  <si>
    <t>Đoàn Đại biều Quốc hội tỉnh</t>
  </si>
  <si>
    <t>Đội Kiểm lâm Cơ động PCCCR số 2</t>
  </si>
  <si>
    <t>Đội kiểm lâm cơ động PCCCR số 1</t>
  </si>
  <si>
    <t>Đội kiểm lâm Cơ động và PCCCR số 3</t>
  </si>
  <si>
    <t xml:space="preserve">Dự án Bạn hữu trè em tỉnh   </t>
  </si>
  <si>
    <t>Hạt Kiểm lâm huyện Kon Plong</t>
  </si>
  <si>
    <t>Hạt Kiểm lâm huyện Ngọc Hồi</t>
  </si>
  <si>
    <t>Hạt Kiểm lâm rừng phòng hộ Tu Mơ Rông</t>
  </si>
  <si>
    <t>Hạt Kiểm lâm thành phố Kon Tum</t>
  </si>
  <si>
    <t>Hội bảo vệ Quyền trẻ em và Bảo trợ Người khuyết tật</t>
  </si>
  <si>
    <t xml:space="preserve">Hội nạn nhân chất độc Da cam - Điôxin   </t>
  </si>
  <si>
    <t>Trung tâm Dạy nghề và Hỗ trợ Nông dân</t>
  </si>
  <si>
    <t>Trung tâm Dịch vụ đấu giá tài sản</t>
  </si>
  <si>
    <t>Trung tâm Kỹ thuật Tiêu chuấn Đo lường Chất lượng</t>
  </si>
  <si>
    <t>Trung tâm GD nghề nghiệp nông nghiệp công nghệ cao</t>
  </si>
  <si>
    <t>Trung tâm Nước sinh hoạt và VSMT nông thôn</t>
  </si>
  <si>
    <t>Trung tâm Thông tin và Thống kê khoa học và công nghệ</t>
  </si>
  <si>
    <t>Trung tâm Y tế huyện Sa Thầy</t>
  </si>
  <si>
    <t>30</t>
  </si>
  <si>
    <t>36</t>
  </si>
  <si>
    <t>37</t>
  </si>
  <si>
    <t>39</t>
  </si>
  <si>
    <t>49</t>
  </si>
  <si>
    <t>50</t>
  </si>
  <si>
    <t>75</t>
  </si>
  <si>
    <t>164</t>
  </si>
  <si>
    <t xml:space="preserve">Sở Khoa học và Công nghệ </t>
  </si>
  <si>
    <t xml:space="preserve">Sở Công Thương </t>
  </si>
  <si>
    <t xml:space="preserve">Sở Nội vụ </t>
  </si>
  <si>
    <t xml:space="preserve">Sở Tài chính </t>
  </si>
  <si>
    <t xml:space="preserve">Sở Tài nguyên và Môi trường </t>
  </si>
  <si>
    <t xml:space="preserve">Sở Văn hoá Thể thao và Du lịch </t>
  </si>
  <si>
    <t xml:space="preserve">Ban quản lý Khai thác các công trinh thủy lợi </t>
  </si>
  <si>
    <t>Ban bảo vệ, chăm sóc sức khoẻ cán bộ</t>
  </si>
  <si>
    <t xml:space="preserve">Ban chỉ huy phòng chổng thiên tai và TKCN </t>
  </si>
  <si>
    <t xml:space="preserve">Ban đại diện Hội người cao tuổi </t>
  </si>
  <si>
    <t>Quỹ bảo trì đường bộ Kon Tum (duy tu sửa chữa các tỉnh lộ)</t>
  </si>
  <si>
    <t>Quỹ vì người nghèo tỉnh Kon Tum</t>
  </si>
  <si>
    <t>Hỗ trợ các đơn vị TW đóng trên địa bàn tỉnh và đơn vị khác</t>
  </si>
  <si>
    <t>CHI TRẢ NỢ VAY KHC KÊNH MƯƠNG</t>
  </si>
  <si>
    <t>Hạt Kiểm lâm Huyện Ia H'Drai</t>
  </si>
  <si>
    <t>Hạt Kiểm lâm huyện Sa Thầy</t>
  </si>
  <si>
    <t xml:space="preserve">Chi cục Dân sổ - Kế hoạch hoá Gia đinh  </t>
  </si>
  <si>
    <t>Trung Tâm Công nghệ thông tin và Truyền thông</t>
  </si>
  <si>
    <t>Trung tâm Công nghệ thông tin - Tài nguyên và Môi trường</t>
  </si>
  <si>
    <t xml:space="preserve">Văn phòng đăng ký đất đai tỉnh  </t>
  </si>
  <si>
    <t>Trường Trung học phổ thông Chu Văn An huyện Kon Rẫy</t>
  </si>
  <si>
    <t xml:space="preserve">Trường Cao đẳng sư phạm </t>
  </si>
  <si>
    <t xml:space="preserve">Trường phổ thông Trung học  Kon Tum </t>
  </si>
  <si>
    <t xml:space="preserve">Trường phổ thông Trung học Kon Tum   </t>
  </si>
  <si>
    <t xml:space="preserve">Trường Tiểu học Thực hành sư phạm Ngụy Như KT </t>
  </si>
  <si>
    <t>Trường phổ thông Dân tộc Nội trú huyện Kon Rẫy</t>
  </si>
  <si>
    <t>Trường  phổ thông Dân tộc Nội trú huyện Đak Tô</t>
  </si>
  <si>
    <t>Trường  phổ thông Dân tộc Nội trú huyện Kon Plong</t>
  </si>
  <si>
    <t>Trường  phổ thông Dân tộc Nội trú huyện Sa Thầy</t>
  </si>
  <si>
    <t>Trường phổ thông Dân tộc Nội trú Đak glei</t>
  </si>
  <si>
    <t xml:space="preserve">Trường Trung học phổ thông Ngô Mây </t>
  </si>
  <si>
    <t xml:space="preserve">Trung tâm Y tế huyện Đăk Tô  </t>
  </si>
  <si>
    <t>Trung tâm Y tế huyện Ngọc Hồi</t>
  </si>
  <si>
    <t xml:space="preserve">Trường Chính trị tỉnh   </t>
  </si>
  <si>
    <t>Trung tâm Chăm sóc Sức khoẻ sinh sản</t>
  </si>
  <si>
    <t xml:space="preserve">Trung tâm Đăng kiểm </t>
  </si>
  <si>
    <t>BQL Rừng Phòng hộ Thạch Nham</t>
  </si>
  <si>
    <t>Sở Nông nghiệp và Phát triền nông thôn</t>
  </si>
  <si>
    <t>Văn phòng Uỷ ban nhân dân tỉnh</t>
  </si>
  <si>
    <t xml:space="preserve">Ban quản lý dự án "An ninh y tế khu vực tiều vùng Mê Kông mở rộng" tỉnh  </t>
  </si>
  <si>
    <t>Ban Quản lý Dự án khu vực Khu kinh tế cửa khẩu quốc tế Bờ Y</t>
  </si>
  <si>
    <t>BQL mua sắm thiết trường học Sở Giáo dục và Đào tạo</t>
  </si>
  <si>
    <t>BQL Dự án Phát triển Cao su nhân dân</t>
  </si>
  <si>
    <t xml:space="preserve">Chi cục Bảo vệ Môi trường </t>
  </si>
  <si>
    <t xml:space="preserve">Chi cục An toàn Vệ sinh Thực phẩm </t>
  </si>
  <si>
    <t xml:space="preserve">Chi cục Kiểm lâm </t>
  </si>
  <si>
    <t xml:space="preserve">Chi cục Quản lý đất đai </t>
  </si>
  <si>
    <t>Chi cục Thủy lợi tỉnh Kon Tum</t>
  </si>
  <si>
    <t xml:space="preserve">Chi cục Trồng trọt và Bảo vệ thực vật </t>
  </si>
  <si>
    <t xml:space="preserve">Công ty Đầu tư phát triển Hạ tầng Khu Kinh tế tỉnh  </t>
  </si>
  <si>
    <t xml:space="preserve">Công ty TNHH MTV Lâm nghiệp Ia H'Drai </t>
  </si>
  <si>
    <t>Hạt Kiểm lâm huyện Đăk Glei</t>
  </si>
  <si>
    <t>Hạt Kiểm lâm huyện Đăk Hà</t>
  </si>
  <si>
    <t>Hạt Kiểm lâm huyện Đăk Tô</t>
  </si>
  <si>
    <t xml:space="preserve">Hội truyền thống Trường Sơn Đường Hồ Chí Minh tỉnh  </t>
  </si>
  <si>
    <t>Phân hiệu trường phổ thông Dân tộc nội trú huyện la H'Drai</t>
  </si>
  <si>
    <t xml:space="preserve">Phân hiệu trường THPT Lương Thế Vinh huyện Đăk Glei </t>
  </si>
  <si>
    <t>Thanh tra Sở Giao thông vận tải</t>
  </si>
  <si>
    <t>Thư viện tỉnh</t>
  </si>
  <si>
    <t>Trung đội Thanh niên xung phong tỉnh</t>
  </si>
  <si>
    <t xml:space="preserve">Trung Tâm Bảo trợ và Công tác xã hội </t>
  </si>
  <si>
    <t>Trung tâm Cứu hộ, bảo tồn và PT sinh vật VQG Chư Mom Ray</t>
  </si>
  <si>
    <t xml:space="preserve">Trung tâm dịch vụ việc làm </t>
  </si>
  <si>
    <t>Trung Tâm Khuyến Công -Xúc tiến thương mại và Tư vấn công nghiệp</t>
  </si>
  <si>
    <t xml:space="preserve">Trung tâm kiểm soát bệnh tật </t>
  </si>
  <si>
    <t xml:space="preserve">Trung tâm Khuyến nông </t>
  </si>
  <si>
    <t xml:space="preserve">Trung tâm Phát hành Phim và Chiếu bóng tỉnh   </t>
  </si>
  <si>
    <t xml:space="preserve">Trung tâm Quan trắc tài nguyên và môi trường </t>
  </si>
  <si>
    <t>Trung tâm Truyền thông - Giáo dục Sức khoẻ</t>
  </si>
  <si>
    <t xml:space="preserve">Trung tâm ứng dụng tiến bộ Khoa học và Công nghệ  </t>
  </si>
  <si>
    <t>Trung tâm Văn hóa - nghệ thuật</t>
  </si>
  <si>
    <t xml:space="preserve">Trung tâm văn hóa Thể thao thanh thiếu nhi </t>
  </si>
  <si>
    <t>Trung tâm Văn hóa tỉnh</t>
  </si>
  <si>
    <t xml:space="preserve">Trung tâm Xúc tiến Đầu tư </t>
  </si>
  <si>
    <t>Trung tâm Y tế huyện la H'Drai</t>
  </si>
  <si>
    <t>Trung tâm Y tế huyện Tu Mơ Rông</t>
  </si>
  <si>
    <t xml:space="preserve">Trường Mầm non Thực hành sư phạm </t>
  </si>
  <si>
    <t xml:space="preserve">Trường Trung cấp Y tế </t>
  </si>
  <si>
    <t xml:space="preserve">Trường Trung Học Cơ Sở  THSP Lý tự Trọng </t>
  </si>
  <si>
    <t>Trường Trung học phổ thông Chuyên Nguyễn Tất Thành</t>
  </si>
  <si>
    <t>Trường Trung học phổ thông Lương Thẽ Vinh - huyện Đăk Glei</t>
  </si>
  <si>
    <t xml:space="preserve">Trường Trung học phổ thông Phan Bội Châu   </t>
  </si>
  <si>
    <t xml:space="preserve">Các Công ty TNHH MTV Lâm nghiệp </t>
  </si>
  <si>
    <t>Văn phòng Điều phối CT MTQG Xây dựng nông thôn mới</t>
  </si>
  <si>
    <t>Trường  phổ thông Dân tộc Nội trú huyện Đăk Hà</t>
  </si>
  <si>
    <t>Trường  phổ thông Dân tộc Nội trú huyện Ngọc Hồi</t>
  </si>
  <si>
    <t>Trường Trung học phổ thông huyện Sa Thầy</t>
  </si>
  <si>
    <t>1=2+..+6</t>
  </si>
  <si>
    <t>14=15+16</t>
  </si>
  <si>
    <t>9=10+..+14+17</t>
  </si>
  <si>
    <t>CHI BỔ SUNG QUỸ DỰ TRỮ TÀI CHÍNH, CHI BỔ SUNG CÓ  MT CHO NGÂN SÁCH HUYỆN</t>
  </si>
  <si>
    <t>(Kèm theo Quyết định số          /QĐ-UBND ngày       /12/2018 của Uỷ ban nhân dân tỉnh Kon Tum)</t>
  </si>
  <si>
    <t xml:space="preserve">      Đơn vị: Triệu đồng</t>
  </si>
  <si>
    <r>
      <t xml:space="preserve">CÁC HUYỆN, THÀNH PHỐ </t>
    </r>
    <r>
      <rPr>
        <sz val="12"/>
        <rFont val="Times New Roman"/>
        <family val="1"/>
      </rPr>
      <t>(quyết toán tại NS cấp tỉnh)</t>
    </r>
  </si>
  <si>
    <t>NST</t>
  </si>
  <si>
    <t>NSH</t>
  </si>
  <si>
    <t>CL</t>
  </si>
  <si>
    <t>Không xáo các dòng này, vì kết nối số liệu</t>
  </si>
  <si>
    <t>Ngân hàng chính sách xã hội tỉnh (kinh phí cấp vốn uỷ thác; kinh phí cho hộ nghèo làm nhà ở trên địa bàn tỉnh)</t>
  </si>
  <si>
    <t>Sở Nông nghiệp và Phát triển nông thôn</t>
  </si>
  <si>
    <t xml:space="preserve">Chi đầu tư và hỗ trợ vốn cho doanh nghiệp hoạt động công ích </t>
  </si>
  <si>
    <t>QUYẾT TOÁN CHI NGÂN SÁCH CẤP TỈNH THEO CHO TỪNG CƠ QUAN, TỔ CHỨC NĂM 2018</t>
  </si>
  <si>
    <t>Ban chỉ đạo phân giới, cắm mốc tỉnh Kontum ( Viêt nam - Cam Pu Chia)</t>
  </si>
  <si>
    <t xml:space="preserve">Ban quản lý dự án Hỗ trợ quản trị địa phương trách nhiệm giải trình, đáp ứng được tại tỉnh Kon Tum </t>
  </si>
  <si>
    <t>Báo Kon Tum</t>
  </si>
  <si>
    <t>Ban quản lý dự án 5 triệu ha rừng Công ty đầu tư phát triển lâm nông công nghiệp và dịch vụ Đăk Tô</t>
  </si>
  <si>
    <t>Ban quản lý Dự án giảm nghèo khu vực Tây nguyên huyện Kon Plông</t>
  </si>
  <si>
    <t>Ban quản lý Dự án giảm nghèo khu vực Tây nguyên huyện Ngọc Hồi</t>
  </si>
  <si>
    <t>Ban quản lý Dự án giảm nghèo khu vực Tây Nguyên xã Sa Thầy</t>
  </si>
  <si>
    <t>Ban quản lý Dự án giảm nghèo khu vực Tây Nguyên xã Đăk Glei</t>
  </si>
  <si>
    <t>Ban quản lý dự án Phát triển trẻ thơ toàn diện tỉnh Kon Tum giai đoạn 2017 - 2021</t>
  </si>
  <si>
    <t>BQL Rừng phòng hộ Đăk Glei</t>
  </si>
  <si>
    <t>Liên đoàn cầu lông tỉnh Kon Tum</t>
  </si>
  <si>
    <t>Trung tâm nghiên cứu và phát triển nông nghiệp công nghệ cao</t>
  </si>
  <si>
    <t>Trung tâm Nghiên cứu, Ứng dụng và Dịch vụ khoa học và công nghệ tỉnh Kon Tum</t>
  </si>
  <si>
    <t>Trường Trung Học phổ thông Trần Quốc Tuấn</t>
  </si>
  <si>
    <t>Văn phòng Bảo hiểm xã hội tỉnh (chi trả BHYT cho các đối tượng Chính sách, hộ nghèo, ...)</t>
  </si>
  <si>
    <t>Các đơn vị khác không có mã số thụ hưởng ngân sách tỉnh Kontum</t>
  </si>
  <si>
    <t>Công đoàn viên chức tỉnh Kon Tum</t>
  </si>
  <si>
    <t>Các quan hệ khác của ngân sách</t>
  </si>
  <si>
    <t>CÂN ĐỐI NGÂN SÁCH ĐỊA PHƯƠNG NĂM 2018</t>
  </si>
  <si>
    <t>(Kèm theo Quyết định số          /QĐ-UBND ngày       /01/2020 của Uỷ ban nhân dân tỉnh Kon Tum)</t>
  </si>
  <si>
    <t>CÂN ĐỐI QUYẾT TOÁN NGÂN SÁCH ĐỊA PHƯƠNG NĂM 2018</t>
  </si>
  <si>
    <t>8. Ghi thu huy động đóng góp, viện trợ</t>
  </si>
  <si>
    <t>9. Vay của ngân sách địa phương</t>
  </si>
  <si>
    <t xml:space="preserve"> - Kết dư ngân sách năm 2018</t>
  </si>
  <si>
    <t>Ngày      tháng 8 năm 2019</t>
  </si>
  <si>
    <t>Kon Tum, ngày       tháng       năm 2019</t>
  </si>
  <si>
    <r>
      <t xml:space="preserve">Ghi chú: Đây là mẫu chung cho cấp tỉnh, huyện, xã, khi báo cáo, dùng và in các chỉ tiêu thuộc phạm vi được giao quản lý của cấp tương ứng; </t>
    </r>
    <r>
      <rPr>
        <i/>
        <vertAlign val="superscript"/>
        <sz val="12"/>
        <rFont val="Times New Roman"/>
        <family val="1"/>
      </rPr>
      <t>1</t>
    </r>
    <r>
      <rPr>
        <i/>
        <sz val="12"/>
        <rFont val="Times New Roman"/>
        <family val="1"/>
      </rPr>
      <t xml:space="preserve"> Ngân sách cấp huyện và ngân sách cấp xã không có nội dung này.</t>
    </r>
  </si>
  <si>
    <t>Mẫu biểu số 61</t>
  </si>
  <si>
    <t>QUYẾT TOÁN THU NSNN, VAY NGÂN SÁCH ĐỊA PHƯƠNG NĂM 2018</t>
  </si>
  <si>
    <t>(Dùng cho Ủy ban nhân dân cấp dưới báo cáo cơ quan tài chính cấp trên trực tiếp)</t>
  </si>
  <si>
    <t>Dự toán năm 2018</t>
  </si>
  <si>
    <t>Quyết toán năm 2018</t>
  </si>
  <si>
    <t>Phân chia theo từng cấp ngân sách</t>
  </si>
  <si>
    <t>So sánh QT/DT (%)</t>
  </si>
  <si>
    <t>3=4+5+6+7</t>
  </si>
  <si>
    <t>8=3/1</t>
  </si>
  <si>
    <t>9=3/2</t>
  </si>
  <si>
    <t>TỔNG SỐ (A+B+C+D+E)</t>
  </si>
  <si>
    <t>THU NGÂN SÁCH NHÀ NƯỚC</t>
  </si>
  <si>
    <t>Thu từ khu vực doanh nghiệp nhà nước do Trung ương quản lý</t>
  </si>
  <si>
    <t>- Thuế môn bài</t>
  </si>
  <si>
    <t>Thu từ khu vực doanh nghiệp nhà nước do địa phương quản lý</t>
  </si>
  <si>
    <t>Thu từ khu vực doanh nghiệp có vốn đầu tư nước ngoài</t>
  </si>
  <si>
    <t xml:space="preserve">                - Thu từ hàng hóa sản xuất trong nước</t>
  </si>
  <si>
    <t>Bao gồm: - Phí, lệ phí do cơ quan nhà nước trung ương thu</t>
  </si>
  <si>
    <t xml:space="preserve">               - Phí, lệ phí do cơ quan nhà nước địa phương thu</t>
  </si>
  <si>
    <t xml:space="preserve">               Trong đó: phí bảo vệ môi trường đối với khai thác khoáng sản</t>
  </si>
  <si>
    <t>Trong đó: - Thu khác ngân sách trung ương</t>
  </si>
  <si>
    <t xml:space="preserve">                - Thu tiền quyền sử dụng rừng</t>
  </si>
  <si>
    <t>Hiển bổ sung thêm dong này</t>
  </si>
  <si>
    <t>Các khoản huy động đóng góp xây dựng cơ sở hạ tầng</t>
  </si>
  <si>
    <t>Các khoản huy động đóng góp khác</t>
  </si>
  <si>
    <t>Thu hồi vốn của Nhà nước và thu từ quỹ dự trữ tài chính</t>
  </si>
  <si>
    <t>Thu từ bán cổ phần, vốn góp của Nhà nước nộp ngân sách</t>
  </si>
  <si>
    <t>Thu từ các khoản cho vay của ngân sách</t>
  </si>
  <si>
    <t>Thu nợ gốc cho vay</t>
  </si>
  <si>
    <t>Thu lãi cho vay</t>
  </si>
  <si>
    <t>VAY CỦA NGÂN SÁCH ĐỊA PHƯƠNG</t>
  </si>
  <si>
    <t>Vay bù đắp bội chi NSĐP</t>
  </si>
  <si>
    <t>Vay trong nước</t>
  </si>
  <si>
    <t>Vay lại từ nguồn Chính phủ vay ngoài nước</t>
  </si>
  <si>
    <t>Vay để trả nợ gốc vay</t>
  </si>
  <si>
    <t>Viện trợ</t>
  </si>
  <si>
    <t>THU CHUYỂN GIAO NGÂN SÁCH</t>
  </si>
  <si>
    <t>1.</t>
  </si>
  <si>
    <t>2.</t>
  </si>
  <si>
    <t xml:space="preserve">Bổ sung có mục tiêu bằng nguồn vốn trong nước </t>
  </si>
  <si>
    <t>Bổ sung có mục tiêu bằng nguồn vốn ngoài nước</t>
  </si>
  <si>
    <t>THU CHUYỂN NGUỒN</t>
  </si>
  <si>
    <t>F</t>
  </si>
  <si>
    <t>THU KẾT DƯ NGÂN SÁCH</t>
  </si>
  <si>
    <t>Ngày      tháng 8 năm  2019</t>
  </si>
  <si>
    <t xml:space="preserve">   GIÁM ĐỐC</t>
  </si>
  <si>
    <t xml:space="preserve"> GIÁM ĐỐC</t>
  </si>
  <si>
    <t>Ghi chú: Đây là mẫu chung cho cấp tỉnh, huyện, xã, khi báo cáo, dùng và in các chỉ tiêu thuộc phạm vi được giao quản lý của cấp tương ứng</t>
  </si>
  <si>
    <t>Các khoản thu phân chia theo tỷ lệ</t>
  </si>
  <si>
    <t>Các khoản thu được hưởng 100%</t>
  </si>
  <si>
    <t>Mẫu biểu số 62</t>
  </si>
  <si>
    <t>QUYẾT TOÁN CHI NGÂN SÁCH ĐỊA PHƯƠNG NĂM 2018</t>
  </si>
  <si>
    <t>So sánh QT/DT(%)</t>
  </si>
  <si>
    <t>Bộ Tài chính giao</t>
  </si>
  <si>
    <t>3=4+5+6</t>
  </si>
  <si>
    <t>7=3/1</t>
  </si>
  <si>
    <t>8=3/2</t>
  </si>
  <si>
    <t xml:space="preserve">Chi đầu tư phát triển </t>
  </si>
  <si>
    <t>Chi đầu tư phát triển cho chương trình dự án theo lĩnh vực</t>
  </si>
  <si>
    <t>Chi an ninh</t>
  </si>
  <si>
    <t>Chi khác theo quy định của pháp luật</t>
  </si>
  <si>
    <t xml:space="preserve">Chi bổ sung quỹ dự trữ tài chính </t>
  </si>
  <si>
    <t xml:space="preserve">Chi chuyển nguồn </t>
  </si>
  <si>
    <t>Chi trả nợ lãi</t>
  </si>
  <si>
    <t>VIII</t>
  </si>
  <si>
    <t>IX</t>
  </si>
  <si>
    <t>Chi cho vay từ nguồn vốn trong nước</t>
  </si>
  <si>
    <t>X</t>
  </si>
  <si>
    <t>Viện trợ; các khoản huy động, đóng góp</t>
  </si>
  <si>
    <t xml:space="preserve">Chi huy động đóng góp XDCB </t>
  </si>
  <si>
    <t>Chi huy động đóng góp SN</t>
  </si>
  <si>
    <t>TỔNG SỐ (A+B+C)</t>
  </si>
  <si>
    <t xml:space="preserve">Kon Tum, ngày       tháng       năm 2019   </t>
  </si>
  <si>
    <t>Ghi chú:</t>
  </si>
  <si>
    <t>Đây là mẫu chung cho cấp tỉnh, huyện, xã, khi báo cáo, dùng và in các chỉ tiêu thuộc phạm vi được giao quản lý của cấp tương ứng</t>
  </si>
  <si>
    <t>- Cột (1) chỉ phản ánh những chỉ tiêu TW giao ở dòng tương ứng</t>
  </si>
  <si>
    <t>(1) - Phản ánh các khoản chi từ nguồn thu đơn vị được để lại chi theo chế độ quy định</t>
  </si>
  <si>
    <t xml:space="preserve">    BÁO CÁO CHI TIẾT KINH PHÍ NGÂN SÁCH TRUNG ƯƠNG BỔ SUNG CHO NGÂN SÁCH ĐỊA PHƯƠNG NĂM 2018</t>
  </si>
  <si>
    <t>ĐVT: Triệu đồng</t>
  </si>
  <si>
    <t>Năm 2017 chuyển sang 2018</t>
  </si>
  <si>
    <t>trong ddos</t>
  </si>
  <si>
    <t>Nộp trả NSTW theo KL KTNN</t>
  </si>
  <si>
    <t>Hủy dự toán (Do thực hiện Ghi thu-ghi chi theo số thực tế phát sinh)</t>
  </si>
  <si>
    <t>Chuyển sang năm sau (Vốn SN ngân sách tỉnh)</t>
  </si>
  <si>
    <t>Hết nhiệm vụ chi vốn SN ngân sách tỉnh</t>
  </si>
  <si>
    <t>2=3+4</t>
  </si>
  <si>
    <t>5=6+7</t>
  </si>
  <si>
    <t>9=10+11</t>
  </si>
  <si>
    <t>12=13+14</t>
  </si>
  <si>
    <t>16a</t>
  </si>
  <si>
    <t>16b</t>
  </si>
  <si>
    <t>16c</t>
  </si>
  <si>
    <t>16d</t>
  </si>
  <si>
    <t>Hội Liên hiệp phụ nữ tỉnh</t>
  </si>
  <si>
    <t>Sở Văn hóa, Thể thao và Du lịch</t>
  </si>
  <si>
    <t>Ủy ban MTTQVN tỉnh</t>
  </si>
  <si>
    <t>Trường Cao đẳng Cộng đồng</t>
  </si>
  <si>
    <t>Liên minh HTX</t>
  </si>
  <si>
    <t>Ia H'Drai (Dự án 1_CT 30a)</t>
  </si>
  <si>
    <t>Ia H'Drai</t>
  </si>
  <si>
    <t>Vốn trái phiếu Chính phủ năm 2018</t>
  </si>
  <si>
    <t>Hỗ trợ người có công với cách mạng về nhà ở theo Quyết định số 22/2013/QĐ-TTg</t>
  </si>
  <si>
    <t>Dự án giáo dục và đào tạo nhân lực y tế phục vụ cải cách hệ thống y tế, thực hiện ghi thu ghi chi theo tiến độ giải ngân và trong phạm vi dự toán được giao.</t>
  </si>
  <si>
    <t>Dự án  an ninh y tế khu vực tiểu vùng Mê Kông mở rộng, thực hiện ghi thu ghi chi theo tiến độ giải ngân và trong phạm vi dự toán được giao.</t>
  </si>
  <si>
    <t>Dự án chăm sóc sức khỏe nhân dân các tỉnh Tây Nguyên giai đoạn 2, thực hiện ghi thu ghi chi theo tiến độ giải ngân và trong phạm vi dự toán được giao.</t>
  </si>
  <si>
    <t>Dự án nâng cao năng lực phòng chống HIV/AIDS khu vực tiểu vùng Mê Kông mở rộng, thực hiện ghi thu ghi chi theo tiến độ giải ngân và trong phạm vi dự toán được giao.</t>
  </si>
  <si>
    <t>Chương trình mở rộng quy mô vệ sinh nước sạch nông thôn theo phương thức dựa trên kết quả, thực hiện ghi thu ghi chi theo tiến độ giải ngân và trong phạm vi dự toán được giao.</t>
  </si>
  <si>
    <t>KBNN hạch toán chuyển nguồn dự toán</t>
  </si>
  <si>
    <t>Dự án giáo dục và đào tạo nhân lực y tế phục vụ cải cách hệ thống y tế, thực hiện ghi thu ghi chi theo  thực tế giải ngân .</t>
  </si>
  <si>
    <t>Chương trình hỗ trợ chính sách ngành y tế giai đoạn 2, thực hiện trong phạm vi dự toán giao và theo cơ chế tài chính trong nước (Sở Y tế thực hiện)</t>
  </si>
  <si>
    <t>KBNN hạch toán chuyển nguồn DT theo cơ chế vốn viện trợ</t>
  </si>
  <si>
    <t>Dự án hỗ trợ quản trị nhà nước tại địa phương đáp ứng nhanh và có trách nhiệm giải trình hơn,  thực hiện ghi thu ghi chi theo thực tế giải ngân .</t>
  </si>
  <si>
    <t>Hỗ trợ các Hội văn học nghệ thuật và Hội nhà báo địa phương; mua thiết bị chiếu phim và ô tô chuyên dùng</t>
  </si>
  <si>
    <t xml:space="preserve"> Hội Nhà báo</t>
  </si>
  <si>
    <t>Hội Văn học nghệ thuật</t>
  </si>
  <si>
    <t>Chuyển nguồn tập trung (Quyết toán chuyên đề chính sách giáo dục)</t>
  </si>
  <si>
    <t xml:space="preserve">Nguồn còn lại chưa phân bổ </t>
  </si>
  <si>
    <t xml:space="preserve">Sở Giáo dục - Đào tạo </t>
  </si>
  <si>
    <t xml:space="preserve"> - Trường trung cấp y tế</t>
  </si>
  <si>
    <t xml:space="preserve"> - Trường Trung cấp nghề</t>
  </si>
  <si>
    <t>3.6</t>
  </si>
  <si>
    <t>3.7</t>
  </si>
  <si>
    <t>Kinh phí hỗ trợ chi phí học tập cho sinh viên là DTTS theo QĐ 66/2013/TTg</t>
  </si>
  <si>
    <t>Trường Cao đẳng cộng đồng (Chuyển 2019)</t>
  </si>
  <si>
    <t>3.8</t>
  </si>
  <si>
    <t>Kinh phí thực hiện chính sách hỗ trợ trẻ em người dân tộc rất ít người theo NĐ 57/2017/NĐ-CP</t>
  </si>
  <si>
    <t>3.9</t>
  </si>
  <si>
    <t xml:space="preserve">Kinh phí hỗ trợ đào tạo CBCC cấp cơ sở theo QĐ 124-QĐ-TTg năm 2015, 2016 </t>
  </si>
  <si>
    <t>Chuyển nguồn tập trung (Đề án hiện đang còn triển khai thực hiện theo giai đoạn)</t>
  </si>
  <si>
    <t>Đăk Hà  (Chưa thực hiện chuyển 2019)</t>
  </si>
  <si>
    <t>Chuyển nguồn tập trung (Quyết toán chuyên đề)</t>
  </si>
  <si>
    <t>Kinh phí mua thẻ BHYT cho trẻ em dưới 6 tuổi</t>
  </si>
  <si>
    <t>Kinh phí mua BHYT cho CCB, TNXP, người làm nhiệm vụ quốc tế Lào, CPC</t>
  </si>
  <si>
    <t>Kinh phí mua BHYT cho đối tượng BTXH</t>
  </si>
  <si>
    <t>Tu mơ Rông (Chuyển 2019)</t>
  </si>
  <si>
    <t>Kinh phí mua thẻ BHYT cho học sinh, sinh viên</t>
  </si>
  <si>
    <t>Kinh phí mua thẻ BHYT hộ cận nghèo, hộ nông lâm ngư nghiệp có mức sống trung bình, người hiến bộ phận cơ thể</t>
  </si>
  <si>
    <t xml:space="preserve">Thành phố Kon Tum </t>
  </si>
  <si>
    <t xml:space="preserve">Kinh phí còn lại chưa phân bổ </t>
  </si>
  <si>
    <t>Chuyển nguồn tập trung để chi các CS ASXH theo ý kiến của BTC</t>
  </si>
  <si>
    <t>Cty TNHH MTV lâm nghiệp Đăk Glei</t>
  </si>
  <si>
    <t>Cty TNHH MTV  lâm nghiệp Kon Rẫy</t>
  </si>
  <si>
    <t>Cty TNHH MTV  lâm nghiệp Đăk Tô</t>
  </si>
  <si>
    <t>Cty TNHH MTV lâm nghiệp Sa Thầy</t>
  </si>
  <si>
    <t>Cty TNHH MTV  lâm nghiệp Ngọc Hồi</t>
  </si>
  <si>
    <t>Cty cổ phần Sâm Ngọc Linh</t>
  </si>
  <si>
    <t>Kinh phí thực hiện Đề án tăng cường công tác quản lý khai thác gỗ rừng tự nhiên GĐ 2014-2020</t>
  </si>
  <si>
    <t>Công ty TNHH MTV Kon Plong</t>
  </si>
  <si>
    <t>Công ty TNHH MTV Ngọc Hồi</t>
  </si>
  <si>
    <t>Công ty TNHH MTV Sa Thầy</t>
  </si>
  <si>
    <t>Công ty TNHH MTV IA H'Drai</t>
  </si>
  <si>
    <t xml:space="preserve">Kinh phí thực hiện DA hoàn thiện, hiện đại hóa hồ sơ, bản đồ, địa giới hành chính và xây dựng cơ sở dữ liệu về địa giới hành chính </t>
  </si>
  <si>
    <t>Bổ sung kinh phí thực hiện nhiệm vụ đảm bảo trật tự an toàn giao thông</t>
  </si>
  <si>
    <t>Chuyển nguồn DT (Mã 15)</t>
  </si>
  <si>
    <t>Ban an toàn giao thông tỉnh</t>
  </si>
  <si>
    <t>Sở Giáo dục và Đào tạo tỉnh</t>
  </si>
  <si>
    <t>Sở Văn hóa Thể thao và DL</t>
  </si>
  <si>
    <t>UB mặt trận tổ quốc VN tỉnh</t>
  </si>
  <si>
    <t>Tỉnh đoàn thanh niên</t>
  </si>
  <si>
    <t>Đài phát thanh Truyền hình</t>
  </si>
  <si>
    <t>Sở Thông tin Truyền thông</t>
  </si>
  <si>
    <t>Sở Giao thông vận tải (Thanh tra giao thông bổ sung sau 30/9/2018 nhập Mã 15 chuyển dự toán sang 2019)</t>
  </si>
  <si>
    <t>Ia HD'rai (Chuyển nguồn sang 2019)</t>
  </si>
  <si>
    <t xml:space="preserve">Sở Lao động TBXH </t>
  </si>
  <si>
    <t xml:space="preserve">Trường Cao đẳng kinh tế - kỹ thuật (Cao đẳng Cộng đồng) </t>
  </si>
  <si>
    <t xml:space="preserve">Tu mơ Rông </t>
  </si>
  <si>
    <t>Kon Plông (Chuyển 2019)</t>
  </si>
  <si>
    <t>Ia H'Drai (Chuyển nguồn 2019)</t>
  </si>
  <si>
    <t xml:space="preserve">CTMT Phát triển văn hóa </t>
  </si>
  <si>
    <t xml:space="preserve">CTMT PCCC, phòng chống tội phạm ma túy </t>
  </si>
  <si>
    <t>Sở Nông nghiệp và phát triển nông thôn (BCĐ)</t>
  </si>
  <si>
    <t>Chuyển nguồn sang 2019 vì nhu cầu còn đang thiếu so với số BTC cấp bổ sung</t>
  </si>
  <si>
    <t>Sở Nông nghiệp và phát triển nông thôn  (Chuyển 2019)</t>
  </si>
  <si>
    <t>KP thực hiện Đề án "Giảm thiểu tình trạng tảo hôn và hôn nhân cận huyết thống trong vùng dân tộc thiểu số giai đoạn 2015-2025" năm 2017, 2018</t>
  </si>
  <si>
    <t>KP thực hiện nhiệm vụ đo đạc, cấp giấy chứng nhận quyền sử dụng đất và xây dựng cơ sở dữ liệu đất đai năm 2017</t>
  </si>
  <si>
    <t>KP hỗ trợ tiền điện hộ nghèo, hộ CSXH năm 2014, 2015, 2016</t>
  </si>
  <si>
    <t>KP Chương trình quốc gia phòng, chống bệnh lở mồm long móng giai đoạn 2016-2020</t>
  </si>
  <si>
    <t>Kinh phí quản lý diện tích rừng tự nhiên của các công ty lâm nghiệp phải tạm dừng khai thác năm 2017 theo QĐ 2242/QĐ-TTg</t>
  </si>
  <si>
    <t>Cty TNHH MTV Lâm nghiệp Kon Plong</t>
  </si>
  <si>
    <t>Cty TNHH MTV Lâm nghiệp ngọc hồi</t>
  </si>
  <si>
    <t>Cty TNHH MTV Lâm nghiệp Sa Thầy</t>
  </si>
  <si>
    <t>Cty TNHH MTV Lâm nghiệp Ia H'đrai</t>
  </si>
  <si>
    <t>CTMT Công nghệ thông tin</t>
  </si>
  <si>
    <t>Sở Thông tin và truyền thông (mã 15 chuyển 2019)</t>
  </si>
  <si>
    <t>Kinh phí quản lý bảo trì đường bộ để thực hiện khắc phục hậu quả bão lũ đường bộ của địa phương năm 2017</t>
  </si>
  <si>
    <t>KP quản lý, bảo trì đường bộ địa phương lần 1 năm 2018</t>
  </si>
  <si>
    <t xml:space="preserve">Kinh phí khắc phục hạn hán vụ Đông Xuân năm 2015-2016 </t>
  </si>
  <si>
    <t xml:space="preserve">Kinh phí thực hiện CS hỗ trợ tổ chức, đơn vị sử dụng lao động là người dân tộc thiểu số theo QĐ 42 TTg năm 2017 </t>
  </si>
  <si>
    <t>CTMT Ứng phó Biến đổi khí hậu &amp; Tăng trưởng xanh năm 2018</t>
  </si>
  <si>
    <t>Sở Tài nguyên và Môi trường (Chuyển nguồn tập trung NST sang 2019)</t>
  </si>
  <si>
    <t>Kinh phí thực hiện Quyết định số 2086/QĐ-TTg của Thủ tướng Chính phủ</t>
  </si>
  <si>
    <t>Ban Dân tộc (mã 15 chuyển 2019)</t>
  </si>
  <si>
    <t>Kinh phí thực hiện Quyết định số 2085/QĐ-TTg của Thủ tướng Chính phủ</t>
  </si>
  <si>
    <t>Thành phố Kon Tum (Quý IV chuyển 2019)</t>
  </si>
  <si>
    <t>Đăk Hà (Quý IV chuyển 2019)</t>
  </si>
  <si>
    <t>Đăk Tô  (Quý IV chuyển 2019)</t>
  </si>
  <si>
    <t>Ngọc Hồi (Quý IV chuyển 2019)</t>
  </si>
  <si>
    <t>Ia HD'rai (Quý IV chuyển 2019)</t>
  </si>
  <si>
    <t>Kon Rẫy (Quý IV chuyển 2019)</t>
  </si>
  <si>
    <t>Kinh phí thực hiện chương trình hỗ trợ chính sách ngành y tế</t>
  </si>
  <si>
    <t>Bổ sung sau 30/9</t>
  </si>
  <si>
    <t xml:space="preserve">Kinh phí chưa phân bổ </t>
  </si>
  <si>
    <t>Sở Giáo dục - Đào tạo (mã 15 chuyển 2019)</t>
  </si>
  <si>
    <t>Kinh phí từ nguồn DP Trung ương để thực hiện nhiệm vụ cấp bách: Dự án cấp bách khắc phục hậu quả thiên tai, ổn định dân di cư tự do</t>
  </si>
  <si>
    <t>(Phòng Đầu tư quản lý)</t>
  </si>
  <si>
    <t>Nguồn còn lại chưa phân bổ (Hỏi thanh)</t>
  </si>
  <si>
    <t xml:space="preserve">Ia HD'rai </t>
  </si>
  <si>
    <t xml:space="preserve">Đăk glei  </t>
  </si>
  <si>
    <t>Đăk Tô (Chuyển 2019)</t>
  </si>
  <si>
    <t xml:space="preserve">Tu mơ Rông  </t>
  </si>
  <si>
    <t>Đăk Tô  (chuyển tạm ứng 2019 chưa đủ điều kiện thanh toán)</t>
  </si>
  <si>
    <t>Sở Khoa học và công nghệ (Lưu ý KP còn tồn theo số ĐV báo cáo 272 triệu đồng)</t>
  </si>
  <si>
    <t>THỦ TRƯỞNG ĐƠN VỊ</t>
  </si>
  <si>
    <t>Xong</t>
  </si>
  <si>
    <t>QUYẾT TOÁN THU NGÂN SÁCH NHÀ NƯỚC NĂM 2018</t>
  </si>
  <si>
    <t>Thu NSĐP</t>
  </si>
  <si>
    <t>QUYẾT TOÁN CHI NGÂN SÁCH ĐỊA PHƯƠNG, CHI NGÂN SÁCH CẤP TỈNH VÀ CHI NGÂN SÁCH HUYỆN THEO CƠ CẤU CHI NĂM 2018</t>
  </si>
  <si>
    <t>Nhiệm vụ chi ngân sách cấp tỉnh</t>
  </si>
  <si>
    <t>Nhiệm vụ chi ngân sách cấp huyện, cấp xã</t>
  </si>
  <si>
    <t>40</t>
  </si>
  <si>
    <t>Phi lệ phí do cơ quan nhà nước trung ương thực hiện</t>
  </si>
  <si>
    <t>Phi lệ phí do cơ quan nhà nước địa phương thực hiện</t>
  </si>
  <si>
    <t>Trong đó: Thu khác ngân sách trung ương</t>
  </si>
  <si>
    <t>Thu cổ tức lợi nhuận sau thuế, tiền bán bớt phần vốn nhà nước</t>
  </si>
  <si>
    <t>VAY CỦA NGÂN SÁCH NHÀ NƯỚC</t>
  </si>
  <si>
    <t>QUYẾT TOÁN CHI BỔ SUNG TỪ NGÂN SÁCH CẤP TỈNH CHO NGÂN SÁCH HUYỆN NĂM 2018</t>
  </si>
  <si>
    <t>226</t>
  </si>
  <si>
    <t>227</t>
  </si>
  <si>
    <t>228</t>
  </si>
  <si>
    <t>229</t>
  </si>
  <si>
    <t>230</t>
  </si>
  <si>
    <t>231</t>
  </si>
  <si>
    <t>232</t>
  </si>
  <si>
    <t>233</t>
  </si>
  <si>
    <t>234</t>
  </si>
  <si>
    <t>235</t>
  </si>
  <si>
    <t>236</t>
  </si>
  <si>
    <t>237</t>
  </si>
  <si>
    <t>238</t>
  </si>
  <si>
    <t>239</t>
  </si>
  <si>
    <t>240</t>
  </si>
  <si>
    <t>241</t>
  </si>
  <si>
    <t>242</t>
  </si>
  <si>
    <t xml:space="preserve">Chương trình phát triển kinh tế xã hội các vùng - NQ10 </t>
  </si>
  <si>
    <t>Chi đầu tư Kè chống sạt lở QL24</t>
  </si>
  <si>
    <t xml:space="preserve">Chi các dự án cấp bách </t>
  </si>
  <si>
    <t>chi từ nguồn vượt thu và kết dư NSTW năm 2010</t>
  </si>
  <si>
    <t>Vốn TPCP từ năm 2016 trở về trước chuyển nguồn sang 2018</t>
  </si>
  <si>
    <t>Chương trình hỗ trợ chính sách ngành y tế giai đoạn 2, thực hiện trong phạm vi dự toán giao và theo cơ chế tài chính trong nước</t>
  </si>
  <si>
    <t xml:space="preserve">Hỗ trợ địa phương một số nhiệm vụ cấp bách </t>
  </si>
  <si>
    <t>Dự án hỗ trợ quản trị nhà nước tại địa phương đáp ứng nhanh và có trách nhiệm giải trình hơn,  thực hiện ghi thu ghi chi theo thực tế giải ngân.</t>
  </si>
  <si>
    <t>Kinh phí mua thẻ BHYT cho đối tượng BTXH</t>
  </si>
  <si>
    <t>Kinh phí bảo trợ xã hội theo theo Nghị định 136</t>
  </si>
  <si>
    <t>Kinh phí thực hiện chính sách đối với người uy tín</t>
  </si>
  <si>
    <t>Kinh phí thực hiện nhiệm vụ đảm bảo trật tự an toàn giao thông</t>
  </si>
  <si>
    <t>Kinh phí Chương trình quốc gia phòng, chống bệnh lở mồm long móng giai đoạn 2016-2020</t>
  </si>
  <si>
    <t>Kinh phí quản lý, bảo trì đường bộ địa phương lần1 năm 2018</t>
  </si>
  <si>
    <t>Kinh phí khắc phục thiệt hại do mưa lũ</t>
  </si>
  <si>
    <t>Kinh phí mua thiết bị chiếu phim và ô tô chuyên dùng chiếu phim lưu động</t>
  </si>
  <si>
    <t>Kinh phí bảo vệ rừng và khoanh nuôi tái sinh rừng</t>
  </si>
  <si>
    <t>QUYẾT TOÁN CHI NGÂN SÁCH CẤP TỈNH THEO TỪNG LĨNH VỰC NĂM 2018</t>
  </si>
  <si>
    <t>UBND thành phố Kon Tum</t>
  </si>
  <si>
    <t>DT CD</t>
  </si>
  <si>
    <t>MT, MTQG</t>
  </si>
  <si>
    <t>Văn phòng Điều phối NTM tỉnh</t>
  </si>
  <si>
    <t>Hội Liên hiệp Phụ nữ tỉnh</t>
  </si>
  <si>
    <t>Sở Nông nghiệp và PTNT</t>
  </si>
  <si>
    <t>Sở Lao động, Thương binh và Xã hội</t>
  </si>
  <si>
    <t>Ủy ban Mặt trận Tổ quốc Việt Nam tỉnh</t>
  </si>
  <si>
    <t>Trường Cao đẳng Cộng đồng Kon Tum</t>
  </si>
  <si>
    <t>Liên minh Hợp tác xã tỉnh</t>
  </si>
  <si>
    <t>UBND huyện Kon Plông</t>
  </si>
  <si>
    <t>Chi thường xuyên cấp DT</t>
  </si>
  <si>
    <t>Chi thường xuyên cấp Lệnh chi</t>
  </si>
  <si>
    <t>QUYẾT TOÁN CHI CHƯƠNG TRÌNH MỤC TIÊU QUỐC GIA NGÂN SÁCH CẤP TỈNH VÀ NGÂN SÁCH HUYỆN NĂM 2018</t>
  </si>
  <si>
    <t>(Kèm theo Quyết định số            /QĐ-UBND ngày       /01/2020 của Uỷ ban nhân dân tỉnh Kon Tum)</t>
  </si>
  <si>
    <t xml:space="preserve">TÌNH HÌNH SỬ DỤNG DỰ TOÁN CHI CHI THƯỜNG XUYÊN VÀ CHI KHÁC CỦA NGÂN SÁCH CẤP TỈNH/THÀNH PHỐ </t>
  </si>
  <si>
    <t>Đơn vị</t>
  </si>
  <si>
    <t>Chuyển nguồn</t>
  </si>
  <si>
    <t>Sở Công Thương</t>
  </si>
  <si>
    <t xml:space="preserve">Sở Giao thông Vận tải </t>
  </si>
  <si>
    <t>Sở Nông nghiệp và Phát triển Nông thôn</t>
  </si>
  <si>
    <t>Sở Thông tin và Truyền Thông</t>
  </si>
  <si>
    <t>Sở Văn hoá Thể thao và Du lịch</t>
  </si>
  <si>
    <t>Sở Kế hoạch và Đầu tư</t>
  </si>
  <si>
    <t>Trường Trung Học Phổ thông Trần Quốc Tuấn</t>
  </si>
  <si>
    <t>Trường Trung Học Cơ Sở - Thực Hành  Sư phạm  Lý tự Trọng tỉnh Kontum</t>
  </si>
  <si>
    <t>Trường Mầm non Thực hành Sư phạm tỉnh Kontum</t>
  </si>
  <si>
    <t>Đoàn Đại biểu Quốc hội Tỉnh Kon Tum</t>
  </si>
  <si>
    <t>Trung tâm Giáo dục Thường xuyên Kontum</t>
  </si>
  <si>
    <t>Văn phòng Ủy ban Nhân dân tỉnh</t>
  </si>
  <si>
    <t>Văn phòng Hội đồng Nhân dân tỉnh Kontum</t>
  </si>
  <si>
    <t>Trung tâm Khuyến nông tỉnh Kontum</t>
  </si>
  <si>
    <t>Chi cục Trồng trọt và Bảo vệ thực vật tỉnh Kon Tum</t>
  </si>
  <si>
    <t>Trung tâm Nước sinh hoạt và VS MT nông thôn</t>
  </si>
  <si>
    <t>Chi cục Chăn nuôi và Thú y tỉnh Kon Tum</t>
  </si>
  <si>
    <t>Trường Trung học Phổ thông Đăk Tô</t>
  </si>
  <si>
    <t>Ban chỉ huy phòng chống thiên tai và tìm kiếm cứu nạn tỉnh Kon Tum</t>
  </si>
  <si>
    <t>Trung tâm giáo dục nghề nghiệp - Giáo dục thường xuyên huyện Kon plông</t>
  </si>
  <si>
    <t>Trung tâm dịch vụ việc làm tỉnh Kon Tum</t>
  </si>
  <si>
    <t>Trường Phổ thông dân tộc Nội trú huyện Tu Mơ Rông</t>
  </si>
  <si>
    <t>Liên hiệp các Hội KH&amp;KT tỉnh Kontum</t>
  </si>
  <si>
    <t>Trung tâm Phát hành Phim &amp; Chiếu bóng tỉnh Kontum</t>
  </si>
  <si>
    <t>Trường Trung học Phổ thông Nguyễn Du</t>
  </si>
  <si>
    <t>BQL Rừng Phòng hộ Đăkglei</t>
  </si>
  <si>
    <t>BQL Dự án Phát triển Cao su Nhân dân</t>
  </si>
  <si>
    <t>Hạt Kiểm lâm huyện Đak hà</t>
  </si>
  <si>
    <t>Hạt kiểm lâm huyện KonPlong</t>
  </si>
  <si>
    <t>Hội cựu chiến binh tỉnh Kontum</t>
  </si>
  <si>
    <t>Trung tâm Ngoại ngữ - Tin học Kontum</t>
  </si>
  <si>
    <t>Trường PT Dân tộc Nội trú huyện Đak hà</t>
  </si>
  <si>
    <t>Trường Trung học Phổ  thông Chuyên Nguyễn Tất Thành</t>
  </si>
  <si>
    <t xml:space="preserve">Ban Dân tộc </t>
  </si>
  <si>
    <t>Hội Nông dân tỉnh Kon Tum</t>
  </si>
  <si>
    <t>Trung tâm văn hóa Thể thao Thanh thiếu nhi tỉnh Kon Tum</t>
  </si>
  <si>
    <t>Tỉnh đoàn Kon Tum</t>
  </si>
  <si>
    <t>Thư viện Tỉnh</t>
  </si>
  <si>
    <t>Ban quản lý rừng Đặc dụng Đak uy</t>
  </si>
  <si>
    <t>Hạt kiểm lâm huyện Sa thầy</t>
  </si>
  <si>
    <t>Hạt kiểm lâm huyện Ngọc hồi</t>
  </si>
  <si>
    <t>Trường Tiểu học Thực hành Sư phạm Ngụy Như Kon Tum</t>
  </si>
  <si>
    <t>Trường PT Dân tộc Nội trú huyện Ngọc hồi</t>
  </si>
  <si>
    <t>Hội chử thập đỏ tỉnh Kontum</t>
  </si>
  <si>
    <t>Bảo tàng - Thư viện tỉnh Kon Tum</t>
  </si>
  <si>
    <t>Trung tâm Văn hóa - nghệ thuật tỉnh Kon Tum</t>
  </si>
  <si>
    <t>Cục Quản lý thị trường tỉnh Kon Tum</t>
  </si>
  <si>
    <t xml:space="preserve">Trung Tâm Bảo trợ và Công tác xã hội tỉnh Kon Tum </t>
  </si>
  <si>
    <t>Trung tâm Đăng kiểm 82.01.S</t>
  </si>
  <si>
    <t>Thanh tra Sở Giao thông vận tải tỉnh Kon Tum</t>
  </si>
  <si>
    <t>Ban bảo vệ, chăm sóc sức khỏe cán bộ tỉnh Kon Tum</t>
  </si>
  <si>
    <t>Bệnh viện Đa khoa tỉnh Kon Tum</t>
  </si>
  <si>
    <t>Trung tâm Y tế huyện Sa thầy</t>
  </si>
  <si>
    <t>Trung tâm Kiểm nghiệm Thuốc, Mỹ phẩm, Thực phẩm</t>
  </si>
  <si>
    <t>Trung tâm Y tế huyện Đak tô tỉnh Kontum</t>
  </si>
  <si>
    <t>Trung tâm y tế Huyện Đak glei</t>
  </si>
  <si>
    <t>Trung tâm y tế huyện KonPlong</t>
  </si>
  <si>
    <t>Trung tâm y tế Thành phố Kon Tum</t>
  </si>
  <si>
    <t>Trung tâm y tế huyện Đak hà</t>
  </si>
  <si>
    <t>Trung tâm kiểm soát bệnh tật tỉnh Kon Tum</t>
  </si>
  <si>
    <t>Trung tâm y tế huyện Ngọc hồi</t>
  </si>
  <si>
    <t>Hội Liên hiệp Phụ nữ tỉnh Kontum</t>
  </si>
  <si>
    <t>Liên minh Hợp tác xã tỉnh Kon Tum</t>
  </si>
  <si>
    <t>Uỷ ban Mặt trận Tổ quốc Việt nam tỉnh Kontum</t>
  </si>
  <si>
    <t>Trường Cao đẳng cộng đồng Kon Tum</t>
  </si>
  <si>
    <t>Trường  PT TH Dân tộc Nội trú huyện Sa thầy</t>
  </si>
  <si>
    <t>Trường Phổ thông Dân tộc nội trú tỉnh Kontum</t>
  </si>
  <si>
    <t>Trường Phổ thông Trung học Kontum</t>
  </si>
  <si>
    <t>Hạt Kiểm lâm huyện Kon Rẩy</t>
  </si>
  <si>
    <t>Bộ Công An</t>
  </si>
  <si>
    <t>Bộ Quốc phòng</t>
  </si>
  <si>
    <t>Trường Chính trị tỉnh Kontum</t>
  </si>
  <si>
    <t>Trung Tâm Khuyến Công - Xúc tiến thương mại và Tư vấn công nghiệp tỉnh Kon Tum</t>
  </si>
  <si>
    <t>Trung  Tâm Y tế huyện Tu Mơ Rông</t>
  </si>
  <si>
    <t>Trường Trung học Phổ thông Nguyễn Trãi - huyện Ngọc Hồi</t>
  </si>
  <si>
    <t>Trung Tâm  Ứng dụng Tiến bộ Khoa Học và Công nghệ Kon Tum</t>
  </si>
  <si>
    <t>Chi cục Tiêu chuẫn Đo lường Chất lượng</t>
  </si>
  <si>
    <t>Trường Trung học Phổ thông Lê Lợi</t>
  </si>
  <si>
    <t>Chi cục Kiểm lâm tỉnh Kon Tum</t>
  </si>
  <si>
    <t>Hội nạn nhân chất độc Da cam - Điôxin Kontum</t>
  </si>
  <si>
    <t>Văn phòng đăng ký đất đai tỉnh Kon Tum</t>
  </si>
  <si>
    <t>Trường Trung học Phổ thông Sa Thầy</t>
  </si>
  <si>
    <t>Chi cục Dân số - Kế hoạch hóa Gia đình - tỉnh Kontum</t>
  </si>
  <si>
    <t>Trường Trung học Phổ thông Chu Văn An huyện Kon Rẫy tỉnh Kon Tum</t>
  </si>
  <si>
    <t>Trường Trung học Phổ thông Lương Thế Vinh - huyện Đăk Glei tỉnh Kontum</t>
  </si>
  <si>
    <t>Đội Kiểm lâm cơ động -PCCCR số 1</t>
  </si>
  <si>
    <t>Đội Kiểm lâm Cơ động -PCCCR số 2</t>
  </si>
  <si>
    <t>BQL Rừng Phòng hộ Tu Mơ Rông - huyện Tu Mơ Rông - tỉnh Kontum</t>
  </si>
  <si>
    <t>Bệnh viện Đa khoa Khu vực Ngọc hồi</t>
  </si>
  <si>
    <t>Trung Tâm Công nghệ Thông tin và Truyền thông</t>
  </si>
  <si>
    <t xml:space="preserve">Trung tâm Dịch vụ đấu giá tài sản </t>
  </si>
  <si>
    <t>Hội Cựu Giáo chức Kontum</t>
  </si>
  <si>
    <t>Hội Khuyến học tỉnh Kontum</t>
  </si>
  <si>
    <t>Đội Kiểm lâm Cơ động &amp; PCCCR số 3</t>
  </si>
  <si>
    <t>Trường Phổ thông Dân tộc Nội trú huyện Kon Rẫy</t>
  </si>
  <si>
    <t>Hội bảo vệ Quyền trẻ em và Bảo trợ Người khuyết tật tỉnh Kon Tum</t>
  </si>
  <si>
    <t>Hội Cựu Thanh niên xung phong tỉnh Kon Tum</t>
  </si>
  <si>
    <t>Hội đồng Nhân dân tỉnh Kontum</t>
  </si>
  <si>
    <t>Trung tâm Quan trắc tài nguyên và môi trường tỉnh  Kontum</t>
  </si>
  <si>
    <t>Đoàn Luật sư tỉnh Kontum</t>
  </si>
  <si>
    <t>Tổng đội Thanh niên xung phong Tỉnh Kon Tum</t>
  </si>
  <si>
    <t>Trường Trung học Phổ thông Ngô Mây Thành phố Kontum tỉnh Kontum</t>
  </si>
  <si>
    <t>Chi cục An toàn Vệ sinh Thực phẩm tỉnh Kontum</t>
  </si>
  <si>
    <t>Uỷ ban tỉnh Kontum - Hội Liên hiệp Thanh niên Việt nam</t>
  </si>
  <si>
    <t>Chi cục quản lý chất lượng Nông lâm sản và Thủy sản tỉnh Kon Tum</t>
  </si>
  <si>
    <t>Ban Quản lý Khu Kinh tế - tỉnh Kontum</t>
  </si>
  <si>
    <t>Ban quản lý di tích Kon Tum</t>
  </si>
  <si>
    <t>Trường Trung học Phổ Thông Trường Chinh - TP.Kon Tum - Tỉnh Kon Tum</t>
  </si>
  <si>
    <t>Công ty Đầu tư phát triển Hạ tầng Khu Kinh tế tỉnh Kon Tum</t>
  </si>
  <si>
    <t>Trung Tâm hỗ trợ Thanh niên Tỉnh Kon Tum</t>
  </si>
  <si>
    <t>Trường Trung học Phổ thông Phan Bội Châu - tỉnh Kontum</t>
  </si>
  <si>
    <t>Trường Trung học Phổ thông Phan Chu Trinh - huyện Ngọc Hồi - tỉnh Kontum</t>
  </si>
  <si>
    <t>Hội Hữu nghị Việt Nam - Campuchia và Hội hữu Nghị Việt Nam - Lào</t>
  </si>
  <si>
    <t>Ban quản lý Khai thác các công trình thủy lợi tỉnh Kontum</t>
  </si>
  <si>
    <t>Chi cục Văn thư Lưu trữ, Sở Nội vụ tỉnh Kontum</t>
  </si>
  <si>
    <t>Bệnh viện Y dược Cổ truyền - Phục hồi chức năng tỉnh Kon Tum</t>
  </si>
  <si>
    <t>Hội liên lạc người Việt nam ở nước ngoài tỉnh Kontum</t>
  </si>
  <si>
    <t>Ban Quản lý mua sắm thiết bị trường học Sở Giáo dục và Đào tạo tỉnh Kontum</t>
  </si>
  <si>
    <t>Hội Giáo dục chăm sóc sức khỏe cộng đồng tỉnh Kontum</t>
  </si>
  <si>
    <t>Phân hiệu trường Phổ thông Dân tộc nội trú huyện Kon Plông - tỉnh Kon Tum</t>
  </si>
  <si>
    <t>Phân hiệu trường Trung học Phổ thông Lương Thế Vinh - huyện Đăk Glei - tỉnh Kon Tum</t>
  </si>
  <si>
    <t>Hạt Kiểm lâm huyện Ia H DRai</t>
  </si>
  <si>
    <t>Trung tâm Y tế huyện Ia H’Drai, tỉnh Kon Tum</t>
  </si>
  <si>
    <t>Ban thi đua - khen thưởng trực thuộc Sở Nội vụ tỉnh Kon Tum</t>
  </si>
  <si>
    <t>Ban Tôn giáo - trực thuộc Sở Nội vụ tỉnh Kon Tum</t>
  </si>
  <si>
    <t>Trung tâm pháp y tỉnh Kon Tum</t>
  </si>
  <si>
    <t>Trung tâm Cứu hộ, bảo tồn và phát triển sinh vật Vườn quốc gia Chư Mom Ray</t>
  </si>
  <si>
    <t>Chi cục Bảo vệ Môi trường tỉnh Kon Tum</t>
  </si>
  <si>
    <t>Chi cục Quản lý đất đai tỉnh Kon Tum</t>
  </si>
  <si>
    <t>Trung tâm Thông tin và Thống kê khoa học và công nghệ tỉnh Kon Tum</t>
  </si>
  <si>
    <t>Chi cục Giám định xây dựng tỉnh Kon Tum</t>
  </si>
  <si>
    <t>Phân hiệu trường Phổ thông Dân tộc nội trú tỉnh tại huyện Ia HDrai</t>
  </si>
  <si>
    <t>Ban quản lý rừng phòng hộ ĐăkGlei</t>
  </si>
  <si>
    <t>Trung tâm Xúc tiến Đầu tư tỉnh Kontum</t>
  </si>
  <si>
    <t>Hội bóng bàn tỉnh Kon Tum</t>
  </si>
  <si>
    <t>Văn phòng Điều phối chương trình Mục tiêu quốc gia Xây dựng nông thôn mới tỉnh Kontum</t>
  </si>
  <si>
    <t>Phòng công chứng số 2 tỉnh Kon Tum</t>
  </si>
  <si>
    <t>Ban quản lý dự án "Chăm sóc sức khỏe nhân dân các tỉnh Tây Nguyên giai đoạn 2" tỉnh Kon Tum.</t>
  </si>
  <si>
    <t>Hội truyền thống Trường Sơn - Đường Hồ Chí Minh tỉnh Kon Tum</t>
  </si>
  <si>
    <t>Ban quản lý dự án "An ninh y tế khu vực tiểu vùng Mê Công mở rộng" tỉnh Kon Tum</t>
  </si>
  <si>
    <t>Nhà khách Hữu nghị Kontum</t>
  </si>
  <si>
    <t>Hội Luật gia tỉnh Kontum</t>
  </si>
  <si>
    <t>Trung tâm Kỹ thuật Tiêu chuẫn Đo lường Chất lượng tỉnh - Kontum</t>
  </si>
  <si>
    <t>Ban đại diện Hội người cao tuổi tỉnh Kon Tum</t>
  </si>
  <si>
    <r>
      <t> </t>
    </r>
    <r>
      <rPr>
        <sz val="9"/>
        <color rgb="FF000000"/>
        <rFont val="Times New Roman"/>
        <family val="1"/>
      </rPr>
      <t>1</t>
    </r>
  </si>
  <si>
    <t>Văn phòng Viện Kiểm sát Nhân dân Tỉnh Kon Tum</t>
  </si>
  <si>
    <r>
      <t> </t>
    </r>
    <r>
      <rPr>
        <sz val="9"/>
        <color rgb="FF000000"/>
        <rFont val="Times New Roman"/>
        <family val="1"/>
      </rPr>
      <t>2</t>
    </r>
  </si>
  <si>
    <t>Văn phòng Thi hành án dân sự tỉnh Kon Tum</t>
  </si>
  <si>
    <r>
      <t> </t>
    </r>
    <r>
      <rPr>
        <sz val="9"/>
        <color rgb="FF000000"/>
        <rFont val="Times New Roman"/>
        <family val="1"/>
      </rPr>
      <t>3</t>
    </r>
  </si>
  <si>
    <t>Văn phòng Toà án Nhân dân Tỉnh Kon Tum</t>
  </si>
  <si>
    <r>
      <t> </t>
    </r>
    <r>
      <rPr>
        <sz val="9"/>
        <color rgb="FF000000"/>
        <rFont val="Times New Roman"/>
        <family val="1"/>
      </rPr>
      <t>4</t>
    </r>
  </si>
  <si>
    <t>Kho bạc Nhà nước Kon Tum</t>
  </si>
  <si>
    <r>
      <t> </t>
    </r>
    <r>
      <rPr>
        <sz val="9"/>
        <color rgb="FF000000"/>
        <rFont val="Times New Roman"/>
        <family val="1"/>
      </rPr>
      <t>5</t>
    </r>
  </si>
  <si>
    <t>Văn phòng Cục thuế tỉnh KonTum - Cục thuế Tỉnh Kon Tum</t>
  </si>
  <si>
    <r>
      <t> </t>
    </r>
    <r>
      <rPr>
        <sz val="9"/>
        <color rgb="FF000000"/>
        <rFont val="Times New Roman"/>
        <family val="1"/>
      </rPr>
      <t>6</t>
    </r>
  </si>
  <si>
    <r>
      <t> </t>
    </r>
    <r>
      <rPr>
        <sz val="10"/>
        <color rgb="FF000000"/>
        <rFont val="Times New Roman"/>
        <family val="1"/>
      </rPr>
      <t>6.1</t>
    </r>
  </si>
  <si>
    <t>Bảo hiểm Xã hội Tỉnh Kon Tum</t>
  </si>
  <si>
    <t/>
  </si>
  <si>
    <r>
      <t> </t>
    </r>
    <r>
      <rPr>
        <sz val="9"/>
        <color rgb="FF000000"/>
        <rFont val="Times New Roman"/>
        <family val="1"/>
      </rPr>
      <t>7</t>
    </r>
  </si>
  <si>
    <t>Cơ quan Cục Thống kê Tỉnh Kon Tum</t>
  </si>
  <si>
    <r>
      <t> </t>
    </r>
    <r>
      <rPr>
        <sz val="9"/>
        <color rgb="FF000000"/>
        <rFont val="Times New Roman"/>
        <family val="1"/>
      </rPr>
      <t>8</t>
    </r>
  </si>
  <si>
    <t>Văn phòng Bảo hiểm xã hội Tỉnh Kon Tum</t>
  </si>
  <si>
    <r>
      <t> </t>
    </r>
    <r>
      <rPr>
        <sz val="9"/>
        <color rgb="FF000000"/>
        <rFont val="Times New Roman"/>
        <family val="1"/>
      </rPr>
      <t>9</t>
    </r>
  </si>
  <si>
    <r>
      <t> </t>
    </r>
    <r>
      <rPr>
        <sz val="9"/>
        <color rgb="FF000000"/>
        <rFont val="Times New Roman"/>
        <family val="1"/>
      </rPr>
      <t>10</t>
    </r>
  </si>
  <si>
    <t>Chi nhánh Ngân hàng Chánh sách Xã hội  tỉnh Kontum</t>
  </si>
  <si>
    <r>
      <t> </t>
    </r>
    <r>
      <rPr>
        <sz val="9"/>
        <color rgb="FF000000"/>
        <rFont val="Times New Roman"/>
        <family val="1"/>
      </rPr>
      <t>11</t>
    </r>
  </si>
  <si>
    <t>Quỹ bảo trì đường bộ Kon Tum</t>
  </si>
  <si>
    <r>
      <t> </t>
    </r>
    <r>
      <rPr>
        <sz val="9"/>
        <color rgb="FF000000"/>
        <rFont val="Times New Roman"/>
        <family val="1"/>
      </rPr>
      <t>12</t>
    </r>
  </si>
  <si>
    <t>CONG DOAN VIEN CHUC TINH KON TUM</t>
  </si>
  <si>
    <r>
      <t> </t>
    </r>
    <r>
      <rPr>
        <sz val="9"/>
        <color rgb="FF000000"/>
        <rFont val="Times New Roman"/>
        <family val="1"/>
      </rPr>
      <t>13</t>
    </r>
  </si>
  <si>
    <t>BO CHI HUY BIEN PHONG TINH KON TUM</t>
  </si>
  <si>
    <r>
      <t> </t>
    </r>
    <r>
      <rPr>
        <sz val="9"/>
        <color rgb="FF000000"/>
        <rFont val="Times New Roman"/>
        <family val="1"/>
      </rPr>
      <t>14</t>
    </r>
  </si>
  <si>
    <t>BO CHI HUY QUAN SU TINH</t>
  </si>
  <si>
    <r>
      <t> </t>
    </r>
    <r>
      <rPr>
        <sz val="9"/>
        <color rgb="FF000000"/>
        <rFont val="Times New Roman"/>
        <family val="1"/>
      </rPr>
      <t>15</t>
    </r>
  </si>
  <si>
    <r>
      <t> </t>
    </r>
    <r>
      <rPr>
        <sz val="9"/>
        <color rgb="FF000000"/>
        <rFont val="Times New Roman"/>
        <family val="1"/>
      </rPr>
      <t>16</t>
    </r>
  </si>
  <si>
    <r>
      <t> </t>
    </r>
    <r>
      <rPr>
        <sz val="9"/>
        <color rgb="FF000000"/>
        <rFont val="Times New Roman"/>
        <family val="1"/>
      </rPr>
      <t>17</t>
    </r>
  </si>
  <si>
    <r>
      <t> </t>
    </r>
    <r>
      <rPr>
        <sz val="9"/>
        <color rgb="FF000000"/>
        <rFont val="Times New Roman"/>
        <family val="1"/>
      </rPr>
      <t>18</t>
    </r>
  </si>
  <si>
    <t>Văn phòng Tỉnh uỷ</t>
  </si>
  <si>
    <r>
      <t> </t>
    </r>
    <r>
      <rPr>
        <sz val="9"/>
        <color rgb="FF000000"/>
        <rFont val="Times New Roman"/>
        <family val="1"/>
      </rPr>
      <t>19</t>
    </r>
  </si>
  <si>
    <r>
      <t> </t>
    </r>
    <r>
      <rPr>
        <sz val="9"/>
        <color rgb="FF000000"/>
        <rFont val="Times New Roman"/>
        <family val="1"/>
      </rPr>
      <t>20</t>
    </r>
  </si>
  <si>
    <r>
      <t> </t>
    </r>
    <r>
      <rPr>
        <sz val="9"/>
        <color rgb="FF000000"/>
        <rFont val="Times New Roman"/>
        <family val="1"/>
      </rPr>
      <t>21</t>
    </r>
  </si>
  <si>
    <t>Các đơn vị có vốn nhà nước nắm giữ 100% vốn điều lệ (không thuộc các cơ quan chủ quản, các Chương Tập đoàn, Tổng công ty)</t>
  </si>
  <si>
    <t>CÁC HUYỆN, THÀNH PHỐ (quyết toán tại NS cấp tỉnh)</t>
  </si>
  <si>
    <t>Sự nghiệp</t>
  </si>
  <si>
    <t>Đâu tư</t>
  </si>
  <si>
    <t>Bệnh viện Y dược cổ truyền</t>
  </si>
  <si>
    <t>Ban quản lý khai thác các công trình Thủy lợi</t>
  </si>
  <si>
    <t>Trung tâm kiểm soát bệnh tật</t>
  </si>
  <si>
    <t>Trung tâm Nước sạch và Vệ sinh môi trường nông thôn</t>
  </si>
  <si>
    <t>Ban quản lý 5 triệu ha rừng - Công ty đầu tư phát triển  lâm nông công nghiệp và dịch vụ KonPlông</t>
  </si>
  <si>
    <t>Ban quản lý khu bảo tồn thiên nhiên Ngọc Linh</t>
  </si>
  <si>
    <t xml:space="preserve">Ban quản lý Vườn quốc gia Chư Mom Ray </t>
  </si>
  <si>
    <t>Ban quản lý dự án chuyển đổi NN bền vững tỉnh Kon Tum</t>
  </si>
  <si>
    <t>Ban quản lý dự án lâm nghiệp để cải thiện đời sống vùng Tây Nguyên tỉnh Kon Tum</t>
  </si>
  <si>
    <t>BQL DAGN khu vực Tây nguyên tỉnh Kon Tum_Sở Kế hoạch và Đầu tư</t>
  </si>
  <si>
    <t xml:space="preserve">BQL DAGN khu vực Tây nguyên - huyện Đăk Glei </t>
  </si>
  <si>
    <t>BQL DAGN khu vực Tây nguyên huyện Kon Rẫy</t>
  </si>
  <si>
    <t xml:space="preserve">BQL DAGN khu vực Tây nguyên huyện KonPlông </t>
  </si>
  <si>
    <t>BQL DAGN khu vực Tây Nguyên huyện Ngọc Hồi</t>
  </si>
  <si>
    <t>BQL DAGN khu vực Tây Nguyên huyện Sa Thầy</t>
  </si>
  <si>
    <t>BQL DAGN khu vực Tây nguyên huyện Tu Mơ Rông</t>
  </si>
  <si>
    <t>Sở Lao động - Thương binh và Xã hội</t>
  </si>
  <si>
    <t>Trường Mầm non Thực hành Sư phạm tỉnh</t>
  </si>
  <si>
    <t xml:space="preserve">Đoàn Đại biểu Quốc hội Tỉnh </t>
  </si>
  <si>
    <t>Trường PT Dân tộc Nội trú huyện Đak Tô</t>
  </si>
  <si>
    <t>Trung tâm Giáo dục Thường xuyên Kon Tum</t>
  </si>
  <si>
    <t>Văn phòng Hội đồng Nhân dân tỉnh</t>
  </si>
  <si>
    <t xml:space="preserve">Chi cục Thủy lợi tỉnh </t>
  </si>
  <si>
    <t>Chi cục Chăn nuôi và Thú y tỉnh</t>
  </si>
  <si>
    <t xml:space="preserve">Ban chỉ huy phòng chống thiên tai và tìm kiếm cứu nạn tỉnh </t>
  </si>
  <si>
    <t>Trung tâm giáo dục nghề nghiệp - Giáo dục thường xuyên huyện Kon Plông</t>
  </si>
  <si>
    <t>Liên hiệp các Hội KH&amp;KT tỉnh</t>
  </si>
  <si>
    <t xml:space="preserve">Trung tâm Phát hành Phim &amp; Chiếu bóng tỉnh </t>
  </si>
  <si>
    <t>BQL Rừng Phòng hộ Đăk Glei</t>
  </si>
  <si>
    <t>Hạt Kiểm lâm huyện Đak Tô</t>
  </si>
  <si>
    <t>Hạt Kiểm lâm huyện Đak Hà</t>
  </si>
  <si>
    <t xml:space="preserve">Hội cựu chiến binh tỉnh </t>
  </si>
  <si>
    <t>Trung tâm Ngoại ngữ - Tin học tỉnh</t>
  </si>
  <si>
    <t>Trường PT Dân tộc Nội trú huyện Đak Hà</t>
  </si>
  <si>
    <t xml:space="preserve">Hội Nông dân tỉnh </t>
  </si>
  <si>
    <t xml:space="preserve">Trung tâm văn hóa Thể thao Thanh thiếu nhi tỉnh </t>
  </si>
  <si>
    <t xml:space="preserve">Tỉnh đoàn </t>
  </si>
  <si>
    <t>Ban quản lý rừng Đặc dụng Đak Uy</t>
  </si>
  <si>
    <t>Hạt kiểm lâm huyện Sa Thầy</t>
  </si>
  <si>
    <t>Trường PT Dân tộc Nội trú huyện Ngọc Hồi</t>
  </si>
  <si>
    <t xml:space="preserve">Hội chử thập đỏ tỉnh </t>
  </si>
  <si>
    <t xml:space="preserve">Bảo tàng - Thư viện tỉnh </t>
  </si>
  <si>
    <t xml:space="preserve">Trung tâm Văn hóa - nghệ thuật tỉnh </t>
  </si>
  <si>
    <t xml:space="preserve">Cục Quản lý thị trường tỉnh </t>
  </si>
  <si>
    <t xml:space="preserve">Trung Tâm Bảo trợ và Công tác xã hội tỉnh </t>
  </si>
  <si>
    <t>Thanh tra Sở Giao thông vận tải tỉnh</t>
  </si>
  <si>
    <t xml:space="preserve">Ban bảo vệ, chăm sóc sức khỏe cán bộ tỉnh </t>
  </si>
  <si>
    <t xml:space="preserve">Trung tâm Y tế huyện Đak tô </t>
  </si>
  <si>
    <t>Trung tâm y tế Huyện Đak Glei</t>
  </si>
  <si>
    <t xml:space="preserve">Hội Liên hiệp Phụ nữ tỉnh </t>
  </si>
  <si>
    <t xml:space="preserve">Uỷ ban Mặt trận Tổ quốc Việt nam tỉnh </t>
  </si>
  <si>
    <t>Trường  PT TH Dân tộc Nội trú huyện Sa Thầy</t>
  </si>
  <si>
    <t>Trường Phổ thông Dân tộc nội trú tỉnh Kon Tum</t>
  </si>
  <si>
    <t>Trường Phổ thông Trung học Kon Tum</t>
  </si>
  <si>
    <t>Trường Trung Học Cơ Sở - Thực Hành  Sư phạm  Lý tự Trọng tỉnh Kon Tum</t>
  </si>
  <si>
    <t>Trung tâm Khuyến nông tỉnh Kon Tum</t>
  </si>
  <si>
    <t>Trường Chính trị tỉnh Kon Tum</t>
  </si>
  <si>
    <t>Hội nạn nhân chất độc Da cam - Điôxin Kon Tum</t>
  </si>
  <si>
    <t>Trường Trung học Phổ thông Lương Thế Vinh - huyện Đăk Glei tỉnh Kon Tum</t>
  </si>
  <si>
    <t>Hội Cựu Giáo chức Kon Tum</t>
  </si>
  <si>
    <t>Hội Khuyến học tỉnh Kon Tum</t>
  </si>
  <si>
    <t>Hội đồng Nhân dân tỉnh Kon Tum</t>
  </si>
  <si>
    <t>Trung tâm Quan trắc tài nguyên và môi trường tỉnh  Kon Tum</t>
  </si>
  <si>
    <t>Đoàn Luật sư tỉnh Kon Tum</t>
  </si>
  <si>
    <t>Trường Trung học Phổ thông Phan Bội Châu - tỉnh Kon Tum</t>
  </si>
  <si>
    <t>Hội liên lạc người Việt nam ở nước ngoài tỉnh Kon Tum</t>
  </si>
  <si>
    <t>Hội Giáo dục chăm sóc sức khỏe cộng đồng tỉnh Kon Tum</t>
  </si>
  <si>
    <t>Trung tâm Xúc tiến Đầu tư tỉnh Kon Tum</t>
  </si>
  <si>
    <t>Nhà khách Hữu nghị Kon Tum</t>
  </si>
  <si>
    <t>Hội Luật gia tỉnh Kon Tum</t>
  </si>
  <si>
    <t>Văn phòng Cục thuế tỉnh Kon Tum - Cục thuế Tỉnh Kon Tum</t>
  </si>
  <si>
    <t>Cục thuế tỉnh Kon Tum</t>
  </si>
  <si>
    <t>Chi nhánh Ngân hàng Chánh sách Xã hội  tỉnh Kon Tum</t>
  </si>
  <si>
    <t>Trường Trung học Phổ thông Ngô Mây Thành phố Kon Tum</t>
  </si>
  <si>
    <t>Chi cục An toàn Vệ sinh Thực phẩm tỉnh</t>
  </si>
  <si>
    <t>Uỷ ban tỉnh Kon Tum - Hội Liên hiệp Thanh niên Việt Nam</t>
  </si>
  <si>
    <t>Chi cục quản lý chất lượng Nông lâm sản và Thủy sản tỉnh</t>
  </si>
  <si>
    <t xml:space="preserve">Ban Quản lý Khu Kinh tế - tỉnh </t>
  </si>
  <si>
    <t>Trường Trung học Phổ Thông Trường Chinh - TP.Kon Tum</t>
  </si>
  <si>
    <t xml:space="preserve">Trường Trung học Phổ thông Phan Chu Trinh - huyện Ngọc Hồi </t>
  </si>
  <si>
    <t xml:space="preserve">Ban quản lý Khai thác các công trình thủy lợi tỉnh </t>
  </si>
  <si>
    <t>Ban Quản lý mua sắm thiết bị trường học Sở Giáo dục và Đào tạo tỉnh</t>
  </si>
  <si>
    <t>Phân hiệu trường Phổ thông Dân tộc nội trú huyện Kon Plông</t>
  </si>
  <si>
    <t>Phân hiệu trường Trung học Phổ thông Lương Thế Vinh - huyện Đăk Glei</t>
  </si>
  <si>
    <t>Trung tâm Y tế huyện Ia H’Drai</t>
  </si>
  <si>
    <t>Ban thi đua - khen thưởng trực thuộc Sở Nội vụ tỉnh</t>
  </si>
  <si>
    <t xml:space="preserve">Ban Tôn giáo - trực thuộc Sở Nội vụ tỉnh </t>
  </si>
  <si>
    <t>Ban quản lý dự án Hỗ trợ quản trị địa phương trách nhiệm giải trình, đáp ứng được tại tỉnh</t>
  </si>
  <si>
    <t xml:space="preserve">Chi cục Quản lý đất đai tỉnh </t>
  </si>
  <si>
    <t>Trung tâm Thông tin và Thống kê khoa học và công nghệ tỉnh</t>
  </si>
  <si>
    <t>Chi cục Giám định xây dựng tỉnh</t>
  </si>
  <si>
    <t xml:space="preserve">Trung tâm Nghiên cứu, Ứng dụng và Dịch vụ khoa học và công nghệ tỉnh </t>
  </si>
  <si>
    <t xml:space="preserve">Văn phòng Điều phối chương trình Mục tiêu quốc gia Xây dựng nông thôn mới tỉnh </t>
  </si>
  <si>
    <t xml:space="preserve">Trung tâm Kỹ thuật Tiêu chuẫn Đo lường Chất lượng tỉnh </t>
  </si>
  <si>
    <t xml:space="preserve">Hỗ trợ các đơn vị khác </t>
  </si>
  <si>
    <t>Các công ty TNHH MTV lâm nghiệp</t>
  </si>
  <si>
    <t>Công ty TNHH MTV Lâm nghiệp Ia HDai</t>
  </si>
  <si>
    <t>Ban chỉ đạo phân giới, cắm mốc tỉnh Kon Tum</t>
  </si>
  <si>
    <t xml:space="preserve">BQL Rừng Phòng hộ Tu Mơ Rông </t>
  </si>
  <si>
    <t>Các đơn vị quan hệ khác ngân sách tỉnh</t>
  </si>
  <si>
    <t>Chi cục Dân số - Kế hoạch hóa Gia đình tỉnh</t>
  </si>
  <si>
    <t xml:space="preserve">Chi cục Kiểm lâm tỉnh </t>
  </si>
  <si>
    <t>Chi cục Văn thư Lưu trữ, Sở Nội vụ tỉnh</t>
  </si>
  <si>
    <t>Công đoàn viên chức tỉnh</t>
  </si>
  <si>
    <t>Hội Nhà báo tỉnh</t>
  </si>
  <si>
    <t xml:space="preserve">Phòng công chứng số 2 </t>
  </si>
  <si>
    <t>Viện Kiểm sát Nhân dân Tỉnh Kon Tum</t>
  </si>
  <si>
    <t xml:space="preserve">Nội dung </t>
  </si>
  <si>
    <t>CHI NỘP LÊN NGÂN SÁCH CẤP TRÊN</t>
  </si>
  <si>
    <t>Chi từ nguồn tăng thu so với dự toán trung ương giao</t>
  </si>
  <si>
    <t>Chi trả nợ lãi vay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</si>
</sst>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_(* #,##0_);_(* \(#,##0\);_(* \-??_);_(@_)"/>
    <numFmt numFmtId="166" formatCode="_(* #,##0.0_);_(* \(#,##0.0\);_(* &quot;-&quot;??_);_(@_)"/>
    <numFmt numFmtId="167" formatCode="_(* #,##0_);_(* \(#,##0\);_(* &quot;-&quot;??_);_(@_)"/>
    <numFmt numFmtId="168" formatCode="_(* #,##0.0_);_(* \(#,##0.0\);_(* &quot;-&quot;?_);_(@_)"/>
    <numFmt numFmtId="169" formatCode="#,###;[Red]\-#,###"/>
    <numFmt numFmtId="170" formatCode="#,##0.0"/>
    <numFmt numFmtId="171" formatCode="_(* #,##0.00_);_(* \(#,##0.00\);_(* \-??_);_(@_)"/>
    <numFmt numFmtId="172" formatCode="0.000000"/>
    <numFmt numFmtId="173" formatCode="0.0%"/>
    <numFmt numFmtId="174" formatCode="_-* #,##0\ _₫_-;\-* #,##0\ _₫_-;_-* &quot;-&quot;??\ _₫_-;_-@_-"/>
    <numFmt numFmtId="175" formatCode="#,##0.00000"/>
    <numFmt numFmtId="176" formatCode="_-* #,##0.0\ _₫_-;\-* #,##0.0\ _₫_-;_-* &quot;-&quot;??\ _₫_-;_-@_-"/>
    <numFmt numFmtId="177" formatCode="_-* #,##0.0\ _₫_-;\-* #,##0.0\ _₫_-;_-* &quot;-&quot;?\ _₫_-;_-@_-"/>
    <numFmt numFmtId="178" formatCode="_-* #,##0_-;\-* #,##0_-;_-* &quot;-&quot;??_-;_-@_-"/>
  </numFmts>
  <fonts count="96">
    <font>
      <sz val="11"/>
      <color theme="1"/>
      <name val="Calibri"/>
      <family val="2"/>
      <scheme val="minor"/>
    </font>
    <font>
      <sz val="12"/>
      <color theme="1"/>
      <name val="Times New Roman"/>
      <family val="2"/>
    </font>
    <font>
      <sz val="11"/>
      <color theme="1"/>
      <name val="Calibri"/>
      <family val="2"/>
      <scheme val="minor"/>
    </font>
    <font>
      <b/>
      <sz val="10"/>
      <color rgb="FF000000"/>
      <name val="Arial"/>
      <family val="2"/>
    </font>
    <font>
      <sz val="12"/>
      <color rgb="FF000000"/>
      <name val="Arial"/>
      <family val="2"/>
    </font>
    <font>
      <i/>
      <sz val="10"/>
      <color rgb="FF000000"/>
      <name val="Arial"/>
      <family val="2"/>
    </font>
    <font>
      <b/>
      <sz val="10"/>
      <name val="Arial"/>
      <family val="2"/>
    </font>
    <font>
      <sz val="10"/>
      <name val="Arial"/>
      <family val="2"/>
    </font>
    <font>
      <sz val="10"/>
      <color rgb="FF000000"/>
      <name val="Arial"/>
      <family val="2"/>
    </font>
    <font>
      <b/>
      <sz val="11"/>
      <color theme="1"/>
      <name val="Calibri"/>
      <family val="2"/>
      <scheme val="minor"/>
    </font>
    <font>
      <b/>
      <sz val="12"/>
      <color rgb="FF000000"/>
      <name val="Times New Roman"/>
      <family val="1"/>
    </font>
    <font>
      <i/>
      <sz val="12"/>
      <color rgb="FF000000"/>
      <name val="Times New Roman"/>
      <family val="1"/>
    </font>
    <font>
      <b/>
      <i/>
      <sz val="12"/>
      <color rgb="FF000000"/>
      <name val="Times New Roman"/>
      <family val="1"/>
    </font>
    <font>
      <b/>
      <sz val="11"/>
      <color theme="1"/>
      <name val="Calibri"/>
      <family val="2"/>
      <charset val="163"/>
      <scheme val="minor"/>
    </font>
    <font>
      <sz val="12"/>
      <color rgb="FF000000"/>
      <name val="Times New Roman"/>
      <family val="1"/>
    </font>
    <font>
      <sz val="11"/>
      <color rgb="FFFF0000"/>
      <name val="Calibri"/>
      <family val="2"/>
      <charset val="163"/>
      <scheme val="minor"/>
    </font>
    <font>
      <b/>
      <sz val="12"/>
      <color rgb="FFFF0000"/>
      <name val="Times New Roman"/>
      <family val="1"/>
    </font>
    <font>
      <sz val="10"/>
      <color rgb="FF000000"/>
      <name val="Times New Roman"/>
      <family val="1"/>
    </font>
    <font>
      <sz val="10"/>
      <color theme="1"/>
      <name val="Calibri"/>
      <family val="2"/>
      <charset val="163"/>
      <scheme val="minor"/>
    </font>
    <font>
      <sz val="12"/>
      <color rgb="FFFF0000"/>
      <name val="Times New Roman"/>
      <family val="1"/>
    </font>
    <font>
      <sz val="11"/>
      <name val="Times New Roman"/>
      <family val="1"/>
    </font>
    <font>
      <sz val="10"/>
      <color rgb="FFFF0000"/>
      <name val="Arial"/>
      <family val="2"/>
    </font>
    <font>
      <b/>
      <sz val="11"/>
      <color rgb="FFFF0000"/>
      <name val="Times New Roman"/>
      <family val="1"/>
    </font>
    <font>
      <sz val="11"/>
      <color rgb="FFFF0000"/>
      <name val="Times New Roman"/>
      <family val="1"/>
    </font>
    <font>
      <b/>
      <sz val="11"/>
      <name val="Times New Roman"/>
      <family val="1"/>
    </font>
    <font>
      <b/>
      <sz val="12"/>
      <name val="Times New Roman"/>
      <family val="1"/>
    </font>
    <font>
      <sz val="11"/>
      <name val="Arial"/>
      <family val="2"/>
    </font>
    <font>
      <i/>
      <sz val="13"/>
      <name val="Times New Roman"/>
      <family val="1"/>
    </font>
    <font>
      <i/>
      <sz val="11"/>
      <name val="Times New Roman"/>
      <family val="1"/>
    </font>
    <font>
      <sz val="12"/>
      <name val="Times New Roman"/>
      <family val="1"/>
    </font>
    <font>
      <sz val="10"/>
      <name val="Times New Roman"/>
      <family val="1"/>
    </font>
    <font>
      <b/>
      <i/>
      <sz val="11"/>
      <name val="Times New Roman"/>
      <family val="1"/>
    </font>
    <font>
      <b/>
      <sz val="13"/>
      <name val="Times New Roman"/>
      <family val="1"/>
    </font>
    <font>
      <i/>
      <sz val="12"/>
      <name val="Times New Roman"/>
      <family val="1"/>
    </font>
    <font>
      <sz val="10"/>
      <color rgb="FFFF0000"/>
      <name val="Times New Roman"/>
      <family val="1"/>
    </font>
    <font>
      <b/>
      <i/>
      <sz val="12"/>
      <name val="Times New Roman"/>
      <family val="1"/>
    </font>
    <font>
      <sz val="11"/>
      <color theme="0"/>
      <name val="Times New Roman"/>
      <family val="1"/>
    </font>
    <font>
      <b/>
      <sz val="13"/>
      <color rgb="FF000000"/>
      <name val="Times New Roman"/>
      <family val="1"/>
    </font>
    <font>
      <i/>
      <sz val="12"/>
      <color rgb="FFFF0000"/>
      <name val="Times New Roman"/>
      <family val="1"/>
    </font>
    <font>
      <sz val="12"/>
      <name val="Arial Narrow"/>
      <family val="2"/>
    </font>
    <font>
      <b/>
      <sz val="12"/>
      <name val="Arial Narrow"/>
      <family val="2"/>
    </font>
    <font>
      <i/>
      <sz val="12"/>
      <name val="Arial Narrow"/>
      <family val="2"/>
    </font>
    <font>
      <sz val="11"/>
      <name val="Arial Narrow"/>
      <family val="2"/>
    </font>
    <font>
      <b/>
      <sz val="11"/>
      <name val="Arial Narrow"/>
      <family val="2"/>
    </font>
    <font>
      <sz val="11"/>
      <color indexed="8"/>
      <name val="Calibri"/>
      <family val="2"/>
    </font>
    <font>
      <i/>
      <sz val="11"/>
      <name val="Arial Narrow"/>
      <family val="2"/>
    </font>
    <font>
      <sz val="12"/>
      <name val=".VnTime"/>
      <family val="2"/>
    </font>
    <font>
      <sz val="11"/>
      <color rgb="FFFF0000"/>
      <name val="Calibri"/>
      <family val="2"/>
      <scheme val="minor"/>
    </font>
    <font>
      <b/>
      <i/>
      <sz val="12"/>
      <color rgb="FFFF0000"/>
      <name val="Times New Roman"/>
      <family val="1"/>
    </font>
    <font>
      <b/>
      <sz val="11"/>
      <color rgb="FFFF0000"/>
      <name val="Calibri"/>
      <family val="2"/>
      <scheme val="minor"/>
    </font>
    <font>
      <sz val="11"/>
      <name val="Calibri"/>
      <family val="2"/>
      <scheme val="minor"/>
    </font>
    <font>
      <b/>
      <sz val="11"/>
      <name val="Calibri"/>
      <family val="2"/>
      <scheme val="minor"/>
    </font>
    <font>
      <b/>
      <sz val="10"/>
      <name val="Times New Roman"/>
      <family val="1"/>
    </font>
    <font>
      <sz val="12"/>
      <color theme="1"/>
      <name val="Times New Roman"/>
      <family val="1"/>
    </font>
    <font>
      <b/>
      <sz val="12"/>
      <color theme="1"/>
      <name val="Times New Roman"/>
      <family val="1"/>
    </font>
    <font>
      <sz val="10"/>
      <color theme="1"/>
      <name val="Arial Narrow"/>
      <family val="2"/>
    </font>
    <font>
      <b/>
      <sz val="10"/>
      <name val="Calibri"/>
      <family val="2"/>
      <scheme val="minor"/>
    </font>
    <font>
      <b/>
      <sz val="10"/>
      <color theme="1"/>
      <name val="Calibri"/>
      <family val="2"/>
      <scheme val="minor"/>
    </font>
    <font>
      <b/>
      <sz val="11"/>
      <color rgb="FF000000"/>
      <name val="Calibri"/>
      <family val="2"/>
      <scheme val="minor"/>
    </font>
    <font>
      <b/>
      <sz val="10"/>
      <color rgb="FFFF0000"/>
      <name val="Calibri"/>
      <family val="2"/>
      <scheme val="minor"/>
    </font>
    <font>
      <i/>
      <sz val="11"/>
      <color theme="1"/>
      <name val="Calibri"/>
      <family val="2"/>
      <scheme val="minor"/>
    </font>
    <font>
      <i/>
      <sz val="11"/>
      <color rgb="FFFF0000"/>
      <name val="Calibri"/>
      <family val="2"/>
      <scheme val="minor"/>
    </font>
    <font>
      <i/>
      <sz val="10"/>
      <color theme="1"/>
      <name val="Arial Narrow"/>
      <family val="2"/>
    </font>
    <font>
      <i/>
      <sz val="11"/>
      <name val="Calibri"/>
      <family val="2"/>
      <scheme val="minor"/>
    </font>
    <font>
      <b/>
      <i/>
      <sz val="11"/>
      <color theme="1"/>
      <name val="Calibri"/>
      <family val="2"/>
      <scheme val="minor"/>
    </font>
    <font>
      <b/>
      <sz val="10"/>
      <name val="Arial Unicode MS"/>
      <family val="2"/>
    </font>
    <font>
      <b/>
      <sz val="10"/>
      <color rgb="FFFF0000"/>
      <name val="Arial Unicode MS"/>
      <family val="2"/>
    </font>
    <font>
      <sz val="10"/>
      <name val="Arial Unicode MS"/>
      <family val="2"/>
    </font>
    <font>
      <b/>
      <sz val="10"/>
      <color rgb="FFFF0000"/>
      <name val="Arial"/>
      <family val="2"/>
    </font>
    <font>
      <sz val="10"/>
      <name val="Candara"/>
      <family val="2"/>
    </font>
    <font>
      <vertAlign val="superscript"/>
      <sz val="10"/>
      <name val="Arial Unicode MS"/>
      <family val="2"/>
    </font>
    <font>
      <b/>
      <sz val="11"/>
      <name val="Arial"/>
      <family val="2"/>
    </font>
    <font>
      <i/>
      <sz val="11"/>
      <name val="Arial"/>
      <family val="2"/>
    </font>
    <font>
      <sz val="11"/>
      <color theme="1"/>
      <name val="Times New Roman"/>
      <family val="1"/>
    </font>
    <font>
      <sz val="10"/>
      <color theme="1"/>
      <name val="Times New Roman"/>
      <family val="1"/>
    </font>
    <font>
      <b/>
      <sz val="12"/>
      <color rgb="FF0033CC"/>
      <name val="Times New Roman"/>
      <family val="1"/>
    </font>
    <font>
      <sz val="12"/>
      <color rgb="FF0033CC"/>
      <name val="Times New Roman"/>
      <family val="1"/>
    </font>
    <font>
      <b/>
      <sz val="10"/>
      <color rgb="FFFF0000"/>
      <name val="Times New Roman"/>
      <family val="1"/>
    </font>
    <font>
      <i/>
      <sz val="12"/>
      <color theme="1"/>
      <name val="Times New Roman"/>
      <family val="1"/>
    </font>
    <font>
      <b/>
      <sz val="11"/>
      <color theme="1"/>
      <name val="Times New Roman"/>
      <family val="1"/>
    </font>
    <font>
      <sz val="13"/>
      <name val="Times New Roman"/>
      <family val="1"/>
    </font>
    <font>
      <b/>
      <i/>
      <sz val="13"/>
      <name val="Times New Roman"/>
      <family val="1"/>
    </font>
    <font>
      <i/>
      <vertAlign val="superscript"/>
      <sz val="12"/>
      <name val="Times New Roman"/>
      <family val="1"/>
    </font>
    <font>
      <i/>
      <sz val="12"/>
      <color theme="0"/>
      <name val="Times New Roman"/>
      <family val="1"/>
    </font>
    <font>
      <sz val="9"/>
      <name val="Times New Roman"/>
      <family val="1"/>
    </font>
    <font>
      <sz val="9"/>
      <color rgb="FFFF0000"/>
      <name val="Times New Roman"/>
      <family val="1"/>
    </font>
    <font>
      <sz val="12"/>
      <color theme="1"/>
      <name val="Calibri"/>
      <family val="2"/>
    </font>
    <font>
      <b/>
      <sz val="12"/>
      <color theme="1"/>
      <name val="Calibri"/>
      <family val="2"/>
    </font>
    <font>
      <sz val="12"/>
      <name val="Arial"/>
      <family val="2"/>
    </font>
    <font>
      <sz val="11"/>
      <color rgb="FF000000"/>
      <name val="Times New Roman"/>
      <family val="1"/>
    </font>
    <font>
      <sz val="9"/>
      <color rgb="FF000000"/>
      <name val="Times New Roman"/>
      <family val="1"/>
    </font>
    <font>
      <b/>
      <sz val="9"/>
      <name val="Times New Roman"/>
      <family val="1"/>
    </font>
    <font>
      <sz val="8"/>
      <name val="Times New Roman"/>
      <family val="1"/>
    </font>
    <font>
      <b/>
      <sz val="12"/>
      <color theme="9" tint="-0.249977111117893"/>
      <name val="Times New Roman"/>
      <family val="1"/>
    </font>
    <font>
      <b/>
      <strike/>
      <sz val="12"/>
      <name val="Times New Roman"/>
      <family val="1"/>
    </font>
    <font>
      <sz val="10"/>
      <name val="Arial Narrow"/>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hair">
        <color rgb="FF000000"/>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rgb="FF000000"/>
      </left>
      <right style="thin">
        <color rgb="FF000000"/>
      </right>
      <top/>
      <bottom style="hair">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medium">
        <color auto="1"/>
      </left>
      <right style="medium">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auto="1"/>
      </left>
      <right/>
      <top/>
      <bottom/>
      <diagonal/>
    </border>
    <border>
      <left/>
      <right style="medium">
        <color auto="1"/>
      </right>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rgb="FF000000"/>
      </right>
      <top style="hair">
        <color rgb="FF000000"/>
      </top>
      <bottom style="hair">
        <color rgb="FF000000"/>
      </bottom>
      <diagonal/>
    </border>
  </borders>
  <cellStyleXfs count="17">
    <xf numFmtId="0" fontId="0" fillId="0" borderId="0"/>
    <xf numFmtId="164" fontId="2" fillId="0" borderId="0" applyFont="0" applyFill="0" applyBorder="0" applyAlignment="0" applyProtection="0"/>
    <xf numFmtId="164" fontId="7" fillId="0" borderId="0" applyFont="0" applyFill="0" applyBorder="0" applyAlignment="0" applyProtection="0"/>
    <xf numFmtId="0" fontId="44" fillId="0" borderId="0"/>
    <xf numFmtId="0" fontId="7" fillId="0" borderId="0"/>
    <xf numFmtId="0" fontId="7" fillId="0" borderId="0"/>
    <xf numFmtId="0" fontId="46" fillId="0" borderId="0"/>
    <xf numFmtId="0" fontId="7" fillId="0" borderId="0"/>
    <xf numFmtId="0" fontId="44" fillId="0" borderId="0"/>
    <xf numFmtId="164" fontId="7" fillId="0" borderId="0" applyFont="0" applyFill="0" applyBorder="0" applyAlignment="0" applyProtection="0"/>
    <xf numFmtId="0" fontId="7" fillId="0" borderId="0"/>
    <xf numFmtId="0" fontId="1" fillId="0" borderId="0"/>
    <xf numFmtId="164" fontId="7" fillId="0" borderId="0" applyFont="0" applyFill="0" applyBorder="0" applyAlignment="0" applyProtection="0"/>
    <xf numFmtId="171" fontId="7" fillId="0" borderId="0" applyFill="0" applyBorder="0" applyAlignment="0" applyProtection="0"/>
    <xf numFmtId="171" fontId="7" fillId="0" borderId="0" applyFill="0" applyBorder="0" applyAlignment="0" applyProtection="0"/>
    <xf numFmtId="0" fontId="7" fillId="0" borderId="0"/>
    <xf numFmtId="0" fontId="39" fillId="0" borderId="0"/>
  </cellStyleXfs>
  <cellXfs count="905">
    <xf numFmtId="0" fontId="0" fillId="0" borderId="0" xfId="0"/>
    <xf numFmtId="0" fontId="5"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left"/>
    </xf>
    <xf numFmtId="0" fontId="4" fillId="0" borderId="0" xfId="0" applyFont="1" applyAlignment="1">
      <alignment horizontal="center" vertical="center"/>
    </xf>
    <xf numFmtId="0" fontId="10" fillId="0" borderId="1" xfId="0" applyFont="1" applyBorder="1" applyAlignment="1">
      <alignment horizontal="center" vertical="center" wrapText="1"/>
    </xf>
    <xf numFmtId="0" fontId="13" fillId="0" borderId="0" xfId="0" applyFont="1"/>
    <xf numFmtId="0" fontId="15" fillId="0" borderId="0" xfId="0" applyFont="1"/>
    <xf numFmtId="0" fontId="10" fillId="0" borderId="0" xfId="0" applyFont="1" applyAlignment="1">
      <alignment horizontal="right" vertical="center"/>
    </xf>
    <xf numFmtId="0" fontId="11" fillId="0" borderId="0" xfId="0" applyFont="1" applyAlignment="1">
      <alignment horizontal="righ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18" fillId="0" borderId="0" xfId="0" applyFont="1"/>
    <xf numFmtId="0" fontId="10" fillId="0" borderId="1" xfId="0" applyFont="1" applyBorder="1" applyAlignment="1">
      <alignment vertical="center" wrapText="1"/>
    </xf>
    <xf numFmtId="3" fontId="10" fillId="0" borderId="1" xfId="0" applyNumberFormat="1" applyFont="1" applyBorder="1" applyAlignment="1">
      <alignment horizontal="right" vertical="center" wrapText="1"/>
    </xf>
    <xf numFmtId="10" fontId="1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3" fontId="14" fillId="0" borderId="1"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10" fontId="14"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0" xfId="0" applyFont="1" applyAlignment="1">
      <alignment horizontal="left" vertical="center"/>
    </xf>
    <xf numFmtId="0" fontId="11" fillId="0" borderId="0" xfId="0" applyFont="1" applyAlignment="1">
      <alignment horizontal="left" vertical="center"/>
    </xf>
    <xf numFmtId="0" fontId="0" fillId="0" borderId="0" xfId="0" applyFont="1"/>
    <xf numFmtId="3" fontId="0" fillId="0" borderId="0" xfId="0" applyNumberFormat="1" applyFont="1"/>
    <xf numFmtId="3" fontId="0" fillId="0" borderId="0" xfId="0" applyNumberFormat="1"/>
    <xf numFmtId="0" fontId="9" fillId="0" borderId="0" xfId="0" applyFont="1"/>
    <xf numFmtId="167" fontId="0" fillId="0" borderId="0" xfId="1" applyNumberFormat="1" applyFont="1"/>
    <xf numFmtId="0" fontId="20" fillId="0" borderId="0" xfId="0" applyFont="1" applyAlignment="1"/>
    <xf numFmtId="0" fontId="20" fillId="0" borderId="0" xfId="0" applyFont="1"/>
    <xf numFmtId="0" fontId="24" fillId="0" borderId="0" xfId="0" applyFont="1"/>
    <xf numFmtId="167" fontId="20" fillId="0" borderId="0" xfId="0" applyNumberFormat="1" applyFont="1"/>
    <xf numFmtId="0" fontId="30" fillId="0" borderId="1" xfId="0" applyFont="1" applyBorder="1" applyAlignment="1">
      <alignment horizontal="center" vertical="center" wrapText="1"/>
    </xf>
    <xf numFmtId="0" fontId="24" fillId="0" borderId="0" xfId="0" applyFont="1" applyFill="1"/>
    <xf numFmtId="0" fontId="22" fillId="0" borderId="0" xfId="0" applyFont="1"/>
    <xf numFmtId="0" fontId="20" fillId="2" borderId="0" xfId="0" applyFont="1" applyFill="1" applyAlignment="1"/>
    <xf numFmtId="167" fontId="20" fillId="2" borderId="0" xfId="0" applyNumberFormat="1" applyFont="1" applyFill="1"/>
    <xf numFmtId="0" fontId="20" fillId="2" borderId="0" xfId="0" applyFont="1" applyFill="1"/>
    <xf numFmtId="0" fontId="20" fillId="0" borderId="0" xfId="0" applyFont="1" applyFill="1"/>
    <xf numFmtId="167" fontId="24" fillId="0" borderId="0" xfId="0" applyNumberFormat="1" applyFont="1" applyFill="1"/>
    <xf numFmtId="0" fontId="30" fillId="2" borderId="0" xfId="0" applyFont="1" applyFill="1"/>
    <xf numFmtId="0" fontId="25" fillId="2" borderId="0" xfId="0" applyFont="1" applyFill="1" applyAlignment="1">
      <alignment vertical="center"/>
    </xf>
    <xf numFmtId="0" fontId="25" fillId="0" borderId="9" xfId="0" applyFont="1" applyFill="1" applyBorder="1" applyAlignment="1">
      <alignment horizontal="center" vertical="center" wrapText="1"/>
    </xf>
    <xf numFmtId="0" fontId="25" fillId="0" borderId="9" xfId="0" applyFont="1" applyFill="1" applyBorder="1" applyAlignment="1">
      <alignment vertical="center" wrapText="1"/>
    </xf>
    <xf numFmtId="0" fontId="29" fillId="0" borderId="9" xfId="0" applyFont="1" applyFill="1" applyBorder="1" applyAlignment="1">
      <alignment vertical="center" wrapText="1"/>
    </xf>
    <xf numFmtId="0" fontId="29" fillId="2" borderId="0" xfId="0" applyFont="1" applyFill="1" applyAlignment="1">
      <alignment vertical="center"/>
    </xf>
    <xf numFmtId="0" fontId="29" fillId="0" borderId="0" xfId="0" applyFont="1" applyFill="1" applyAlignment="1">
      <alignment vertical="center"/>
    </xf>
    <xf numFmtId="0" fontId="25" fillId="0" borderId="0" xfId="0" applyFont="1" applyAlignment="1">
      <alignment vertical="center"/>
    </xf>
    <xf numFmtId="167" fontId="25" fillId="0" borderId="0" xfId="0" applyNumberFormat="1" applyFont="1" applyAlignment="1">
      <alignment horizontal="center" vertical="center"/>
    </xf>
    <xf numFmtId="0" fontId="22" fillId="2" borderId="0" xfId="0" applyFont="1" applyFill="1"/>
    <xf numFmtId="167" fontId="36" fillId="0" borderId="0" xfId="0" applyNumberFormat="1" applyFont="1"/>
    <xf numFmtId="0" fontId="29" fillId="0" borderId="0" xfId="0" applyFont="1" applyAlignment="1">
      <alignment horizontal="left" vertical="center"/>
    </xf>
    <xf numFmtId="0" fontId="25" fillId="0" borderId="8" xfId="0" applyFont="1" applyBorder="1" applyAlignment="1">
      <alignment horizontal="center" vertical="center" wrapText="1"/>
    </xf>
    <xf numFmtId="167" fontId="25" fillId="0" borderId="8" xfId="1" applyNumberFormat="1" applyFont="1" applyBorder="1" applyAlignment="1">
      <alignment horizontal="center" vertical="center" wrapText="1"/>
    </xf>
    <xf numFmtId="167" fontId="25" fillId="0" borderId="8" xfId="0" applyNumberFormat="1" applyFont="1" applyBorder="1" applyAlignment="1">
      <alignment horizontal="center" vertical="center" wrapText="1"/>
    </xf>
    <xf numFmtId="0" fontId="25" fillId="0" borderId="9" xfId="0" applyFont="1" applyBorder="1" applyAlignment="1">
      <alignment vertical="center" wrapText="1"/>
    </xf>
    <xf numFmtId="167" fontId="25" fillId="0" borderId="9" xfId="1" applyNumberFormat="1" applyFont="1" applyBorder="1" applyAlignment="1">
      <alignment vertical="center" wrapText="1"/>
    </xf>
    <xf numFmtId="167" fontId="25" fillId="0" borderId="9" xfId="1" applyNumberFormat="1" applyFont="1" applyBorder="1" applyAlignment="1">
      <alignment horizontal="center" vertical="center" wrapText="1"/>
    </xf>
    <xf numFmtId="0" fontId="29" fillId="0" borderId="9" xfId="0" applyFont="1" applyBorder="1" applyAlignment="1">
      <alignment vertical="center" wrapText="1"/>
    </xf>
    <xf numFmtId="167" fontId="29" fillId="0" borderId="9" xfId="1" applyNumberFormat="1" applyFont="1" applyBorder="1" applyAlignment="1">
      <alignment vertical="center" wrapText="1"/>
    </xf>
    <xf numFmtId="167" fontId="29" fillId="2" borderId="9" xfId="1" applyNumberFormat="1" applyFont="1" applyFill="1" applyBorder="1" applyAlignment="1">
      <alignment vertical="center" wrapText="1"/>
    </xf>
    <xf numFmtId="167" fontId="29" fillId="0" borderId="9" xfId="1" applyNumberFormat="1" applyFont="1" applyBorder="1" applyAlignment="1">
      <alignment horizontal="center" vertical="center" wrapText="1"/>
    </xf>
    <xf numFmtId="0" fontId="33" fillId="0" borderId="9" xfId="0" applyFont="1" applyBorder="1" applyAlignment="1">
      <alignment vertical="center" wrapText="1"/>
    </xf>
    <xf numFmtId="167" fontId="33" fillId="0" borderId="9" xfId="1" applyNumberFormat="1" applyFont="1" applyBorder="1" applyAlignment="1">
      <alignment vertical="center" wrapText="1"/>
    </xf>
    <xf numFmtId="0" fontId="25" fillId="0" borderId="9" xfId="0" applyFont="1" applyBorder="1" applyAlignment="1">
      <alignment horizontal="left" vertical="center" wrapText="1"/>
    </xf>
    <xf numFmtId="167" fontId="25" fillId="2" borderId="9" xfId="1" applyNumberFormat="1" applyFont="1" applyFill="1" applyBorder="1" applyAlignment="1">
      <alignment vertical="center"/>
    </xf>
    <xf numFmtId="167" fontId="25" fillId="0" borderId="9" xfId="1" applyNumberFormat="1" applyFont="1" applyBorder="1" applyAlignment="1">
      <alignment vertical="center"/>
    </xf>
    <xf numFmtId="0" fontId="29" fillId="0" borderId="9" xfId="0" applyFont="1" applyBorder="1" applyAlignment="1">
      <alignment vertical="center"/>
    </xf>
    <xf numFmtId="167" fontId="29" fillId="0" borderId="9" xfId="1" applyNumberFormat="1" applyFont="1" applyBorder="1" applyAlignment="1">
      <alignment vertical="center"/>
    </xf>
    <xf numFmtId="0" fontId="25" fillId="0" borderId="9" xfId="0" quotePrefix="1" applyFont="1" applyBorder="1" applyAlignment="1">
      <alignment vertical="center"/>
    </xf>
    <xf numFmtId="0" fontId="25" fillId="0" borderId="9" xfId="0" applyFont="1" applyBorder="1" applyAlignment="1">
      <alignment vertical="center"/>
    </xf>
    <xf numFmtId="167" fontId="25" fillId="0" borderId="9" xfId="0" applyNumberFormat="1" applyFont="1" applyBorder="1" applyAlignment="1">
      <alignment vertical="center"/>
    </xf>
    <xf numFmtId="0" fontId="29" fillId="0" borderId="10" xfId="0" applyFont="1" applyBorder="1" applyAlignment="1">
      <alignment vertical="center" wrapText="1"/>
    </xf>
    <xf numFmtId="167" fontId="29" fillId="0" borderId="10" xfId="1" applyNumberFormat="1" applyFont="1" applyBorder="1" applyAlignment="1">
      <alignment horizontal="center" vertical="center" wrapText="1"/>
    </xf>
    <xf numFmtId="167" fontId="23" fillId="0" borderId="0" xfId="0" applyNumberFormat="1" applyFont="1"/>
    <xf numFmtId="166" fontId="39" fillId="0" borderId="0" xfId="2" applyNumberFormat="1" applyFont="1" applyFill="1" applyAlignment="1" applyProtection="1">
      <alignment vertical="center" wrapText="1"/>
      <protection locked="0"/>
    </xf>
    <xf numFmtId="167" fontId="39" fillId="0" borderId="0" xfId="0" applyNumberFormat="1" applyFont="1" applyFill="1" applyAlignment="1" applyProtection="1">
      <alignment vertical="center" wrapText="1"/>
      <protection locked="0"/>
    </xf>
    <xf numFmtId="166" fontId="39" fillId="0" borderId="0" xfId="0" applyNumberFormat="1" applyFont="1" applyFill="1" applyAlignment="1" applyProtection="1">
      <alignment vertical="center" wrapText="1"/>
      <protection locked="0"/>
    </xf>
    <xf numFmtId="0" fontId="39" fillId="0" borderId="0" xfId="0" applyFont="1" applyFill="1" applyAlignment="1" applyProtection="1">
      <alignment vertical="center" wrapText="1"/>
      <protection locked="0"/>
    </xf>
    <xf numFmtId="168" fontId="39" fillId="0" borderId="0" xfId="0" applyNumberFormat="1" applyFont="1" applyFill="1" applyAlignment="1" applyProtection="1">
      <alignment vertical="center" wrapText="1"/>
      <protection locked="0"/>
    </xf>
    <xf numFmtId="3" fontId="39" fillId="0" borderId="0" xfId="0" applyNumberFormat="1" applyFont="1" applyFill="1" applyAlignment="1" applyProtection="1">
      <alignment vertical="center" wrapText="1"/>
      <protection locked="0"/>
    </xf>
    <xf numFmtId="0" fontId="42" fillId="0" borderId="0" xfId="0" applyFont="1" applyFill="1" applyAlignment="1" applyProtection="1">
      <alignment vertical="center" wrapText="1"/>
      <protection locked="0"/>
    </xf>
    <xf numFmtId="0" fontId="43" fillId="0" borderId="0" xfId="0" applyFont="1" applyFill="1" applyAlignment="1" applyProtection="1">
      <alignment vertical="center" wrapText="1"/>
      <protection locked="0"/>
    </xf>
    <xf numFmtId="0" fontId="42" fillId="3" borderId="0" xfId="0" applyFont="1" applyFill="1" applyAlignment="1" applyProtection="1">
      <alignment vertical="center" wrapText="1"/>
      <protection locked="0"/>
    </xf>
    <xf numFmtId="0" fontId="45" fillId="0" borderId="0" xfId="0" applyFont="1" applyFill="1" applyAlignment="1" applyProtection="1">
      <alignment vertical="center" wrapText="1"/>
      <protection locked="0"/>
    </xf>
    <xf numFmtId="3" fontId="42" fillId="0" borderId="0" xfId="0" applyNumberFormat="1" applyFont="1" applyFill="1" applyAlignment="1" applyProtection="1">
      <alignment horizontal="center" vertical="center" wrapText="1"/>
      <protection locked="0"/>
    </xf>
    <xf numFmtId="0" fontId="42" fillId="0" borderId="0" xfId="0" applyFont="1" applyFill="1" applyBorder="1" applyAlignment="1" applyProtection="1">
      <alignment vertical="center" wrapText="1"/>
      <protection locked="0"/>
    </xf>
    <xf numFmtId="3" fontId="42" fillId="0" borderId="0" xfId="0" applyNumberFormat="1" applyFont="1" applyFill="1" applyBorder="1" applyAlignment="1" applyProtection="1">
      <alignment horizontal="right" vertical="center" wrapText="1"/>
      <protection locked="0"/>
    </xf>
    <xf numFmtId="0" fontId="42" fillId="0" borderId="0" xfId="0" applyFont="1" applyFill="1" applyBorder="1" applyAlignment="1" applyProtection="1">
      <alignment horizontal="right" vertical="center" wrapText="1"/>
      <protection locked="0"/>
    </xf>
    <xf numFmtId="0" fontId="42" fillId="0" borderId="0" xfId="0" applyFont="1" applyFill="1" applyAlignment="1" applyProtection="1">
      <alignment vertical="center" wrapText="1"/>
    </xf>
    <xf numFmtId="167" fontId="42" fillId="0" borderId="0" xfId="0" applyNumberFormat="1" applyFont="1" applyFill="1" applyAlignment="1" applyProtection="1">
      <alignment vertical="center" wrapText="1"/>
      <protection locked="0"/>
    </xf>
    <xf numFmtId="167" fontId="42" fillId="0" borderId="0" xfId="2" applyNumberFormat="1" applyFont="1" applyFill="1" applyAlignment="1" applyProtection="1">
      <alignment vertical="center" wrapText="1"/>
      <protection locked="0"/>
    </xf>
    <xf numFmtId="3" fontId="42" fillId="0" borderId="0" xfId="2" applyNumberFormat="1" applyFont="1" applyFill="1" applyAlignment="1" applyProtection="1">
      <alignment vertical="center" wrapText="1"/>
      <protection locked="0"/>
    </xf>
    <xf numFmtId="3" fontId="42" fillId="0" borderId="0" xfId="0" applyNumberFormat="1" applyFont="1" applyFill="1" applyAlignment="1" applyProtection="1">
      <alignment vertical="center" wrapText="1"/>
      <protection locked="0"/>
    </xf>
    <xf numFmtId="0" fontId="42" fillId="0" borderId="0" xfId="6" applyFont="1" applyFill="1" applyAlignment="1">
      <alignment vertical="center" wrapText="1"/>
    </xf>
    <xf numFmtId="167" fontId="42" fillId="0" borderId="0" xfId="2" applyNumberFormat="1" applyFont="1" applyFill="1" applyAlignment="1" applyProtection="1">
      <alignment vertical="center" wrapText="1"/>
    </xf>
    <xf numFmtId="167" fontId="42" fillId="0" borderId="0" xfId="0" applyNumberFormat="1" applyFont="1" applyFill="1" applyAlignment="1" applyProtection="1">
      <alignment vertical="center" wrapText="1"/>
    </xf>
    <xf numFmtId="3" fontId="42" fillId="0" borderId="0" xfId="0" applyNumberFormat="1" applyFont="1" applyFill="1" applyAlignment="1" applyProtection="1">
      <alignment horizontal="right" vertical="center" wrapText="1"/>
      <protection locked="0"/>
    </xf>
    <xf numFmtId="3" fontId="39" fillId="0" borderId="0" xfId="0" applyNumberFormat="1" applyFont="1" applyFill="1" applyAlignment="1" applyProtection="1">
      <alignment horizontal="center" vertical="center" wrapText="1"/>
      <protection locked="0"/>
    </xf>
    <xf numFmtId="3" fontId="39" fillId="0" borderId="0" xfId="0" applyNumberFormat="1" applyFont="1" applyFill="1" applyAlignment="1" applyProtection="1">
      <alignment horizontal="right" vertical="center" wrapText="1"/>
      <protection locked="0"/>
    </xf>
    <xf numFmtId="0" fontId="39" fillId="0" borderId="0" xfId="0" applyFont="1" applyFill="1" applyAlignment="1" applyProtection="1">
      <alignment vertical="center" wrapText="1"/>
    </xf>
    <xf numFmtId="0" fontId="47" fillId="0" borderId="0" xfId="0" applyFont="1"/>
    <xf numFmtId="0" fontId="6" fillId="0" borderId="0" xfId="0" applyFont="1" applyAlignment="1">
      <alignment horizontal="center" vertical="center"/>
    </xf>
    <xf numFmtId="0" fontId="25"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53" fillId="0" borderId="0" xfId="0" applyFont="1" applyAlignment="1">
      <alignment horizontal="center"/>
    </xf>
    <xf numFmtId="0" fontId="54" fillId="0" borderId="0" xfId="0" applyFont="1" applyAlignment="1">
      <alignment horizontal="center"/>
    </xf>
    <xf numFmtId="167" fontId="47" fillId="0" borderId="0" xfId="1" applyNumberFormat="1" applyFont="1"/>
    <xf numFmtId="0" fontId="50" fillId="0" borderId="1" xfId="0" applyFont="1" applyBorder="1" applyAlignment="1">
      <alignment horizontal="center" vertical="center" wrapText="1"/>
    </xf>
    <xf numFmtId="0" fontId="51" fillId="0" borderId="8" xfId="0" applyFont="1" applyBorder="1" applyAlignment="1">
      <alignment horizontal="center" vertical="center" wrapText="1"/>
    </xf>
    <xf numFmtId="3" fontId="0" fillId="2" borderId="0" xfId="7" applyNumberFormat="1" applyFont="1" applyFill="1" applyBorder="1" applyAlignment="1">
      <alignment horizontal="center" vertical="center" wrapText="1"/>
    </xf>
    <xf numFmtId="0" fontId="9" fillId="2" borderId="0" xfId="7" applyFont="1" applyFill="1" applyBorder="1" applyAlignment="1">
      <alignment vertical="center" wrapText="1"/>
    </xf>
    <xf numFmtId="0" fontId="0" fillId="2" borderId="0" xfId="7" applyFont="1" applyFill="1" applyBorder="1" applyAlignment="1">
      <alignment vertical="center" wrapText="1"/>
    </xf>
    <xf numFmtId="3" fontId="0" fillId="2" borderId="0" xfId="7" applyNumberFormat="1" applyFont="1" applyFill="1" applyBorder="1" applyAlignment="1">
      <alignment vertical="center" wrapText="1"/>
    </xf>
    <xf numFmtId="0" fontId="58" fillId="0" borderId="0" xfId="0" applyFont="1" applyAlignment="1">
      <alignment vertical="center"/>
    </xf>
    <xf numFmtId="0" fontId="57" fillId="0" borderId="0" xfId="0" applyFont="1"/>
    <xf numFmtId="0" fontId="47" fillId="0" borderId="1"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vertical="center" wrapText="1"/>
    </xf>
    <xf numFmtId="0" fontId="0" fillId="2" borderId="9" xfId="7" applyFont="1" applyFill="1" applyBorder="1" applyAlignment="1">
      <alignment horizontal="center" vertical="center" wrapText="1"/>
    </xf>
    <xf numFmtId="3" fontId="0" fillId="2" borderId="9" xfId="7" applyNumberFormat="1" applyFont="1" applyFill="1" applyBorder="1" applyAlignment="1">
      <alignment horizontal="left" vertical="center" wrapText="1"/>
    </xf>
    <xf numFmtId="167" fontId="55" fillId="2" borderId="9" xfId="1" applyNumberFormat="1" applyFont="1" applyFill="1" applyBorder="1" applyAlignment="1">
      <alignment horizontal="right" vertical="center" wrapText="1"/>
    </xf>
    <xf numFmtId="0" fontId="50" fillId="0" borderId="9" xfId="0" applyFont="1" applyBorder="1" applyAlignment="1">
      <alignment horizontal="center" vertical="center" wrapText="1"/>
    </xf>
    <xf numFmtId="3" fontId="0" fillId="2" borderId="9" xfId="8" applyNumberFormat="1" applyFont="1" applyFill="1"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167" fontId="51" fillId="0" borderId="8" xfId="1" applyNumberFormat="1" applyFont="1" applyBorder="1" applyAlignment="1">
      <alignment horizontal="center" vertical="center" wrapText="1"/>
    </xf>
    <xf numFmtId="167" fontId="51" fillId="0" borderId="9" xfId="1" applyNumberFormat="1" applyFont="1" applyBorder="1" applyAlignment="1">
      <alignment horizontal="center" vertical="center" wrapText="1"/>
    </xf>
    <xf numFmtId="167" fontId="49" fillId="0" borderId="9" xfId="1" applyNumberFormat="1" applyFont="1" applyBorder="1" applyAlignment="1">
      <alignment horizontal="center" vertical="center" wrapText="1"/>
    </xf>
    <xf numFmtId="167" fontId="47" fillId="0" borderId="9" xfId="1" applyNumberFormat="1" applyFont="1" applyBorder="1" applyAlignment="1">
      <alignment horizontal="center" vertical="center" wrapText="1"/>
    </xf>
    <xf numFmtId="167" fontId="50" fillId="0" borderId="9" xfId="1" applyNumberFormat="1" applyFont="1" applyBorder="1" applyAlignment="1">
      <alignment horizontal="center" vertical="center" wrapText="1"/>
    </xf>
    <xf numFmtId="167" fontId="51" fillId="0" borderId="10" xfId="1" applyNumberFormat="1" applyFont="1" applyBorder="1" applyAlignment="1">
      <alignment horizontal="center" vertical="center" wrapText="1"/>
    </xf>
    <xf numFmtId="167" fontId="49" fillId="0" borderId="10" xfId="1" applyNumberFormat="1" applyFont="1" applyBorder="1" applyAlignment="1">
      <alignment horizontal="center" vertical="center" wrapText="1"/>
    </xf>
    <xf numFmtId="0" fontId="9" fillId="2" borderId="9" xfId="7" applyFont="1" applyFill="1" applyBorder="1" applyAlignment="1">
      <alignment horizontal="center" vertical="center" wrapText="1"/>
    </xf>
    <xf numFmtId="3" fontId="9" fillId="2" borderId="9" xfId="7" applyNumberFormat="1" applyFont="1" applyFill="1" applyBorder="1" applyAlignment="1">
      <alignment horizontal="left" vertical="center" wrapText="1"/>
    </xf>
    <xf numFmtId="0" fontId="51" fillId="0" borderId="22" xfId="0" applyFont="1" applyBorder="1" applyAlignment="1">
      <alignment horizontal="center" vertical="center" wrapText="1"/>
    </xf>
    <xf numFmtId="167" fontId="51" fillId="0" borderId="22" xfId="1" applyNumberFormat="1" applyFont="1" applyBorder="1" applyAlignment="1">
      <alignment horizontal="center" vertical="center" wrapText="1"/>
    </xf>
    <xf numFmtId="0" fontId="60" fillId="2" borderId="9" xfId="7" applyFont="1" applyFill="1" applyBorder="1" applyAlignment="1">
      <alignment horizontal="center" vertical="center" wrapText="1"/>
    </xf>
    <xf numFmtId="3" fontId="60" fillId="2" borderId="9" xfId="7" applyNumberFormat="1" applyFont="1" applyFill="1" applyBorder="1" applyAlignment="1">
      <alignment horizontal="left" vertical="center" wrapText="1"/>
    </xf>
    <xf numFmtId="167" fontId="61" fillId="0" borderId="9" xfId="1" applyNumberFormat="1" applyFont="1" applyBorder="1" applyAlignment="1">
      <alignment horizontal="center" vertical="center" wrapText="1"/>
    </xf>
    <xf numFmtId="167" fontId="62" fillId="2" borderId="9" xfId="1" applyNumberFormat="1" applyFont="1" applyFill="1" applyBorder="1" applyAlignment="1">
      <alignment horizontal="right" vertical="center" wrapText="1"/>
    </xf>
    <xf numFmtId="167" fontId="63" fillId="0" borderId="9" xfId="1" applyNumberFormat="1" applyFont="1" applyBorder="1" applyAlignment="1">
      <alignment horizontal="center" vertical="center" wrapText="1"/>
    </xf>
    <xf numFmtId="0" fontId="63" fillId="0" borderId="9" xfId="0" applyFont="1" applyBorder="1" applyAlignment="1">
      <alignment horizontal="center" vertical="center" wrapText="1"/>
    </xf>
    <xf numFmtId="0" fontId="60" fillId="0" borderId="0" xfId="0" applyFont="1"/>
    <xf numFmtId="0" fontId="60" fillId="2" borderId="0" xfId="7" applyFont="1" applyFill="1" applyBorder="1" applyAlignment="1">
      <alignment vertical="center" wrapText="1"/>
    </xf>
    <xf numFmtId="0" fontId="64" fillId="2" borderId="0" xfId="7" applyFont="1" applyFill="1" applyBorder="1" applyAlignment="1">
      <alignment vertical="center" wrapText="1"/>
    </xf>
    <xf numFmtId="3" fontId="60" fillId="2" borderId="9" xfId="8" applyNumberFormat="1" applyFont="1" applyFill="1" applyBorder="1" applyAlignment="1">
      <alignment vertical="center" wrapText="1"/>
    </xf>
    <xf numFmtId="0" fontId="7" fillId="0" borderId="0" xfId="0" applyFont="1"/>
    <xf numFmtId="0" fontId="21" fillId="0" borderId="0" xfId="0" applyFont="1"/>
    <xf numFmtId="0" fontId="7" fillId="0" borderId="23" xfId="0" applyFont="1" applyBorder="1" applyAlignment="1">
      <alignment horizontal="center" vertical="top"/>
    </xf>
    <xf numFmtId="0" fontId="7" fillId="0" borderId="23" xfId="0" applyFont="1" applyBorder="1" applyAlignment="1">
      <alignment horizontal="left" vertical="top" indent="2"/>
    </xf>
    <xf numFmtId="0" fontId="6" fillId="0" borderId="0" xfId="0" applyFont="1" applyAlignment="1">
      <alignment vertical="center"/>
    </xf>
    <xf numFmtId="0" fontId="65" fillId="0" borderId="24" xfId="0" applyFont="1" applyBorder="1" applyAlignment="1">
      <alignment vertical="center"/>
    </xf>
    <xf numFmtId="167" fontId="6" fillId="0" borderId="8" xfId="9" applyNumberFormat="1" applyFont="1" applyBorder="1" applyAlignment="1">
      <alignment horizontal="right" vertical="center"/>
    </xf>
    <xf numFmtId="167" fontId="6" fillId="0" borderId="8" xfId="9" applyNumberFormat="1" applyFont="1" applyBorder="1" applyAlignment="1">
      <alignment horizontal="center" vertical="center"/>
    </xf>
    <xf numFmtId="167" fontId="68" fillId="0" borderId="8" xfId="9" applyNumberFormat="1" applyFont="1" applyBorder="1" applyAlignment="1">
      <alignment horizontal="right" vertical="center"/>
    </xf>
    <xf numFmtId="167" fontId="68" fillId="3" borderId="8" xfId="9" applyNumberFormat="1" applyFont="1" applyFill="1" applyBorder="1" applyAlignment="1">
      <alignment horizontal="right" vertical="center"/>
    </xf>
    <xf numFmtId="0" fontId="6" fillId="0" borderId="28" xfId="0" applyFont="1" applyBorder="1" applyAlignment="1">
      <alignment horizontal="left" vertical="center"/>
    </xf>
    <xf numFmtId="167" fontId="6" fillId="0" borderId="9" xfId="9" applyNumberFormat="1" applyFont="1" applyBorder="1" applyAlignment="1">
      <alignment horizontal="right" vertical="center"/>
    </xf>
    <xf numFmtId="167" fontId="6" fillId="0" borderId="9" xfId="9" applyNumberFormat="1" applyFont="1" applyBorder="1" applyAlignment="1">
      <alignment horizontal="center" vertical="center"/>
    </xf>
    <xf numFmtId="167" fontId="68" fillId="0" borderId="9" xfId="9" applyNumberFormat="1" applyFont="1" applyBorder="1" applyAlignment="1">
      <alignment horizontal="right" vertical="center"/>
    </xf>
    <xf numFmtId="167" fontId="6" fillId="0" borderId="9" xfId="9" applyNumberFormat="1" applyFont="1" applyBorder="1" applyAlignment="1">
      <alignment horizontal="left" vertical="center"/>
    </xf>
    <xf numFmtId="0" fontId="7" fillId="0" borderId="9" xfId="0" applyFont="1" applyBorder="1" applyAlignment="1">
      <alignment horizontal="left" vertical="center"/>
    </xf>
    <xf numFmtId="0" fontId="7" fillId="0" borderId="9" xfId="0" applyFont="1" applyBorder="1" applyAlignment="1">
      <alignment horizontal="justify" vertical="center" wrapText="1"/>
    </xf>
    <xf numFmtId="167" fontId="7" fillId="0" borderId="9" xfId="9" applyNumberFormat="1" applyFont="1" applyBorder="1" applyAlignment="1">
      <alignment horizontal="left" vertical="center"/>
    </xf>
    <xf numFmtId="167" fontId="7" fillId="0" borderId="9" xfId="9" applyNumberFormat="1" applyFont="1" applyBorder="1" applyAlignment="1">
      <alignment horizontal="right" vertical="center"/>
    </xf>
    <xf numFmtId="167" fontId="21" fillId="0" borderId="9" xfId="9" applyNumberFormat="1" applyFont="1" applyBorder="1" applyAlignment="1">
      <alignment horizontal="right" vertical="center"/>
    </xf>
    <xf numFmtId="0" fontId="7" fillId="0" borderId="0" xfId="0" applyFont="1" applyAlignment="1">
      <alignment vertical="center"/>
    </xf>
    <xf numFmtId="0" fontId="7" fillId="0" borderId="9" xfId="0" applyFont="1" applyBorder="1" applyAlignment="1">
      <alignment horizontal="justify" vertical="center"/>
    </xf>
    <xf numFmtId="167" fontId="21" fillId="0" borderId="9" xfId="9" applyNumberFormat="1" applyFont="1" applyBorder="1" applyAlignment="1">
      <alignment horizontal="left" vertical="center"/>
    </xf>
    <xf numFmtId="167" fontId="7" fillId="0" borderId="9" xfId="9" applyNumberFormat="1" applyFont="1" applyBorder="1" applyAlignment="1">
      <alignment horizontal="center" vertical="center"/>
    </xf>
    <xf numFmtId="0" fontId="7" fillId="0" borderId="9" xfId="0" applyFont="1" applyBorder="1" applyAlignment="1">
      <alignment vertical="center"/>
    </xf>
    <xf numFmtId="167" fontId="7" fillId="0" borderId="9" xfId="9" applyNumberFormat="1" applyFont="1" applyBorder="1" applyAlignment="1">
      <alignment vertical="center"/>
    </xf>
    <xf numFmtId="167" fontId="21" fillId="0" borderId="9" xfId="9" applyNumberFormat="1" applyFont="1" applyBorder="1" applyAlignment="1">
      <alignmen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xf>
    <xf numFmtId="167" fontId="7" fillId="0" borderId="10" xfId="9" applyNumberFormat="1" applyFont="1" applyBorder="1" applyAlignment="1">
      <alignment horizontal="right" vertical="center"/>
    </xf>
    <xf numFmtId="167" fontId="7" fillId="0" borderId="10" xfId="9" applyNumberFormat="1" applyFont="1" applyBorder="1" applyAlignment="1">
      <alignment horizontal="left" vertical="center"/>
    </xf>
    <xf numFmtId="167" fontId="21" fillId="0" borderId="10" xfId="9" applyNumberFormat="1" applyFont="1" applyBorder="1" applyAlignment="1">
      <alignment horizontal="left" vertical="center"/>
    </xf>
    <xf numFmtId="0" fontId="65" fillId="0" borderId="25" xfId="0" applyFont="1" applyBorder="1" applyAlignment="1">
      <alignment vertical="center"/>
    </xf>
    <xf numFmtId="0" fontId="26" fillId="2" borderId="9" xfId="0" applyFont="1" applyFill="1" applyBorder="1" applyAlignment="1" applyProtection="1">
      <alignment horizontal="left" vertical="center" wrapText="1"/>
      <protection locked="0"/>
    </xf>
    <xf numFmtId="0" fontId="26" fillId="2" borderId="9" xfId="0" applyFont="1" applyFill="1" applyBorder="1" applyAlignment="1" applyProtection="1">
      <alignment horizontal="center" vertical="center" wrapText="1"/>
      <protection locked="0"/>
    </xf>
    <xf numFmtId="0" fontId="7" fillId="0" borderId="18" xfId="0" applyFont="1" applyBorder="1" applyAlignment="1">
      <alignment vertical="center"/>
    </xf>
    <xf numFmtId="0" fontId="6" fillId="0" borderId="27" xfId="0" applyFont="1" applyBorder="1" applyAlignment="1">
      <alignment vertical="center"/>
    </xf>
    <xf numFmtId="0" fontId="7" fillId="0" borderId="3" xfId="0" applyFont="1" applyBorder="1" applyAlignment="1">
      <alignment horizontal="center" vertical="center" wrapText="1"/>
    </xf>
    <xf numFmtId="0" fontId="7" fillId="0" borderId="17"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center" vertical="top"/>
    </xf>
    <xf numFmtId="0" fontId="7" fillId="0" borderId="0" xfId="0" applyFont="1" applyAlignment="1">
      <alignment horizontal="center"/>
    </xf>
    <xf numFmtId="0" fontId="6" fillId="0" borderId="27"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21" fillId="0" borderId="30" xfId="0" applyFont="1" applyBorder="1" applyAlignment="1">
      <alignment horizontal="center" vertical="top"/>
    </xf>
    <xf numFmtId="0" fontId="7" fillId="0" borderId="31" xfId="0" applyFont="1" applyBorder="1" applyAlignment="1">
      <alignment horizontal="center" vertical="top"/>
    </xf>
    <xf numFmtId="0" fontId="6" fillId="0" borderId="1" xfId="0" applyFont="1" applyBorder="1" applyAlignment="1">
      <alignment vertical="center"/>
    </xf>
    <xf numFmtId="167" fontId="7" fillId="0" borderId="0" xfId="0" applyNumberFormat="1" applyFont="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6" fillId="0" borderId="0" xfId="0" applyFont="1" applyAlignment="1">
      <alignment horizontal="center"/>
    </xf>
    <xf numFmtId="0" fontId="6" fillId="0" borderId="23" xfId="0" applyFont="1" applyBorder="1" applyAlignment="1">
      <alignment horizontal="center" vertical="top"/>
    </xf>
    <xf numFmtId="0" fontId="6" fillId="0" borderId="9" xfId="0" applyFont="1" applyBorder="1" applyAlignment="1">
      <alignment horizontal="center" vertical="center"/>
    </xf>
    <xf numFmtId="0" fontId="6" fillId="0" borderId="3" xfId="0" applyFont="1" applyBorder="1" applyAlignment="1">
      <alignment horizontal="center" vertical="center" wrapText="1"/>
    </xf>
    <xf numFmtId="0" fontId="6" fillId="0" borderId="10" xfId="0"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0" fontId="67" fillId="0" borderId="9" xfId="0" applyFont="1" applyBorder="1" applyAlignment="1">
      <alignment horizontal="justify" vertical="center" wrapText="1"/>
    </xf>
    <xf numFmtId="167" fontId="7" fillId="0" borderId="0" xfId="0" applyNumberFormat="1" applyFont="1"/>
    <xf numFmtId="0" fontId="72" fillId="2" borderId="9" xfId="0" applyFont="1" applyFill="1" applyBorder="1" applyAlignment="1" applyProtection="1">
      <alignment horizontal="left" vertical="center" wrapText="1"/>
      <protection locked="0"/>
    </xf>
    <xf numFmtId="0" fontId="67" fillId="0" borderId="9" xfId="0" applyFont="1" applyBorder="1" applyAlignment="1">
      <alignment horizontal="justify" vertical="center"/>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56" fillId="0" borderId="1" xfId="0" applyFont="1" applyBorder="1" applyAlignment="1">
      <alignment horizontal="center" vertical="center" wrapText="1"/>
    </xf>
    <xf numFmtId="0" fontId="59" fillId="0" borderId="1" xfId="0" applyFont="1" applyBorder="1" applyAlignment="1">
      <alignment horizontal="center" vertical="center" wrapText="1"/>
    </xf>
    <xf numFmtId="167" fontId="6" fillId="0" borderId="29" xfId="0" applyNumberFormat="1" applyFont="1" applyBorder="1" applyAlignment="1">
      <alignment horizontal="center" vertical="center"/>
    </xf>
    <xf numFmtId="167" fontId="21" fillId="0" borderId="0" xfId="0" applyNumberFormat="1" applyFont="1"/>
    <xf numFmtId="167" fontId="7" fillId="3" borderId="9" xfId="9" applyNumberFormat="1" applyFont="1" applyFill="1" applyBorder="1" applyAlignment="1">
      <alignment horizontal="right" vertical="center"/>
    </xf>
    <xf numFmtId="0" fontId="7" fillId="3" borderId="9" xfId="0" applyFont="1" applyFill="1" applyBorder="1" applyAlignment="1">
      <alignment horizontal="center" vertical="center"/>
    </xf>
    <xf numFmtId="0" fontId="7" fillId="3" borderId="9" xfId="0" applyFont="1" applyFill="1" applyBorder="1" applyAlignment="1">
      <alignment horizontal="justify" vertical="center" wrapText="1"/>
    </xf>
    <xf numFmtId="0" fontId="26" fillId="3" borderId="9" xfId="0" applyFont="1" applyFill="1" applyBorder="1" applyAlignment="1" applyProtection="1">
      <alignment horizontal="center" vertical="center" wrapText="1"/>
      <protection locked="0"/>
    </xf>
    <xf numFmtId="0" fontId="26" fillId="3" borderId="9" xfId="0" applyFont="1" applyFill="1" applyBorder="1" applyAlignment="1" applyProtection="1">
      <alignment horizontal="left" vertical="center" wrapText="1"/>
      <protection locked="0"/>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6" fillId="3" borderId="29" xfId="0" applyFont="1" applyFill="1" applyBorder="1" applyAlignment="1">
      <alignment horizontal="center" vertical="center"/>
    </xf>
    <xf numFmtId="167" fontId="7" fillId="3" borderId="9" xfId="9" applyNumberFormat="1" applyFont="1" applyFill="1" applyBorder="1" applyAlignment="1">
      <alignment horizontal="left" vertical="center"/>
    </xf>
    <xf numFmtId="167" fontId="21" fillId="3" borderId="9" xfId="9" applyNumberFormat="1" applyFont="1" applyFill="1" applyBorder="1" applyAlignment="1">
      <alignment horizontal="right" vertical="center"/>
    </xf>
    <xf numFmtId="0" fontId="7" fillId="3" borderId="0" xfId="0" applyFont="1" applyFill="1" applyAlignment="1">
      <alignment vertical="center"/>
    </xf>
    <xf numFmtId="167" fontId="7" fillId="3" borderId="0" xfId="0" applyNumberFormat="1" applyFont="1" applyFill="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horizontal="justify"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6" fillId="2" borderId="29" xfId="0" applyFont="1" applyFill="1" applyBorder="1" applyAlignment="1">
      <alignment horizontal="center" vertical="center"/>
    </xf>
    <xf numFmtId="167" fontId="7" fillId="2" borderId="9" xfId="9" applyNumberFormat="1" applyFont="1" applyFill="1" applyBorder="1" applyAlignment="1">
      <alignment horizontal="right" vertical="center"/>
    </xf>
    <xf numFmtId="167" fontId="7" fillId="2" borderId="9" xfId="9" applyNumberFormat="1" applyFont="1" applyFill="1" applyBorder="1" applyAlignment="1">
      <alignment horizontal="left" vertical="center"/>
    </xf>
    <xf numFmtId="167" fontId="21" fillId="2" borderId="9" xfId="9" applyNumberFormat="1" applyFont="1" applyFill="1" applyBorder="1" applyAlignment="1">
      <alignment horizontal="right" vertical="center"/>
    </xf>
    <xf numFmtId="0" fontId="7" fillId="2" borderId="0" xfId="0" applyFont="1" applyFill="1" applyAlignment="1">
      <alignment vertical="center"/>
    </xf>
    <xf numFmtId="167" fontId="7" fillId="2" borderId="0" xfId="0" applyNumberFormat="1" applyFont="1" applyFill="1" applyAlignment="1">
      <alignment vertical="center"/>
    </xf>
    <xf numFmtId="0" fontId="67" fillId="3" borderId="9" xfId="0" applyFont="1" applyFill="1" applyBorder="1" applyAlignment="1">
      <alignment horizontal="justify" vertical="center" wrapText="1"/>
    </xf>
    <xf numFmtId="167" fontId="21" fillId="3" borderId="9" xfId="9" applyNumberFormat="1" applyFont="1" applyFill="1" applyBorder="1" applyAlignment="1">
      <alignment horizontal="left" vertical="center"/>
    </xf>
    <xf numFmtId="0" fontId="25"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53" fillId="0" borderId="0" xfId="0" applyFont="1"/>
    <xf numFmtId="0" fontId="16" fillId="0" borderId="0" xfId="0" applyFont="1" applyAlignment="1">
      <alignment horizontal="left"/>
    </xf>
    <xf numFmtId="167" fontId="53" fillId="0" borderId="0" xfId="0" applyNumberFormat="1" applyFont="1"/>
    <xf numFmtId="0" fontId="29"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 xfId="0" applyFont="1" applyBorder="1" applyAlignment="1">
      <alignment vertical="center" wrapText="1"/>
    </xf>
    <xf numFmtId="166" fontId="25" fillId="0" borderId="5" xfId="1" applyNumberFormat="1" applyFont="1" applyBorder="1" applyAlignment="1">
      <alignment horizontal="center" vertical="center" wrapText="1"/>
    </xf>
    <xf numFmtId="0" fontId="54" fillId="0" borderId="0" xfId="0" applyFont="1"/>
    <xf numFmtId="0" fontId="29" fillId="0" borderId="5" xfId="0" applyFont="1" applyBorder="1" applyAlignment="1">
      <alignment horizontal="center" vertical="center" wrapText="1"/>
    </xf>
    <xf numFmtId="0" fontId="29" fillId="0" borderId="5" xfId="0" applyFont="1" applyBorder="1" applyAlignment="1">
      <alignment vertical="center" wrapText="1"/>
    </xf>
    <xf numFmtId="167" fontId="29" fillId="0" borderId="5" xfId="1" applyNumberFormat="1" applyFont="1" applyBorder="1" applyAlignment="1">
      <alignment vertical="center" wrapText="1"/>
    </xf>
    <xf numFmtId="166" fontId="29" fillId="0" borderId="5" xfId="1" applyNumberFormat="1" applyFont="1" applyBorder="1" applyAlignment="1">
      <alignment horizontal="center" vertical="center" wrapText="1"/>
    </xf>
    <xf numFmtId="167" fontId="53" fillId="0" borderId="0" xfId="1" applyNumberFormat="1" applyFont="1"/>
    <xf numFmtId="0" fontId="25" fillId="0" borderId="5" xfId="0" applyFont="1" applyBorder="1" applyAlignment="1">
      <alignment horizontal="center" vertical="center" wrapText="1"/>
    </xf>
    <xf numFmtId="0" fontId="25" fillId="0" borderId="5" xfId="0" applyFont="1" applyBorder="1" applyAlignment="1">
      <alignment vertical="center" wrapText="1"/>
    </xf>
    <xf numFmtId="167" fontId="25" fillId="0" borderId="5" xfId="1" applyNumberFormat="1" applyFont="1" applyBorder="1" applyAlignment="1">
      <alignment vertical="center" wrapText="1"/>
    </xf>
    <xf numFmtId="3" fontId="53" fillId="0" borderId="0" xfId="0" applyNumberFormat="1" applyFont="1"/>
    <xf numFmtId="0" fontId="25" fillId="0" borderId="6" xfId="0" applyFont="1" applyBorder="1" applyAlignment="1">
      <alignment horizontal="center" vertical="center" wrapText="1"/>
    </xf>
    <xf numFmtId="0" fontId="25" fillId="0" borderId="6" xfId="0" applyFont="1" applyBorder="1" applyAlignment="1">
      <alignment vertical="center" wrapText="1"/>
    </xf>
    <xf numFmtId="167" fontId="25" fillId="0" borderId="6" xfId="1" applyNumberFormat="1" applyFont="1" applyBorder="1" applyAlignment="1">
      <alignment vertical="center" wrapText="1"/>
    </xf>
    <xf numFmtId="167" fontId="25" fillId="0" borderId="14" xfId="1" applyNumberFormat="1" applyFont="1" applyBorder="1" applyAlignment="1">
      <alignment vertical="center" wrapText="1"/>
    </xf>
    <xf numFmtId="166" fontId="25" fillId="0" borderId="14" xfId="1" applyNumberFormat="1" applyFont="1" applyBorder="1" applyAlignment="1">
      <alignment horizontal="center" vertical="center" wrapText="1"/>
    </xf>
    <xf numFmtId="167" fontId="29" fillId="0" borderId="0" xfId="0" applyNumberFormat="1" applyFont="1"/>
    <xf numFmtId="166" fontId="29" fillId="0" borderId="0" xfId="1" applyNumberFormat="1" applyFont="1"/>
    <xf numFmtId="166" fontId="25" fillId="0" borderId="0" xfId="1" applyNumberFormat="1" applyFont="1" applyAlignment="1">
      <alignment horizontal="left" vertical="center"/>
    </xf>
    <xf numFmtId="0" fontId="29" fillId="0" borderId="0" xfId="0" applyFont="1"/>
    <xf numFmtId="167" fontId="29" fillId="0" borderId="0" xfId="1" applyNumberFormat="1" applyFont="1"/>
    <xf numFmtId="0" fontId="33" fillId="0" borderId="0" xfId="0" applyFont="1" applyAlignment="1">
      <alignment horizontal="left" vertical="center"/>
    </xf>
    <xf numFmtId="0" fontId="29" fillId="0" borderId="4" xfId="0" applyFont="1" applyBorder="1" applyAlignment="1">
      <alignment horizontal="center" vertical="center" wrapText="1"/>
    </xf>
    <xf numFmtId="167" fontId="25" fillId="0" borderId="4" xfId="1" applyNumberFormat="1" applyFont="1" applyBorder="1" applyAlignment="1">
      <alignment horizontal="center" vertical="center" wrapText="1"/>
    </xf>
    <xf numFmtId="166" fontId="25" fillId="0" borderId="4" xfId="1" applyNumberFormat="1" applyFont="1" applyBorder="1" applyAlignment="1">
      <alignment horizontal="center" vertical="center" wrapText="1"/>
    </xf>
    <xf numFmtId="167" fontId="25" fillId="0" borderId="5" xfId="1" applyNumberFormat="1" applyFont="1" applyBorder="1" applyAlignment="1">
      <alignment horizontal="center" vertical="center" wrapText="1"/>
    </xf>
    <xf numFmtId="167" fontId="29" fillId="0" borderId="5" xfId="1" applyNumberFormat="1" applyFont="1" applyBorder="1" applyAlignment="1">
      <alignment horizontal="center" vertical="center" wrapText="1"/>
    </xf>
    <xf numFmtId="0" fontId="29" fillId="0" borderId="5" xfId="0" quotePrefix="1" applyFont="1" applyBorder="1" applyAlignment="1">
      <alignment vertical="center" wrapText="1"/>
    </xf>
    <xf numFmtId="167" fontId="29" fillId="0" borderId="5" xfId="1" applyNumberFormat="1" applyFont="1" applyFill="1" applyBorder="1" applyAlignment="1">
      <alignment horizontal="center" vertical="center" wrapText="1"/>
    </xf>
    <xf numFmtId="0" fontId="33" fillId="0" borderId="5" xfId="0" applyFont="1" applyBorder="1" applyAlignment="1">
      <alignment horizontal="center" vertical="center" wrapText="1"/>
    </xf>
    <xf numFmtId="0" fontId="33" fillId="0" borderId="5" xfId="0" applyFont="1" applyBorder="1" applyAlignment="1">
      <alignment vertical="center" wrapText="1"/>
    </xf>
    <xf numFmtId="167" fontId="33" fillId="0" borderId="5" xfId="1" applyNumberFormat="1" applyFont="1" applyBorder="1" applyAlignment="1">
      <alignment horizontal="center" vertical="center" wrapText="1"/>
    </xf>
    <xf numFmtId="167" fontId="33" fillId="0" borderId="5" xfId="2" applyNumberFormat="1" applyFont="1" applyBorder="1" applyAlignment="1">
      <alignment horizontal="center" vertical="center" wrapText="1"/>
    </xf>
    <xf numFmtId="167" fontId="29" fillId="2" borderId="5" xfId="1" applyNumberFormat="1" applyFont="1" applyFill="1" applyBorder="1" applyAlignment="1">
      <alignment horizontal="center" vertical="center" wrapText="1"/>
    </xf>
    <xf numFmtId="167" fontId="33" fillId="2" borderId="5" xfId="1" applyNumberFormat="1" applyFont="1" applyFill="1" applyBorder="1" applyAlignment="1">
      <alignment horizontal="center" vertical="center" wrapText="1"/>
    </xf>
    <xf numFmtId="167" fontId="54" fillId="0" borderId="0" xfId="1" applyNumberFormat="1" applyFont="1"/>
    <xf numFmtId="167" fontId="29" fillId="0" borderId="6" xfId="1" applyNumberFormat="1" applyFont="1" applyBorder="1"/>
    <xf numFmtId="167" fontId="25" fillId="0" borderId="6" xfId="1" applyNumberFormat="1" applyFont="1" applyBorder="1"/>
    <xf numFmtId="0" fontId="29" fillId="0" borderId="6" xfId="0" applyFont="1" applyBorder="1"/>
    <xf numFmtId="0" fontId="25" fillId="0" borderId="0" xfId="0" applyFont="1" applyAlignment="1">
      <alignment horizontal="left" vertical="center"/>
    </xf>
    <xf numFmtId="0" fontId="29" fillId="0" borderId="0" xfId="0" applyFont="1" applyAlignment="1">
      <alignment vertical="center"/>
    </xf>
    <xf numFmtId="0" fontId="25" fillId="0" borderId="0" xfId="0" applyFont="1"/>
    <xf numFmtId="167" fontId="25" fillId="0" borderId="0" xfId="1" applyNumberFormat="1" applyFont="1"/>
    <xf numFmtId="0" fontId="14" fillId="0" borderId="0" xfId="0" applyFont="1" applyAlignment="1">
      <alignment horizontal="center" vertical="center"/>
    </xf>
    <xf numFmtId="0" fontId="25" fillId="0" borderId="0" xfId="0" applyFont="1" applyFill="1" applyBorder="1" applyAlignment="1">
      <alignment horizontal="center" vertical="center" wrapText="1"/>
    </xf>
    <xf numFmtId="167" fontId="29" fillId="2" borderId="5" xfId="1" applyNumberFormat="1" applyFont="1" applyFill="1" applyBorder="1" applyAlignment="1">
      <alignment vertical="center" wrapText="1"/>
    </xf>
    <xf numFmtId="0" fontId="19" fillId="0" borderId="0" xfId="0" applyFont="1"/>
    <xf numFmtId="0" fontId="29" fillId="2" borderId="9" xfId="0" applyFont="1" applyFill="1" applyBorder="1" applyAlignment="1">
      <alignment vertical="center" wrapText="1"/>
    </xf>
    <xf numFmtId="167" fontId="19" fillId="0" borderId="0" xfId="0" applyNumberFormat="1" applyFont="1"/>
    <xf numFmtId="167" fontId="54" fillId="0" borderId="0" xfId="0" applyNumberFormat="1" applyFont="1"/>
    <xf numFmtId="0" fontId="73" fillId="0" borderId="0" xfId="0" applyFont="1"/>
    <xf numFmtId="167" fontId="30" fillId="0" borderId="5" xfId="1" applyNumberFormat="1" applyFont="1" applyBorder="1" applyAlignment="1">
      <alignment horizontal="center" vertical="center" wrapText="1"/>
    </xf>
    <xf numFmtId="0" fontId="25" fillId="0" borderId="6" xfId="0" applyFont="1" applyFill="1" applyBorder="1" applyAlignment="1">
      <alignment horizontal="center" vertical="center" wrapText="1"/>
    </xf>
    <xf numFmtId="0" fontId="52" fillId="0" borderId="0" xfId="0" applyFont="1"/>
    <xf numFmtId="0" fontId="29" fillId="0" borderId="0" xfId="0" applyFont="1" applyAlignment="1">
      <alignment horizontal="center" vertical="center"/>
    </xf>
    <xf numFmtId="166" fontId="25" fillId="0" borderId="8" xfId="1" applyNumberFormat="1" applyFont="1" applyBorder="1" applyAlignment="1">
      <alignment horizontal="center" vertical="center" wrapText="1"/>
    </xf>
    <xf numFmtId="166" fontId="25" fillId="0" borderId="9" xfId="1" applyNumberFormat="1" applyFont="1" applyBorder="1" applyAlignment="1">
      <alignment horizontal="center" vertical="center" wrapText="1"/>
    </xf>
    <xf numFmtId="167" fontId="29" fillId="2" borderId="9" xfId="1" quotePrefix="1" applyNumberFormat="1" applyFont="1" applyFill="1" applyBorder="1" applyAlignment="1">
      <alignment horizontal="center" vertical="center" wrapText="1"/>
    </xf>
    <xf numFmtId="167" fontId="29" fillId="2" borderId="9" xfId="1" applyNumberFormat="1" applyFont="1" applyFill="1" applyBorder="1" applyAlignment="1" applyProtection="1">
      <alignment horizontal="left" vertical="center" wrapText="1"/>
      <protection locked="0"/>
    </xf>
    <xf numFmtId="167" fontId="29" fillId="2" borderId="9" xfId="1" applyNumberFormat="1" applyFont="1" applyFill="1" applyBorder="1" applyAlignment="1">
      <alignment horizontal="right" vertical="center" wrapText="1"/>
    </xf>
    <xf numFmtId="166" fontId="29" fillId="0" borderId="9" xfId="1" applyNumberFormat="1" applyFont="1" applyBorder="1" applyAlignment="1">
      <alignment horizontal="center" vertical="center" wrapText="1"/>
    </xf>
    <xf numFmtId="167" fontId="29" fillId="2" borderId="9" xfId="1" applyNumberFormat="1" applyFont="1" applyFill="1" applyBorder="1" applyAlignment="1">
      <alignment horizontal="left" vertical="center" wrapText="1"/>
    </xf>
    <xf numFmtId="3" fontId="29" fillId="2" borderId="0" xfId="7" applyNumberFormat="1" applyFont="1" applyFill="1" applyBorder="1" applyAlignment="1">
      <alignment horizontal="center" vertical="center" wrapText="1"/>
    </xf>
    <xf numFmtId="0" fontId="25" fillId="2" borderId="0" xfId="7" applyFont="1" applyFill="1" applyBorder="1" applyAlignment="1">
      <alignment vertical="center" wrapText="1"/>
    </xf>
    <xf numFmtId="0" fontId="33" fillId="0" borderId="0" xfId="0" applyFont="1" applyAlignment="1">
      <alignment vertical="center"/>
    </xf>
    <xf numFmtId="0" fontId="35" fillId="2" borderId="0" xfId="7" applyFont="1" applyFill="1" applyBorder="1" applyAlignment="1">
      <alignment vertical="center" wrapText="1"/>
    </xf>
    <xf numFmtId="0" fontId="29" fillId="2" borderId="0" xfId="7" applyFont="1" applyFill="1" applyBorder="1" applyAlignment="1">
      <alignment vertical="center" wrapText="1"/>
    </xf>
    <xf numFmtId="0" fontId="33" fillId="2" borderId="0" xfId="7" applyFont="1" applyFill="1" applyBorder="1" applyAlignment="1">
      <alignment vertical="center" wrapText="1"/>
    </xf>
    <xf numFmtId="3" fontId="29" fillId="2" borderId="0" xfId="7" applyNumberFormat="1" applyFont="1" applyFill="1" applyBorder="1" applyAlignment="1">
      <alignment vertical="center" wrapText="1"/>
    </xf>
    <xf numFmtId="167" fontId="29" fillId="2" borderId="9" xfId="1" applyNumberFormat="1" applyFont="1" applyFill="1" applyBorder="1" applyAlignment="1">
      <alignment horizontal="center" vertical="center" wrapText="1"/>
    </xf>
    <xf numFmtId="166" fontId="29" fillId="2" borderId="9" xfId="1" applyNumberFormat="1" applyFont="1" applyFill="1" applyBorder="1" applyAlignment="1">
      <alignment horizontal="center" vertical="center" wrapText="1"/>
    </xf>
    <xf numFmtId="0" fontId="29" fillId="3" borderId="0" xfId="0" applyFont="1" applyFill="1" applyAlignment="1">
      <alignment vertical="center"/>
    </xf>
    <xf numFmtId="0" fontId="29" fillId="3" borderId="0" xfId="7" applyFont="1" applyFill="1" applyBorder="1" applyAlignment="1">
      <alignment vertical="center" wrapText="1"/>
    </xf>
    <xf numFmtId="167" fontId="25" fillId="2" borderId="9" xfId="1" quotePrefix="1" applyNumberFormat="1" applyFont="1" applyFill="1" applyBorder="1" applyAlignment="1">
      <alignment horizontal="center" vertical="center" wrapText="1"/>
    </xf>
    <xf numFmtId="3" fontId="25" fillId="2" borderId="9" xfId="7" applyNumberFormat="1" applyFont="1" applyFill="1" applyBorder="1" applyAlignment="1">
      <alignment horizontal="left" vertical="center" wrapText="1"/>
    </xf>
    <xf numFmtId="167" fontId="25" fillId="0" borderId="0" xfId="1" applyNumberFormat="1" applyFont="1" applyAlignment="1">
      <alignment vertical="center"/>
    </xf>
    <xf numFmtId="0" fontId="25" fillId="0" borderId="10" xfId="0" applyFont="1" applyBorder="1" applyAlignment="1">
      <alignment horizontal="center" vertical="center" wrapText="1"/>
    </xf>
    <xf numFmtId="0" fontId="25" fillId="0" borderId="10" xfId="0" applyFont="1" applyBorder="1" applyAlignment="1">
      <alignment vertical="center" wrapText="1"/>
    </xf>
    <xf numFmtId="167" fontId="25" fillId="0" borderId="10" xfId="1" applyNumberFormat="1" applyFont="1" applyBorder="1" applyAlignment="1">
      <alignment horizontal="center" vertical="center" wrapText="1"/>
    </xf>
    <xf numFmtId="167" fontId="25" fillId="0" borderId="10" xfId="1" applyNumberFormat="1" applyFont="1" applyBorder="1" applyAlignment="1">
      <alignment vertical="center"/>
    </xf>
    <xf numFmtId="166" fontId="29" fillId="0" borderId="10" xfId="1" applyNumberFormat="1" applyFont="1" applyBorder="1" applyAlignment="1">
      <alignment horizontal="center" vertical="center" wrapText="1"/>
    </xf>
    <xf numFmtId="167" fontId="73" fillId="0" borderId="0" xfId="0" applyNumberFormat="1" applyFont="1"/>
    <xf numFmtId="0" fontId="52"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6" xfId="0" applyFont="1" applyBorder="1" applyAlignment="1">
      <alignment vertical="center" wrapText="1"/>
    </xf>
    <xf numFmtId="167" fontId="29" fillId="0" borderId="6" xfId="1" applyNumberFormat="1" applyFont="1" applyBorder="1" applyAlignment="1">
      <alignment horizontal="center" vertical="center" wrapText="1"/>
    </xf>
    <xf numFmtId="0" fontId="16" fillId="0" borderId="0" xfId="0" applyFont="1"/>
    <xf numFmtId="3" fontId="29" fillId="0" borderId="0" xfId="0" applyNumberFormat="1" applyFont="1"/>
    <xf numFmtId="0" fontId="74" fillId="0" borderId="0" xfId="0" applyFont="1"/>
    <xf numFmtId="0" fontId="76" fillId="3" borderId="0" xfId="0" applyFont="1" applyFill="1"/>
    <xf numFmtId="167" fontId="53" fillId="0" borderId="0" xfId="0" applyNumberFormat="1" applyFont="1" applyAlignment="1">
      <alignment horizontal="center"/>
    </xf>
    <xf numFmtId="167" fontId="54" fillId="0" borderId="0" xfId="0" applyNumberFormat="1" applyFont="1" applyAlignment="1">
      <alignment horizontal="center"/>
    </xf>
    <xf numFmtId="167" fontId="75" fillId="3" borderId="0" xfId="1" applyNumberFormat="1" applyFont="1" applyFill="1" applyAlignment="1">
      <alignment horizontal="center"/>
    </xf>
    <xf numFmtId="0" fontId="76" fillId="3" borderId="0" xfId="0" applyFont="1" applyFill="1" applyAlignment="1">
      <alignment horizontal="center"/>
    </xf>
    <xf numFmtId="167" fontId="25" fillId="2" borderId="5" xfId="1" applyNumberFormat="1" applyFont="1" applyFill="1" applyBorder="1" applyAlignment="1">
      <alignment vertical="center" wrapText="1"/>
    </xf>
    <xf numFmtId="0" fontId="38" fillId="0" borderId="0" xfId="0" applyFont="1"/>
    <xf numFmtId="167" fontId="48" fillId="0" borderId="0" xfId="1" applyNumberFormat="1" applyFont="1" applyAlignment="1">
      <alignment horizontal="center"/>
    </xf>
    <xf numFmtId="167" fontId="48" fillId="0" borderId="0" xfId="1" applyNumberFormat="1" applyFont="1"/>
    <xf numFmtId="167" fontId="38" fillId="0" borderId="0" xfId="1" applyNumberFormat="1" applyFont="1"/>
    <xf numFmtId="167" fontId="48" fillId="2" borderId="0" xfId="1" applyNumberFormat="1" applyFont="1" applyFill="1"/>
    <xf numFmtId="0" fontId="78" fillId="0" borderId="0" xfId="0" applyFont="1"/>
    <xf numFmtId="0" fontId="78" fillId="0" borderId="0" xfId="0" applyFont="1" applyAlignment="1">
      <alignment horizontal="center"/>
    </xf>
    <xf numFmtId="167" fontId="78" fillId="0" borderId="0" xfId="1" applyNumberFormat="1" applyFont="1"/>
    <xf numFmtId="167" fontId="78" fillId="0" borderId="0" xfId="0" applyNumberFormat="1" applyFont="1"/>
    <xf numFmtId="0" fontId="24" fillId="0" borderId="2" xfId="0" applyFont="1" applyBorder="1" applyAlignment="1">
      <alignment horizontal="center" vertical="center" wrapText="1"/>
    </xf>
    <xf numFmtId="0" fontId="79" fillId="0" borderId="0" xfId="0" applyFont="1"/>
    <xf numFmtId="0" fontId="25" fillId="0" borderId="1" xfId="0" applyFont="1" applyBorder="1" applyAlignment="1">
      <alignment horizontal="center" vertical="center" wrapText="1"/>
    </xf>
    <xf numFmtId="0" fontId="29" fillId="0" borderId="1" xfId="0" applyFont="1" applyBorder="1" applyAlignment="1">
      <alignment horizontal="center" vertical="center" wrapText="1"/>
    </xf>
    <xf numFmtId="167" fontId="16" fillId="0" borderId="9" xfId="1" applyNumberFormat="1" applyFont="1" applyBorder="1" applyAlignment="1">
      <alignment horizontal="center" vertical="center" wrapText="1"/>
    </xf>
    <xf numFmtId="167" fontId="19" fillId="0" borderId="9" xfId="1" applyNumberFormat="1" applyFont="1" applyBorder="1" applyAlignment="1">
      <alignment horizontal="center" vertical="center" wrapText="1"/>
    </xf>
    <xf numFmtId="167" fontId="19" fillId="0" borderId="9" xfId="1" applyNumberFormat="1" applyFont="1" applyBorder="1" applyAlignment="1">
      <alignment vertical="center"/>
    </xf>
    <xf numFmtId="166" fontId="19" fillId="0" borderId="9" xfId="1" applyNumberFormat="1" applyFont="1" applyBorder="1" applyAlignment="1">
      <alignment horizontal="center" vertical="center" wrapText="1"/>
    </xf>
    <xf numFmtId="167" fontId="29" fillId="0" borderId="9" xfId="1" applyNumberFormat="1" applyFont="1" applyFill="1" applyBorder="1" applyAlignment="1">
      <alignment horizontal="left" vertical="center" wrapText="1"/>
    </xf>
    <xf numFmtId="167" fontId="29" fillId="0" borderId="9" xfId="1" applyNumberFormat="1" applyFont="1" applyFill="1" applyBorder="1" applyAlignment="1">
      <alignment horizontal="center" vertical="center" wrapText="1"/>
    </xf>
    <xf numFmtId="167" fontId="29" fillId="0" borderId="9" xfId="1" applyNumberFormat="1" applyFont="1" applyFill="1" applyBorder="1" applyAlignment="1">
      <alignment vertical="center"/>
    </xf>
    <xf numFmtId="167" fontId="19" fillId="0" borderId="9" xfId="1" applyNumberFormat="1" applyFont="1" applyFill="1" applyBorder="1" applyAlignment="1">
      <alignment horizontal="center" vertical="center" wrapText="1"/>
    </xf>
    <xf numFmtId="167" fontId="19" fillId="0" borderId="9" xfId="1" applyNumberFormat="1" applyFont="1" applyFill="1" applyBorder="1" applyAlignment="1">
      <alignment vertical="center"/>
    </xf>
    <xf numFmtId="166" fontId="29" fillId="0" borderId="9" xfId="1" applyNumberFormat="1" applyFont="1" applyFill="1" applyBorder="1" applyAlignment="1">
      <alignment horizontal="center" vertical="center" wrapText="1"/>
    </xf>
    <xf numFmtId="167" fontId="29" fillId="4" borderId="9" xfId="1" applyNumberFormat="1" applyFont="1" applyFill="1" applyBorder="1" applyAlignment="1" applyProtection="1">
      <alignment horizontal="left" vertical="center" wrapText="1"/>
      <protection locked="0"/>
    </xf>
    <xf numFmtId="167" fontId="29" fillId="4" borderId="9" xfId="1" applyNumberFormat="1" applyFont="1" applyFill="1" applyBorder="1" applyAlignment="1">
      <alignment horizontal="center" vertical="center" wrapText="1"/>
    </xf>
    <xf numFmtId="167" fontId="29" fillId="4" borderId="9" xfId="1" applyNumberFormat="1" applyFont="1" applyFill="1" applyBorder="1" applyAlignment="1">
      <alignment horizontal="right" vertical="center" wrapText="1"/>
    </xf>
    <xf numFmtId="167" fontId="19" fillId="4" borderId="9" xfId="1" applyNumberFormat="1" applyFont="1" applyFill="1" applyBorder="1" applyAlignment="1">
      <alignment horizontal="center" vertical="center" wrapText="1"/>
    </xf>
    <xf numFmtId="166" fontId="29" fillId="4" borderId="9" xfId="1" applyNumberFormat="1" applyFont="1" applyFill="1" applyBorder="1" applyAlignment="1">
      <alignment horizontal="center" vertical="center" wrapText="1"/>
    </xf>
    <xf numFmtId="0" fontId="33" fillId="4" borderId="0" xfId="0" applyFont="1" applyFill="1" applyAlignment="1">
      <alignment vertical="center"/>
    </xf>
    <xf numFmtId="0" fontId="35" fillId="4" borderId="0" xfId="7" applyFont="1" applyFill="1" applyBorder="1" applyAlignment="1">
      <alignment vertical="center" wrapText="1"/>
    </xf>
    <xf numFmtId="167" fontId="29" fillId="3" borderId="9" xfId="1" applyNumberFormat="1" applyFont="1" applyFill="1" applyBorder="1" applyAlignment="1">
      <alignment horizontal="left" vertical="center" wrapText="1"/>
    </xf>
    <xf numFmtId="167" fontId="29" fillId="3" borderId="9" xfId="1" applyNumberFormat="1" applyFont="1" applyFill="1" applyBorder="1" applyAlignment="1">
      <alignment horizontal="center" vertical="center" wrapText="1"/>
    </xf>
    <xf numFmtId="167" fontId="29" fillId="3" borderId="9" xfId="1" applyNumberFormat="1" applyFont="1" applyFill="1" applyBorder="1" applyAlignment="1">
      <alignment vertical="center"/>
    </xf>
    <xf numFmtId="167" fontId="19" fillId="3" borderId="9" xfId="1" applyNumberFormat="1" applyFont="1" applyFill="1" applyBorder="1" applyAlignment="1">
      <alignment horizontal="center" vertical="center" wrapText="1"/>
    </xf>
    <xf numFmtId="167" fontId="19" fillId="3" borderId="9" xfId="1" applyNumberFormat="1" applyFont="1" applyFill="1" applyBorder="1" applyAlignment="1">
      <alignment vertical="center"/>
    </xf>
    <xf numFmtId="166" fontId="29" fillId="3" borderId="9" xfId="1" applyNumberFormat="1" applyFont="1" applyFill="1" applyBorder="1" applyAlignment="1">
      <alignment horizontal="center" vertical="center" wrapText="1"/>
    </xf>
    <xf numFmtId="0" fontId="33" fillId="3" borderId="0" xfId="0" applyFont="1" applyFill="1" applyAlignment="1">
      <alignment vertical="center"/>
    </xf>
    <xf numFmtId="0" fontId="35" fillId="3" borderId="0" xfId="7" applyFont="1" applyFill="1" applyBorder="1" applyAlignment="1">
      <alignment vertical="center" wrapText="1"/>
    </xf>
    <xf numFmtId="167" fontId="19" fillId="2" borderId="9" xfId="1" applyNumberFormat="1" applyFont="1" applyFill="1" applyBorder="1" applyAlignment="1">
      <alignment horizontal="right" vertical="center" wrapText="1"/>
    </xf>
    <xf numFmtId="0" fontId="38" fillId="0" borderId="0" xfId="0" applyFont="1" applyAlignment="1">
      <alignment vertical="center"/>
    </xf>
    <xf numFmtId="0" fontId="48" fillId="2" borderId="0" xfId="7" applyFont="1" applyFill="1" applyBorder="1" applyAlignment="1">
      <alignment vertical="center" wrapText="1"/>
    </xf>
    <xf numFmtId="0" fontId="25" fillId="3" borderId="0" xfId="7" applyFont="1" applyFill="1" applyBorder="1" applyAlignment="1">
      <alignment vertical="center" wrapText="1"/>
    </xf>
    <xf numFmtId="167" fontId="29" fillId="2" borderId="9" xfId="1" applyNumberFormat="1" applyFont="1" applyFill="1" applyBorder="1" applyAlignment="1">
      <alignment vertical="center"/>
    </xf>
    <xf numFmtId="167" fontId="19" fillId="2" borderId="9" xfId="1" applyNumberFormat="1" applyFont="1" applyFill="1" applyBorder="1" applyAlignment="1">
      <alignment horizontal="center" vertical="center" wrapText="1"/>
    </xf>
    <xf numFmtId="167" fontId="19" fillId="2" borderId="9" xfId="1" applyNumberFormat="1" applyFont="1" applyFill="1" applyBorder="1" applyAlignment="1">
      <alignment vertical="center"/>
    </xf>
    <xf numFmtId="167" fontId="29" fillId="3" borderId="9" xfId="1" applyNumberFormat="1" applyFont="1" applyFill="1" applyBorder="1" applyAlignment="1" applyProtection="1">
      <alignment horizontal="left" vertical="center" wrapText="1"/>
      <protection locked="0"/>
    </xf>
    <xf numFmtId="167" fontId="29" fillId="3" borderId="9" xfId="1" applyNumberFormat="1" applyFont="1" applyFill="1" applyBorder="1" applyAlignment="1">
      <alignment horizontal="right" vertical="center" wrapText="1"/>
    </xf>
    <xf numFmtId="167" fontId="29" fillId="4" borderId="9" xfId="1" applyNumberFormat="1" applyFont="1" applyFill="1" applyBorder="1" applyAlignment="1">
      <alignment horizontal="left" vertical="center" wrapText="1"/>
    </xf>
    <xf numFmtId="167" fontId="29" fillId="4" borderId="9" xfId="1" applyNumberFormat="1" applyFont="1" applyFill="1" applyBorder="1" applyAlignment="1">
      <alignment vertical="center"/>
    </xf>
    <xf numFmtId="167" fontId="19" fillId="4" borderId="9" xfId="1" applyNumberFormat="1" applyFont="1" applyFill="1" applyBorder="1" applyAlignment="1">
      <alignment vertical="center"/>
    </xf>
    <xf numFmtId="0" fontId="29" fillId="4" borderId="0" xfId="0" applyFont="1" applyFill="1" applyAlignment="1">
      <alignment vertical="center"/>
    </xf>
    <xf numFmtId="167" fontId="29" fillId="0" borderId="9" xfId="1" applyNumberFormat="1" applyFont="1" applyFill="1" applyBorder="1" applyAlignment="1">
      <alignment horizontal="right" vertical="center" wrapText="1"/>
    </xf>
    <xf numFmtId="2" fontId="29" fillId="0" borderId="9" xfId="7" applyNumberFormat="1" applyFont="1" applyFill="1" applyBorder="1" applyAlignment="1">
      <alignment vertical="center" wrapText="1"/>
    </xf>
    <xf numFmtId="167" fontId="29" fillId="0" borderId="9" xfId="1" applyNumberFormat="1" applyFont="1" applyFill="1" applyBorder="1" applyAlignment="1" applyProtection="1">
      <alignment horizontal="left" vertical="center" wrapText="1"/>
      <protection locked="0"/>
    </xf>
    <xf numFmtId="167" fontId="16" fillId="0" borderId="9" xfId="1" applyNumberFormat="1" applyFont="1" applyBorder="1" applyAlignment="1">
      <alignment vertical="center"/>
    </xf>
    <xf numFmtId="167" fontId="16" fillId="0" borderId="10" xfId="1" applyNumberFormat="1" applyFont="1" applyBorder="1" applyAlignment="1">
      <alignment vertical="center"/>
    </xf>
    <xf numFmtId="167" fontId="20" fillId="0" borderId="0" xfId="0" applyNumberFormat="1" applyFont="1" applyAlignment="1"/>
    <xf numFmtId="167" fontId="20" fillId="0" borderId="0" xfId="1" applyNumberFormat="1" applyFont="1" applyAlignment="1"/>
    <xf numFmtId="167" fontId="20" fillId="0" borderId="0" xfId="1" applyNumberFormat="1" applyFont="1"/>
    <xf numFmtId="164" fontId="20" fillId="0" borderId="0" xfId="1" applyFont="1"/>
    <xf numFmtId="0" fontId="29" fillId="0" borderId="9" xfId="0" applyFont="1" applyBorder="1" applyAlignment="1">
      <alignment horizontal="justify" vertical="center" wrapText="1"/>
    </xf>
    <xf numFmtId="0" fontId="80" fillId="0" borderId="0" xfId="0" applyFont="1"/>
    <xf numFmtId="167" fontId="80" fillId="0" borderId="0" xfId="1" applyNumberFormat="1" applyFont="1"/>
    <xf numFmtId="167" fontId="80" fillId="0" borderId="0" xfId="0" applyNumberFormat="1" applyFont="1"/>
    <xf numFmtId="0" fontId="81" fillId="0" borderId="0" xfId="0" applyFont="1" applyAlignment="1">
      <alignment horizontal="center" vertical="center" wrapText="1"/>
    </xf>
    <xf numFmtId="167" fontId="32" fillId="0" borderId="0" xfId="0" applyNumberFormat="1" applyFont="1"/>
    <xf numFmtId="167" fontId="27" fillId="0" borderId="0" xfId="0" applyNumberFormat="1" applyFont="1" applyAlignment="1">
      <alignment horizontal="center" vertical="center" wrapText="1"/>
    </xf>
    <xf numFmtId="0" fontId="27" fillId="0" borderId="0" xfId="0" applyFont="1" applyAlignment="1">
      <alignment horizontal="center" vertical="center" wrapText="1"/>
    </xf>
    <xf numFmtId="0" fontId="33" fillId="0" borderId="0" xfId="0" applyFont="1" applyAlignment="1">
      <alignment horizontal="center" vertical="center" wrapText="1"/>
    </xf>
    <xf numFmtId="167" fontId="29" fillId="0" borderId="0" xfId="0" applyNumberFormat="1" applyFont="1" applyAlignment="1">
      <alignment horizontal="center" vertical="center" wrapText="1"/>
    </xf>
    <xf numFmtId="167" fontId="33" fillId="0" borderId="0" xfId="0" applyNumberFormat="1" applyFont="1" applyAlignment="1">
      <alignment horizontal="center" vertical="center" wrapText="1"/>
    </xf>
    <xf numFmtId="0" fontId="25" fillId="0" borderId="0" xfId="0" applyFont="1" applyAlignment="1">
      <alignment horizontal="center" vertical="center" wrapText="1"/>
    </xf>
    <xf numFmtId="167" fontId="24" fillId="0" borderId="0" xfId="1" applyNumberFormat="1" applyFont="1"/>
    <xf numFmtId="167" fontId="25" fillId="0" borderId="0" xfId="1" applyNumberFormat="1" applyFont="1" applyAlignment="1">
      <alignment horizontal="center" vertical="center" wrapText="1"/>
    </xf>
    <xf numFmtId="167" fontId="20" fillId="2" borderId="0" xfId="1" applyNumberFormat="1" applyFont="1" applyFill="1" applyAlignment="1"/>
    <xf numFmtId="167" fontId="20" fillId="2" borderId="0" xfId="0" applyNumberFormat="1" applyFont="1" applyFill="1" applyAlignment="1"/>
    <xf numFmtId="0" fontId="25" fillId="2" borderId="0" xfId="0" applyFont="1" applyFill="1" applyAlignment="1">
      <alignment horizontal="right" vertical="center"/>
    </xf>
    <xf numFmtId="0" fontId="25" fillId="2" borderId="0" xfId="0" applyFont="1" applyFill="1" applyAlignment="1">
      <alignment horizontal="center" vertical="center"/>
    </xf>
    <xf numFmtId="172" fontId="20" fillId="2" borderId="0" xfId="0" applyNumberFormat="1" applyFont="1" applyFill="1"/>
    <xf numFmtId="167" fontId="20" fillId="2" borderId="0" xfId="1" applyNumberFormat="1" applyFont="1" applyFill="1"/>
    <xf numFmtId="167" fontId="22" fillId="2" borderId="0" xfId="1" applyNumberFormat="1" applyFont="1" applyFill="1"/>
    <xf numFmtId="0" fontId="33" fillId="2" borderId="0" xfId="0" applyFont="1" applyFill="1" applyAlignment="1">
      <alignment horizontal="right" vertical="center"/>
    </xf>
    <xf numFmtId="167" fontId="25" fillId="2" borderId="1" xfId="1"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167" fontId="30" fillId="2" borderId="1" xfId="1" applyNumberFormat="1" applyFont="1" applyFill="1" applyBorder="1" applyAlignment="1">
      <alignment horizontal="center" vertical="center" wrapText="1"/>
    </xf>
    <xf numFmtId="0" fontId="25" fillId="2" borderId="8" xfId="0" applyFont="1" applyFill="1" applyBorder="1" applyAlignment="1">
      <alignment horizontal="center" vertical="center" wrapText="1"/>
    </xf>
    <xf numFmtId="167" fontId="25" fillId="2" borderId="8" xfId="1" applyNumberFormat="1" applyFont="1" applyFill="1" applyBorder="1" applyAlignment="1">
      <alignment horizontal="center" vertical="center" wrapText="1"/>
    </xf>
    <xf numFmtId="173" fontId="25" fillId="2" borderId="8" xfId="1" applyNumberFormat="1" applyFont="1" applyFill="1" applyBorder="1" applyAlignment="1">
      <alignment horizontal="center" vertical="center" wrapText="1"/>
    </xf>
    <xf numFmtId="167" fontId="24" fillId="2" borderId="0" xfId="0" applyNumberFormat="1" applyFont="1" applyFill="1"/>
    <xf numFmtId="0" fontId="24" fillId="2" borderId="0" xfId="0" applyFont="1" applyFill="1"/>
    <xf numFmtId="0" fontId="25" fillId="2" borderId="9" xfId="0" applyFont="1" applyFill="1" applyBorder="1" applyAlignment="1">
      <alignment horizontal="center" vertical="center" wrapText="1"/>
    </xf>
    <xf numFmtId="0" fontId="25" fillId="2" borderId="9" xfId="0" applyFont="1" applyFill="1" applyBorder="1" applyAlignment="1">
      <alignment vertical="center" wrapText="1"/>
    </xf>
    <xf numFmtId="167" fontId="25" fillId="2" borderId="22" xfId="1" applyNumberFormat="1" applyFont="1" applyFill="1" applyBorder="1" applyAlignment="1">
      <alignment horizontal="center" vertical="center" wrapText="1"/>
    </xf>
    <xf numFmtId="167" fontId="25" fillId="2" borderId="9" xfId="1" applyNumberFormat="1" applyFont="1" applyFill="1" applyBorder="1" applyAlignment="1">
      <alignment horizontal="center" vertical="center" wrapText="1"/>
    </xf>
    <xf numFmtId="173" fontId="25" fillId="2" borderId="22" xfId="1" applyNumberFormat="1" applyFont="1" applyFill="1" applyBorder="1" applyAlignment="1">
      <alignment horizontal="center" vertical="center" wrapText="1"/>
    </xf>
    <xf numFmtId="0" fontId="29" fillId="2" borderId="9" xfId="0" applyFont="1" applyFill="1" applyBorder="1" applyAlignment="1">
      <alignment horizontal="center" vertical="center" wrapText="1"/>
    </xf>
    <xf numFmtId="173" fontId="29" fillId="2" borderId="22" xfId="1" applyNumberFormat="1" applyFont="1" applyFill="1" applyBorder="1" applyAlignment="1">
      <alignment horizontal="center" vertical="center" wrapText="1"/>
    </xf>
    <xf numFmtId="0" fontId="29" fillId="2" borderId="9" xfId="0" quotePrefix="1" applyFont="1" applyFill="1" applyBorder="1" applyAlignment="1">
      <alignment vertical="center" wrapText="1"/>
    </xf>
    <xf numFmtId="166" fontId="25" fillId="2" borderId="9" xfId="1" applyNumberFormat="1" applyFont="1" applyFill="1" applyBorder="1" applyAlignment="1">
      <alignment horizontal="center" vertical="center" wrapText="1"/>
    </xf>
    <xf numFmtId="0" fontId="24" fillId="2" borderId="0" xfId="0" applyFont="1" applyFill="1" applyAlignment="1">
      <alignment wrapText="1"/>
    </xf>
    <xf numFmtId="0" fontId="33" fillId="2" borderId="9" xfId="0" applyFont="1" applyFill="1" applyBorder="1" applyAlignment="1">
      <alignment horizontal="center" vertical="center" wrapText="1"/>
    </xf>
    <xf numFmtId="0" fontId="33" fillId="2" borderId="9" xfId="0" applyFont="1" applyFill="1" applyBorder="1" applyAlignment="1">
      <alignment vertical="center" wrapText="1"/>
    </xf>
    <xf numFmtId="167" fontId="33" fillId="2" borderId="9" xfId="1" applyNumberFormat="1" applyFont="1" applyFill="1" applyBorder="1" applyAlignment="1">
      <alignment horizontal="center" vertical="center" wrapText="1"/>
    </xf>
    <xf numFmtId="167" fontId="35" fillId="2" borderId="9" xfId="1" applyNumberFormat="1" applyFont="1" applyFill="1" applyBorder="1" applyAlignment="1">
      <alignment horizontal="center" vertical="center" wrapText="1"/>
    </xf>
    <xf numFmtId="173" fontId="33" fillId="2" borderId="22" xfId="1" applyNumberFormat="1" applyFont="1" applyFill="1" applyBorder="1" applyAlignment="1">
      <alignment horizontal="center" vertical="center" wrapText="1"/>
    </xf>
    <xf numFmtId="167" fontId="31" fillId="2" borderId="0" xfId="0" applyNumberFormat="1" applyFont="1" applyFill="1"/>
    <xf numFmtId="0" fontId="28" fillId="2" borderId="0" xfId="0" applyFont="1" applyFill="1"/>
    <xf numFmtId="173" fontId="83" fillId="2" borderId="22" xfId="1" applyNumberFormat="1"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9" xfId="0" applyFont="1" applyFill="1" applyBorder="1" applyAlignment="1">
      <alignment vertical="center" wrapText="1"/>
    </xf>
    <xf numFmtId="0" fontId="25" fillId="2" borderId="10" xfId="0" applyFont="1" applyFill="1" applyBorder="1" applyAlignment="1">
      <alignment horizontal="center" vertical="center" wrapText="1"/>
    </xf>
    <xf numFmtId="0" fontId="25" fillId="2" borderId="10" xfId="0" applyFont="1" applyFill="1" applyBorder="1" applyAlignment="1">
      <alignment vertical="center" wrapText="1"/>
    </xf>
    <xf numFmtId="167" fontId="25" fillId="2" borderId="10" xfId="1" applyNumberFormat="1" applyFont="1" applyFill="1" applyBorder="1" applyAlignment="1">
      <alignment horizontal="center" vertical="center" wrapText="1"/>
    </xf>
    <xf numFmtId="173" fontId="25" fillId="2" borderId="10" xfId="1" applyNumberFormat="1" applyFont="1" applyFill="1" applyBorder="1" applyAlignment="1">
      <alignment horizontal="center" vertical="center" wrapText="1"/>
    </xf>
    <xf numFmtId="0" fontId="80" fillId="2" borderId="0" xfId="0" applyFont="1" applyFill="1"/>
    <xf numFmtId="0" fontId="33" fillId="2" borderId="0" xfId="0" applyFont="1" applyFill="1" applyAlignment="1">
      <alignment horizontal="center" vertical="center" wrapText="1"/>
    </xf>
    <xf numFmtId="167" fontId="33" fillId="2" borderId="0" xfId="1" applyNumberFormat="1" applyFont="1" applyFill="1" applyAlignment="1">
      <alignment horizontal="center" vertical="center" wrapText="1"/>
    </xf>
    <xf numFmtId="0" fontId="33" fillId="2" borderId="0" xfId="0" applyFont="1" applyFill="1" applyAlignment="1">
      <alignment vertical="center"/>
    </xf>
    <xf numFmtId="167" fontId="24" fillId="2" borderId="0" xfId="1" applyNumberFormat="1" applyFont="1" applyFill="1"/>
    <xf numFmtId="0" fontId="25" fillId="0" borderId="8" xfId="0" applyFont="1" applyBorder="1" applyAlignment="1">
      <alignment vertical="center" wrapText="1"/>
    </xf>
    <xf numFmtId="166" fontId="25" fillId="2" borderId="8" xfId="1" applyNumberFormat="1" applyFont="1" applyFill="1" applyBorder="1" applyAlignment="1">
      <alignment horizontal="center" vertical="center" wrapText="1"/>
    </xf>
    <xf numFmtId="0" fontId="20" fillId="2" borderId="0" xfId="0" applyFont="1" applyFill="1" applyAlignment="1">
      <alignment vertical="center"/>
    </xf>
    <xf numFmtId="0" fontId="25" fillId="0" borderId="9" xfId="0" applyFont="1" applyBorder="1" applyAlignment="1">
      <alignment horizontal="center" wrapText="1"/>
    </xf>
    <xf numFmtId="0" fontId="25" fillId="0" borderId="9" xfId="0" applyFont="1" applyBorder="1" applyAlignment="1">
      <alignment wrapText="1"/>
    </xf>
    <xf numFmtId="0" fontId="29" fillId="0" borderId="9" xfId="0" applyFont="1" applyBorder="1" applyAlignment="1">
      <alignment horizontal="center" wrapText="1"/>
    </xf>
    <xf numFmtId="167" fontId="20" fillId="0" borderId="0" xfId="0" applyNumberFormat="1" applyFont="1" applyFill="1"/>
    <xf numFmtId="166" fontId="25" fillId="0" borderId="9" xfId="1" applyNumberFormat="1" applyFont="1" applyFill="1" applyBorder="1" applyAlignment="1">
      <alignment horizontal="center" vertical="center" wrapText="1"/>
    </xf>
    <xf numFmtId="0" fontId="33" fillId="2" borderId="9" xfId="0" applyFont="1" applyFill="1" applyBorder="1" applyAlignment="1">
      <alignment vertical="center"/>
    </xf>
    <xf numFmtId="166" fontId="25" fillId="2" borderId="10" xfId="1" applyNumberFormat="1" applyFont="1" applyFill="1" applyBorder="1" applyAlignment="1">
      <alignment horizontal="center" vertical="center" wrapText="1"/>
    </xf>
    <xf numFmtId="167" fontId="25" fillId="2" borderId="1" xfId="0" applyNumberFormat="1" applyFont="1" applyFill="1" applyBorder="1" applyAlignment="1">
      <alignment horizontal="center" vertical="center" wrapText="1"/>
    </xf>
    <xf numFmtId="166" fontId="25" fillId="2" borderId="1" xfId="1" applyNumberFormat="1" applyFont="1" applyFill="1" applyBorder="1" applyAlignment="1">
      <alignment horizontal="center" vertical="center" wrapText="1"/>
    </xf>
    <xf numFmtId="0" fontId="27" fillId="2" borderId="0" xfId="0" applyFont="1" applyFill="1" applyAlignment="1">
      <alignment horizontal="center" vertical="center" wrapText="1"/>
    </xf>
    <xf numFmtId="167" fontId="29" fillId="2" borderId="0" xfId="1" applyNumberFormat="1" applyFont="1" applyFill="1" applyAlignment="1">
      <alignment horizontal="center" vertical="center" wrapText="1"/>
    </xf>
    <xf numFmtId="167" fontId="27" fillId="2" borderId="0" xfId="0" applyNumberFormat="1" applyFont="1" applyFill="1" applyAlignment="1">
      <alignment horizontal="center" vertical="center" wrapText="1"/>
    </xf>
    <xf numFmtId="167" fontId="80" fillId="2" borderId="0" xfId="0" applyNumberFormat="1" applyFont="1" applyFill="1"/>
    <xf numFmtId="167" fontId="29" fillId="2" borderId="0" xfId="0" applyNumberFormat="1" applyFont="1" applyFill="1" applyAlignment="1">
      <alignment horizontal="center" vertical="center" wrapText="1"/>
    </xf>
    <xf numFmtId="0" fontId="29" fillId="2" borderId="0" xfId="0" applyFont="1" applyFill="1" applyAlignment="1">
      <alignment horizontal="center" vertical="center" wrapText="1"/>
    </xf>
    <xf numFmtId="167" fontId="19" fillId="2" borderId="0" xfId="1" applyNumberFormat="1" applyFont="1" applyFill="1" applyAlignment="1">
      <alignment horizontal="center" vertical="center" wrapText="1"/>
    </xf>
    <xf numFmtId="167" fontId="23" fillId="2" borderId="0" xfId="1" applyNumberFormat="1" applyFont="1" applyFill="1"/>
    <xf numFmtId="167" fontId="20" fillId="2" borderId="0" xfId="1" applyNumberFormat="1" applyFont="1" applyFill="1" applyAlignment="1">
      <alignment horizontal="center" vertical="center" wrapText="1"/>
    </xf>
    <xf numFmtId="167" fontId="38" fillId="2" borderId="0" xfId="0" applyNumberFormat="1" applyFont="1" applyFill="1" applyAlignment="1">
      <alignment horizontal="center" vertical="center" wrapText="1"/>
    </xf>
    <xf numFmtId="167" fontId="20" fillId="2" borderId="0" xfId="0" applyNumberFormat="1" applyFont="1" applyFill="1" applyAlignment="1">
      <alignment horizontal="center" vertical="center" wrapText="1"/>
    </xf>
    <xf numFmtId="0" fontId="28" fillId="2" borderId="0" xfId="0" applyFont="1" applyFill="1" applyAlignment="1">
      <alignment horizontal="center" vertical="center" wrapText="1"/>
    </xf>
    <xf numFmtId="167" fontId="33" fillId="2" borderId="0" xfId="0" applyNumberFormat="1" applyFont="1" applyFill="1" applyAlignment="1">
      <alignment horizontal="center" vertical="center" wrapText="1"/>
    </xf>
    <xf numFmtId="0" fontId="35" fillId="2" borderId="0" xfId="0" applyFont="1" applyFill="1" applyAlignment="1">
      <alignment vertical="center"/>
    </xf>
    <xf numFmtId="0" fontId="39" fillId="3" borderId="0" xfId="0" applyFont="1" applyFill="1" applyAlignment="1" applyProtection="1">
      <alignment vertical="center" wrapText="1"/>
      <protection locked="0"/>
    </xf>
    <xf numFmtId="0" fontId="25" fillId="0" borderId="0" xfId="0" applyFont="1" applyFill="1" applyAlignment="1">
      <alignment horizontal="left"/>
    </xf>
    <xf numFmtId="0" fontId="25" fillId="0" borderId="0" xfId="0" applyFont="1" applyFill="1" applyAlignment="1" applyProtection="1">
      <alignment horizontal="left" vertical="center" wrapText="1"/>
      <protection locked="0"/>
    </xf>
    <xf numFmtId="3" fontId="25" fillId="0" borderId="0" xfId="0" applyNumberFormat="1" applyFont="1" applyFill="1" applyAlignment="1" applyProtection="1">
      <alignment horizontal="left" vertical="center" wrapText="1"/>
      <protection locked="0"/>
    </xf>
    <xf numFmtId="166" fontId="39" fillId="0" borderId="0" xfId="0" applyNumberFormat="1" applyFont="1" applyFill="1" applyAlignment="1" applyProtection="1">
      <alignment horizontal="center" vertical="center" wrapText="1"/>
    </xf>
    <xf numFmtId="174" fontId="40" fillId="0" borderId="0" xfId="1" applyNumberFormat="1" applyFont="1" applyFill="1" applyAlignment="1" applyProtection="1">
      <alignment horizontal="center" vertical="center" wrapText="1"/>
      <protection locked="0"/>
    </xf>
    <xf numFmtId="166" fontId="39" fillId="0" borderId="7" xfId="0" applyNumberFormat="1" applyFont="1" applyFill="1" applyBorder="1" applyAlignment="1" applyProtection="1">
      <alignment vertical="center" wrapText="1"/>
    </xf>
    <xf numFmtId="167" fontId="39" fillId="0" borderId="0" xfId="0" applyNumberFormat="1" applyFont="1" applyFill="1" applyBorder="1" applyAlignment="1" applyProtection="1">
      <alignment horizontal="left" vertical="center" wrapText="1"/>
      <protection locked="0"/>
    </xf>
    <xf numFmtId="3" fontId="40" fillId="0" borderId="1"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3" fontId="40" fillId="0" borderId="1"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3" fontId="40" fillId="0" borderId="8" xfId="0" applyNumberFormat="1" applyFont="1" applyFill="1" applyBorder="1" applyAlignment="1" applyProtection="1">
      <alignment horizontal="right" vertical="center" wrapText="1"/>
      <protection locked="0"/>
    </xf>
    <xf numFmtId="3" fontId="40" fillId="3" borderId="8" xfId="0" applyNumberFormat="1" applyFont="1" applyFill="1" applyBorder="1" applyAlignment="1" applyProtection="1">
      <alignment horizontal="right" vertical="center" wrapText="1"/>
      <protection locked="0"/>
    </xf>
    <xf numFmtId="3" fontId="40" fillId="0" borderId="9" xfId="2" applyNumberFormat="1" applyFont="1" applyFill="1" applyBorder="1" applyAlignment="1" applyProtection="1">
      <alignment horizontal="center" vertical="center" wrapText="1"/>
      <protection locked="0"/>
    </xf>
    <xf numFmtId="167" fontId="40" fillId="0" borderId="9" xfId="2" applyNumberFormat="1" applyFont="1" applyFill="1" applyBorder="1" applyAlignment="1" applyProtection="1">
      <alignment horizontal="left" vertical="center" wrapText="1" shrinkToFit="1"/>
      <protection locked="0"/>
    </xf>
    <xf numFmtId="3" fontId="40" fillId="0" borderId="9" xfId="2" applyNumberFormat="1" applyFont="1" applyFill="1" applyBorder="1" applyAlignment="1" applyProtection="1">
      <alignment horizontal="right" vertical="center" wrapText="1" shrinkToFit="1"/>
      <protection locked="0"/>
    </xf>
    <xf numFmtId="3" fontId="40" fillId="3" borderId="9" xfId="2" applyNumberFormat="1" applyFont="1" applyFill="1" applyBorder="1" applyAlignment="1" applyProtection="1">
      <alignment horizontal="right" vertical="center" wrapText="1" shrinkToFit="1"/>
      <protection locked="0"/>
    </xf>
    <xf numFmtId="3" fontId="39" fillId="0" borderId="9" xfId="2" applyNumberFormat="1" applyFont="1" applyFill="1" applyBorder="1" applyAlignment="1" applyProtection="1">
      <alignment horizontal="center" vertical="center"/>
      <protection locked="0"/>
    </xf>
    <xf numFmtId="165" fontId="39" fillId="0" borderId="9" xfId="2" applyNumberFormat="1" applyFont="1" applyFill="1" applyBorder="1" applyAlignment="1" applyProtection="1">
      <alignment vertical="center" wrapText="1"/>
      <protection locked="0"/>
    </xf>
    <xf numFmtId="3" fontId="39" fillId="0" borderId="9" xfId="2" applyNumberFormat="1" applyFont="1" applyFill="1" applyBorder="1" applyAlignment="1" applyProtection="1">
      <alignment horizontal="right" vertical="center" wrapText="1"/>
      <protection locked="0"/>
    </xf>
    <xf numFmtId="3" fontId="39" fillId="3" borderId="9" xfId="2" applyNumberFormat="1" applyFont="1" applyFill="1" applyBorder="1" applyAlignment="1" applyProtection="1">
      <alignment horizontal="right" vertical="center" wrapText="1"/>
      <protection locked="0"/>
    </xf>
    <xf numFmtId="3" fontId="39" fillId="0" borderId="9" xfId="2" applyNumberFormat="1" applyFont="1" applyFill="1" applyBorder="1" applyAlignment="1" applyProtection="1">
      <alignment vertical="center" wrapText="1"/>
      <protection locked="0"/>
    </xf>
    <xf numFmtId="3" fontId="39" fillId="0" borderId="9" xfId="2" applyNumberFormat="1" applyFont="1" applyFill="1" applyBorder="1" applyAlignment="1" applyProtection="1">
      <alignment horizontal="center" vertical="center" wrapText="1"/>
      <protection locked="0"/>
    </xf>
    <xf numFmtId="169" fontId="39" fillId="0" borderId="9" xfId="3" applyNumberFormat="1" applyFont="1" applyFill="1" applyBorder="1" applyAlignment="1" applyProtection="1">
      <alignment vertical="center" wrapText="1"/>
      <protection locked="0"/>
    </xf>
    <xf numFmtId="3" fontId="39" fillId="0" borderId="9" xfId="3" applyNumberFormat="1" applyFont="1" applyFill="1" applyBorder="1" applyAlignment="1" applyProtection="1">
      <alignment horizontal="right" vertical="center" wrapText="1"/>
      <protection locked="0"/>
    </xf>
    <xf numFmtId="3" fontId="39" fillId="3" borderId="9" xfId="3" applyNumberFormat="1" applyFont="1" applyFill="1" applyBorder="1" applyAlignment="1" applyProtection="1">
      <alignment horizontal="right" vertical="center" wrapText="1"/>
      <protection locked="0"/>
    </xf>
    <xf numFmtId="167" fontId="40" fillId="0" borderId="9" xfId="2" applyNumberFormat="1" applyFont="1" applyFill="1" applyBorder="1" applyAlignment="1" applyProtection="1">
      <alignment horizontal="center" vertical="center" wrapText="1"/>
      <protection locked="0"/>
    </xf>
    <xf numFmtId="3" fontId="40" fillId="0" borderId="9" xfId="3" applyNumberFormat="1" applyFont="1" applyFill="1" applyBorder="1" applyAlignment="1" applyProtection="1">
      <alignment horizontal="right" vertical="center" wrapText="1"/>
      <protection locked="0"/>
    </xf>
    <xf numFmtId="3" fontId="40" fillId="3" borderId="9" xfId="3" applyNumberFormat="1" applyFont="1" applyFill="1" applyBorder="1" applyAlignment="1" applyProtection="1">
      <alignment horizontal="right" vertical="center" wrapText="1"/>
      <protection locked="0"/>
    </xf>
    <xf numFmtId="167" fontId="40" fillId="0" borderId="9" xfId="2" quotePrefix="1" applyNumberFormat="1" applyFont="1" applyFill="1" applyBorder="1" applyAlignment="1" applyProtection="1">
      <alignment horizontal="center" vertical="center" wrapText="1"/>
      <protection locked="0"/>
    </xf>
    <xf numFmtId="3" fontId="40" fillId="0" borderId="9" xfId="2" applyNumberFormat="1" applyFont="1" applyFill="1" applyBorder="1" applyAlignment="1" applyProtection="1">
      <alignment horizontal="right" vertical="center" wrapText="1"/>
      <protection locked="0"/>
    </xf>
    <xf numFmtId="0" fontId="39" fillId="0" borderId="9" xfId="0" applyFont="1" applyFill="1" applyBorder="1" applyAlignment="1" applyProtection="1">
      <alignment horizontal="center" vertical="center" wrapText="1"/>
      <protection locked="0"/>
    </xf>
    <xf numFmtId="0" fontId="39" fillId="0" borderId="9" xfId="0" applyFont="1" applyFill="1" applyBorder="1" applyAlignment="1" applyProtection="1">
      <alignment vertical="center" wrapText="1"/>
      <protection locked="0"/>
    </xf>
    <xf numFmtId="3" fontId="40" fillId="3" borderId="9" xfId="2" applyNumberFormat="1" applyFont="1" applyFill="1" applyBorder="1" applyAlignment="1" applyProtection="1">
      <alignment horizontal="right" vertical="center" wrapText="1"/>
      <protection locked="0"/>
    </xf>
    <xf numFmtId="175" fontId="39" fillId="0" borderId="9" xfId="2" applyNumberFormat="1" applyFont="1" applyFill="1" applyBorder="1" applyAlignment="1" applyProtection="1">
      <alignment horizontal="right" vertical="center" wrapText="1"/>
      <protection locked="0"/>
    </xf>
    <xf numFmtId="165" fontId="40" fillId="0" borderId="9" xfId="2" quotePrefix="1" applyNumberFormat="1" applyFont="1" applyFill="1" applyBorder="1" applyAlignment="1" applyProtection="1">
      <alignment horizontal="center" vertical="center"/>
      <protection locked="0"/>
    </xf>
    <xf numFmtId="165" fontId="40" fillId="0" borderId="9" xfId="2" applyNumberFormat="1" applyFont="1" applyFill="1" applyBorder="1" applyAlignment="1" applyProtection="1">
      <alignment vertical="center" wrapText="1"/>
      <protection locked="0"/>
    </xf>
    <xf numFmtId="3" fontId="39" fillId="0" borderId="9" xfId="2" quotePrefix="1" applyNumberFormat="1" applyFont="1" applyFill="1" applyBorder="1" applyAlignment="1" applyProtection="1">
      <alignment horizontal="center" vertical="center" wrapText="1"/>
      <protection locked="0"/>
    </xf>
    <xf numFmtId="167" fontId="39" fillId="0" borderId="9" xfId="2" applyNumberFormat="1" applyFont="1" applyFill="1" applyBorder="1" applyAlignment="1" applyProtection="1">
      <alignment horizontal="left" vertical="center" wrapText="1" shrinkToFit="1"/>
      <protection locked="0"/>
    </xf>
    <xf numFmtId="3" fontId="39" fillId="0" borderId="9" xfId="2" applyNumberFormat="1" applyFont="1" applyFill="1" applyBorder="1" applyAlignment="1" applyProtection="1">
      <alignment horizontal="right" vertical="center" wrapText="1" shrinkToFit="1"/>
      <protection locked="0"/>
    </xf>
    <xf numFmtId="3" fontId="39" fillId="3" borderId="9" xfId="2" applyNumberFormat="1" applyFont="1" applyFill="1" applyBorder="1" applyAlignment="1" applyProtection="1">
      <alignment horizontal="right" vertical="center" wrapText="1" shrinkToFit="1"/>
      <protection locked="0"/>
    </xf>
    <xf numFmtId="3" fontId="39" fillId="0" borderId="9" xfId="0" applyNumberFormat="1" applyFont="1" applyFill="1" applyBorder="1" applyAlignment="1" applyProtection="1">
      <alignment horizontal="center" vertical="center" wrapText="1"/>
      <protection locked="0"/>
    </xf>
    <xf numFmtId="3" fontId="39" fillId="0" borderId="9" xfId="0" applyNumberFormat="1" applyFont="1" applyFill="1" applyBorder="1" applyAlignment="1" applyProtection="1">
      <alignment horizontal="right" vertical="center" wrapText="1"/>
      <protection locked="0"/>
    </xf>
    <xf numFmtId="3" fontId="39" fillId="3" borderId="9" xfId="0" applyNumberFormat="1" applyFont="1" applyFill="1" applyBorder="1" applyAlignment="1" applyProtection="1">
      <alignment horizontal="right" vertical="center" wrapText="1"/>
      <protection locked="0"/>
    </xf>
    <xf numFmtId="167" fontId="39" fillId="0" borderId="9" xfId="2" applyNumberFormat="1" applyFont="1" applyFill="1" applyBorder="1" applyAlignment="1" applyProtection="1">
      <alignment vertical="center" wrapText="1"/>
      <protection locked="0"/>
    </xf>
    <xf numFmtId="3" fontId="39" fillId="0" borderId="9" xfId="2" quotePrefix="1" applyNumberFormat="1" applyFont="1" applyFill="1" applyBorder="1" applyAlignment="1" applyProtection="1">
      <alignment horizontal="center" vertical="center"/>
      <protection locked="0"/>
    </xf>
    <xf numFmtId="167" fontId="39" fillId="3" borderId="9" xfId="2" applyNumberFormat="1" applyFont="1" applyFill="1" applyBorder="1" applyAlignment="1" applyProtection="1">
      <alignment vertical="center" wrapText="1"/>
      <protection locked="0"/>
    </xf>
    <xf numFmtId="165" fontId="40" fillId="0" borderId="9" xfId="2" applyNumberFormat="1" applyFont="1" applyFill="1" applyBorder="1" applyAlignment="1" applyProtection="1">
      <alignment horizontal="center" vertical="center" wrapText="1"/>
      <protection locked="0"/>
    </xf>
    <xf numFmtId="167" fontId="40" fillId="0" borderId="9" xfId="2" applyNumberFormat="1" applyFont="1" applyFill="1" applyBorder="1" applyAlignment="1" applyProtection="1">
      <alignment horizontal="left" vertical="center" wrapText="1"/>
      <protection locked="0"/>
    </xf>
    <xf numFmtId="167" fontId="40" fillId="0" borderId="9" xfId="2" applyNumberFormat="1" applyFont="1" applyFill="1" applyBorder="1" applyAlignment="1" applyProtection="1">
      <alignment vertical="center" wrapText="1" shrinkToFit="1"/>
      <protection locked="0"/>
    </xf>
    <xf numFmtId="167" fontId="39" fillId="0" borderId="9" xfId="2" applyNumberFormat="1" applyFont="1" applyFill="1" applyBorder="1" applyAlignment="1" applyProtection="1">
      <alignment horizontal="left" vertical="center" wrapText="1"/>
      <protection locked="0"/>
    </xf>
    <xf numFmtId="3" fontId="41" fillId="0" borderId="9" xfId="2" applyNumberFormat="1" applyFont="1" applyFill="1" applyBorder="1" applyAlignment="1" applyProtection="1">
      <alignment horizontal="center" vertical="center"/>
      <protection locked="0"/>
    </xf>
    <xf numFmtId="165" fontId="41" fillId="0" borderId="9" xfId="2" applyNumberFormat="1" applyFont="1" applyFill="1" applyBorder="1" applyAlignment="1" applyProtection="1">
      <alignment vertical="center" wrapText="1"/>
      <protection locked="0"/>
    </xf>
    <xf numFmtId="3" fontId="41" fillId="0" borderId="9" xfId="3" applyNumberFormat="1" applyFont="1" applyFill="1" applyBorder="1" applyAlignment="1" applyProtection="1">
      <alignment horizontal="right" vertical="center" wrapText="1"/>
      <protection locked="0"/>
    </xf>
    <xf numFmtId="3" fontId="41" fillId="0" borderId="9" xfId="2" applyNumberFormat="1" applyFont="1" applyFill="1" applyBorder="1" applyAlignment="1" applyProtection="1">
      <alignment horizontal="right" vertical="center" wrapText="1"/>
      <protection locked="0"/>
    </xf>
    <xf numFmtId="3" fontId="41" fillId="3" borderId="9" xfId="2" applyNumberFormat="1" applyFont="1" applyFill="1" applyBorder="1" applyAlignment="1" applyProtection="1">
      <alignment horizontal="right" vertical="center" wrapText="1"/>
      <protection locked="0"/>
    </xf>
    <xf numFmtId="0" fontId="39" fillId="0" borderId="9" xfId="0" applyFont="1" applyFill="1" applyBorder="1" applyAlignment="1">
      <alignment vertical="center" wrapText="1"/>
    </xf>
    <xf numFmtId="3" fontId="39" fillId="0" borderId="9" xfId="0" applyNumberFormat="1" applyFont="1" applyFill="1" applyBorder="1" applyAlignment="1">
      <alignment horizontal="right" vertical="center" wrapText="1"/>
    </xf>
    <xf numFmtId="3" fontId="39" fillId="3" borderId="9" xfId="0" applyNumberFormat="1" applyFont="1" applyFill="1" applyBorder="1" applyAlignment="1">
      <alignment horizontal="right" vertical="center" wrapText="1"/>
    </xf>
    <xf numFmtId="3" fontId="39" fillId="0" borderId="9" xfId="2" applyNumberFormat="1" applyFont="1" applyFill="1" applyBorder="1" applyAlignment="1">
      <alignment horizontal="right" vertical="center"/>
    </xf>
    <xf numFmtId="3" fontId="39" fillId="3" borderId="9" xfId="2" applyNumberFormat="1" applyFont="1" applyFill="1" applyBorder="1" applyAlignment="1">
      <alignment horizontal="right" vertical="center"/>
    </xf>
    <xf numFmtId="167" fontId="39" fillId="0" borderId="9" xfId="2" applyNumberFormat="1" applyFont="1" applyFill="1" applyBorder="1" applyAlignment="1">
      <alignment vertical="center"/>
    </xf>
    <xf numFmtId="167" fontId="39" fillId="0" borderId="9" xfId="2" applyNumberFormat="1" applyFont="1" applyFill="1" applyBorder="1" applyAlignment="1">
      <alignment vertical="center" wrapText="1"/>
    </xf>
    <xf numFmtId="3" fontId="39" fillId="0" borderId="9" xfId="0" quotePrefix="1" applyNumberFormat="1" applyFont="1" applyFill="1" applyBorder="1" applyAlignment="1" applyProtection="1">
      <alignment horizontal="center" vertical="center" wrapText="1"/>
      <protection locked="0"/>
    </xf>
    <xf numFmtId="4" fontId="39" fillId="0" borderId="9" xfId="2" applyNumberFormat="1" applyFont="1" applyFill="1" applyBorder="1" applyAlignment="1" applyProtection="1">
      <alignment horizontal="right" vertical="center" wrapText="1"/>
      <protection locked="0"/>
    </xf>
    <xf numFmtId="3" fontId="40" fillId="0" borderId="9" xfId="2" applyNumberFormat="1" applyFont="1" applyFill="1" applyBorder="1" applyAlignment="1" applyProtection="1">
      <alignment horizontal="center" vertical="center"/>
      <protection locked="0"/>
    </xf>
    <xf numFmtId="165" fontId="40" fillId="0" borderId="9" xfId="2" applyNumberFormat="1" applyFont="1" applyFill="1" applyBorder="1" applyAlignment="1" applyProtection="1">
      <alignment horizontal="left" vertical="center"/>
      <protection locked="0"/>
    </xf>
    <xf numFmtId="165" fontId="39" fillId="0" borderId="9" xfId="2" applyNumberFormat="1" applyFont="1" applyFill="1" applyBorder="1" applyAlignment="1" applyProtection="1">
      <alignment horizontal="left" vertical="center" wrapText="1"/>
      <protection locked="0"/>
    </xf>
    <xf numFmtId="170" fontId="39" fillId="0" borderId="9" xfId="5" applyNumberFormat="1" applyFont="1" applyFill="1" applyBorder="1" applyAlignment="1" applyProtection="1">
      <alignment vertical="center" wrapText="1"/>
      <protection locked="0"/>
    </xf>
    <xf numFmtId="3" fontId="39" fillId="0" borderId="9" xfId="5" applyNumberFormat="1" applyFont="1" applyFill="1" applyBorder="1" applyAlignment="1" applyProtection="1">
      <alignment horizontal="right" vertical="center" wrapText="1"/>
      <protection locked="0"/>
    </xf>
    <xf numFmtId="3" fontId="39" fillId="3" borderId="9" xfId="5" applyNumberFormat="1" applyFont="1" applyFill="1" applyBorder="1" applyAlignment="1" applyProtection="1">
      <alignment horizontal="right" vertical="center" wrapText="1"/>
      <protection locked="0"/>
    </xf>
    <xf numFmtId="3" fontId="39" fillId="0" borderId="10" xfId="2" applyNumberFormat="1" applyFont="1" applyFill="1" applyBorder="1" applyAlignment="1" applyProtection="1">
      <alignment horizontal="center" vertical="center" wrapText="1"/>
      <protection locked="0"/>
    </xf>
    <xf numFmtId="165" fontId="39" fillId="0" borderId="10" xfId="2" applyNumberFormat="1" applyFont="1" applyFill="1" applyBorder="1" applyAlignment="1" applyProtection="1">
      <alignment vertical="center" wrapText="1"/>
      <protection locked="0"/>
    </xf>
    <xf numFmtId="3" fontId="39" fillId="0" borderId="10" xfId="3" applyNumberFormat="1" applyFont="1" applyFill="1" applyBorder="1" applyAlignment="1" applyProtection="1">
      <alignment horizontal="right" vertical="center" wrapText="1"/>
      <protection locked="0"/>
    </xf>
    <xf numFmtId="3" fontId="39" fillId="0" borderId="10" xfId="0" applyNumberFormat="1" applyFont="1" applyFill="1" applyBorder="1" applyAlignment="1">
      <alignment horizontal="right" vertical="center" wrapText="1"/>
    </xf>
    <xf numFmtId="3" fontId="39" fillId="0" borderId="10" xfId="2" applyNumberFormat="1" applyFont="1" applyFill="1" applyBorder="1" applyAlignment="1" applyProtection="1">
      <alignment horizontal="right" vertical="center" wrapText="1"/>
      <protection locked="0"/>
    </xf>
    <xf numFmtId="0" fontId="42" fillId="3" borderId="0" xfId="6" applyFont="1" applyFill="1" applyAlignment="1">
      <alignment vertical="center" wrapText="1"/>
    </xf>
    <xf numFmtId="176" fontId="42" fillId="0" borderId="0" xfId="1" applyNumberFormat="1" applyFont="1" applyFill="1" applyAlignment="1" applyProtection="1">
      <alignment vertical="center" wrapText="1"/>
      <protection locked="0"/>
    </xf>
    <xf numFmtId="0" fontId="29" fillId="0" borderId="0" xfId="0" applyFont="1" applyAlignment="1">
      <alignment horizontal="left"/>
    </xf>
    <xf numFmtId="167" fontId="25" fillId="0" borderId="4" xfId="1" applyNumberFormat="1" applyFont="1" applyBorder="1" applyAlignment="1">
      <alignment vertical="center" wrapText="1"/>
    </xf>
    <xf numFmtId="167" fontId="25" fillId="0" borderId="19" xfId="1" applyNumberFormat="1" applyFont="1" applyBorder="1" applyAlignment="1">
      <alignment vertical="center" wrapText="1"/>
    </xf>
    <xf numFmtId="167" fontId="25" fillId="0" borderId="0" xfId="0" applyNumberFormat="1" applyFont="1"/>
    <xf numFmtId="0" fontId="29" fillId="3" borderId="0" xfId="0" applyFont="1" applyFill="1"/>
    <xf numFmtId="0" fontId="25" fillId="3" borderId="5" xfId="0" applyFont="1" applyFill="1" applyBorder="1" applyAlignment="1">
      <alignment vertical="center" wrapText="1"/>
    </xf>
    <xf numFmtId="3" fontId="43" fillId="3" borderId="0" xfId="0" applyNumberFormat="1" applyFont="1" applyFill="1" applyBorder="1" applyAlignment="1" applyProtection="1">
      <alignment horizontal="right" vertical="center" wrapText="1"/>
      <protection locked="0"/>
    </xf>
    <xf numFmtId="0" fontId="43" fillId="3" borderId="0" xfId="0" applyFont="1" applyFill="1" applyBorder="1" applyAlignment="1" applyProtection="1">
      <alignment horizontal="left" vertical="center" wrapText="1"/>
      <protection locked="0"/>
    </xf>
    <xf numFmtId="0" fontId="43" fillId="3" borderId="0" xfId="0" applyFont="1" applyFill="1" applyAlignment="1" applyProtection="1">
      <alignment vertical="center" wrapText="1"/>
      <protection locked="0"/>
    </xf>
    <xf numFmtId="167" fontId="43" fillId="3" borderId="0" xfId="0" applyNumberFormat="1" applyFont="1" applyFill="1" applyAlignment="1" applyProtection="1">
      <alignment vertical="center" wrapText="1"/>
      <protection locked="0"/>
    </xf>
    <xf numFmtId="167" fontId="43" fillId="3" borderId="0" xfId="0" applyNumberFormat="1" applyFont="1" applyFill="1" applyAlignment="1" applyProtection="1">
      <alignment vertical="center" wrapText="1"/>
    </xf>
    <xf numFmtId="0" fontId="43" fillId="3" borderId="0" xfId="0" applyFont="1" applyFill="1" applyAlignment="1" applyProtection="1">
      <alignment vertical="center" wrapText="1"/>
    </xf>
    <xf numFmtId="176" fontId="43" fillId="3" borderId="0" xfId="1" applyNumberFormat="1" applyFont="1" applyFill="1" applyAlignment="1" applyProtection="1">
      <alignment vertical="center" wrapText="1"/>
      <protection locked="0"/>
    </xf>
    <xf numFmtId="0" fontId="30" fillId="0" borderId="16" xfId="0" applyFont="1" applyFill="1" applyBorder="1" applyAlignment="1">
      <alignment horizontal="center" vertical="center" wrapText="1"/>
    </xf>
    <xf numFmtId="0" fontId="25" fillId="0" borderId="1" xfId="0" applyFont="1" applyBorder="1" applyAlignment="1">
      <alignment horizontal="center" vertical="center" wrapText="1"/>
    </xf>
    <xf numFmtId="166" fontId="25" fillId="0" borderId="1" xfId="1" applyNumberFormat="1" applyFont="1" applyBorder="1" applyAlignment="1">
      <alignment horizontal="center" vertical="center" wrapText="1"/>
    </xf>
    <xf numFmtId="0" fontId="10" fillId="0" borderId="0" xfId="0" applyFont="1" applyAlignment="1">
      <alignment horizontal="center" vertical="center" wrapText="1"/>
    </xf>
    <xf numFmtId="0" fontId="29" fillId="0" borderId="3" xfId="0" applyFont="1" applyBorder="1" applyAlignment="1">
      <alignment horizontal="center" vertical="center" wrapText="1"/>
    </xf>
    <xf numFmtId="3" fontId="54" fillId="0" borderId="0" xfId="0" applyNumberFormat="1" applyFont="1" applyAlignment="1">
      <alignment horizontal="center"/>
    </xf>
    <xf numFmtId="167" fontId="25" fillId="0" borderId="8" xfId="1" applyNumberFormat="1" applyFont="1" applyBorder="1" applyAlignment="1">
      <alignment vertical="center" wrapText="1"/>
    </xf>
    <xf numFmtId="167" fontId="25" fillId="2" borderId="9" xfId="1" applyNumberFormat="1" applyFont="1" applyFill="1" applyBorder="1" applyAlignment="1">
      <alignment vertical="center" wrapText="1"/>
    </xf>
    <xf numFmtId="0" fontId="33" fillId="0" borderId="9" xfId="0" applyFont="1" applyBorder="1" applyAlignment="1">
      <alignment horizontal="center" vertical="center" wrapText="1"/>
    </xf>
    <xf numFmtId="167" fontId="33" fillId="2" borderId="9" xfId="1" applyNumberFormat="1" applyFont="1" applyFill="1" applyBorder="1" applyAlignment="1">
      <alignment vertical="center" wrapText="1"/>
    </xf>
    <xf numFmtId="166" fontId="33" fillId="0" borderId="9" xfId="1" applyNumberFormat="1" applyFont="1" applyBorder="1" applyAlignment="1">
      <alignment horizontal="center" vertical="center" wrapText="1"/>
    </xf>
    <xf numFmtId="166" fontId="33" fillId="2" borderId="9" xfId="1" applyNumberFormat="1" applyFont="1" applyFill="1" applyBorder="1" applyAlignment="1">
      <alignment horizontal="center" vertical="center" wrapText="1"/>
    </xf>
    <xf numFmtId="166" fontId="25" fillId="0" borderId="9" xfId="1" applyNumberFormat="1" applyFont="1" applyBorder="1" applyAlignment="1">
      <alignment vertical="center" wrapText="1"/>
    </xf>
    <xf numFmtId="0" fontId="53" fillId="0" borderId="9" xfId="0" applyFont="1" applyBorder="1"/>
    <xf numFmtId="167" fontId="29" fillId="0" borderId="10" xfId="1" applyNumberFormat="1" applyFont="1" applyBorder="1" applyAlignment="1">
      <alignment vertical="center" wrapText="1"/>
    </xf>
    <xf numFmtId="167" fontId="29" fillId="2" borderId="10" xfId="1" applyNumberFormat="1" applyFont="1" applyFill="1" applyBorder="1" applyAlignment="1">
      <alignment vertical="center" wrapText="1"/>
    </xf>
    <xf numFmtId="0" fontId="53" fillId="0" borderId="10" xfId="0" applyFont="1" applyBorder="1"/>
    <xf numFmtId="0" fontId="25" fillId="0" borderId="1" xfId="0" applyFont="1" applyBorder="1" applyAlignment="1">
      <alignment horizontal="center" vertical="center" wrapText="1"/>
    </xf>
    <xf numFmtId="0" fontId="10" fillId="0" borderId="0" xfId="0" applyFont="1" applyAlignment="1">
      <alignment horizontal="center" vertical="center" wrapText="1"/>
    </xf>
    <xf numFmtId="0" fontId="29" fillId="0" borderId="3" xfId="0" applyFont="1" applyBorder="1" applyAlignment="1">
      <alignment horizontal="center" vertical="center" wrapText="1"/>
    </xf>
    <xf numFmtId="166" fontId="33" fillId="0" borderId="5" xfId="1" applyNumberFormat="1" applyFont="1" applyBorder="1" applyAlignment="1">
      <alignment horizontal="center" vertical="center" wrapText="1"/>
    </xf>
    <xf numFmtId="0" fontId="33" fillId="0" borderId="0" xfId="0" applyFont="1"/>
    <xf numFmtId="167" fontId="33" fillId="0" borderId="0" xfId="1" applyNumberFormat="1" applyFont="1"/>
    <xf numFmtId="167" fontId="29" fillId="0" borderId="5" xfId="1" applyNumberFormat="1" applyFont="1" applyBorder="1"/>
    <xf numFmtId="167" fontId="25" fillId="0" borderId="5" xfId="1" applyNumberFormat="1" applyFont="1" applyBorder="1"/>
    <xf numFmtId="0" fontId="29" fillId="0" borderId="5" xfId="0" applyFont="1" applyBorder="1"/>
    <xf numFmtId="167" fontId="25" fillId="2" borderId="5" xfId="1" applyNumberFormat="1" applyFont="1" applyFill="1" applyBorder="1" applyAlignment="1">
      <alignment horizontal="center" vertical="center" wrapText="1"/>
    </xf>
    <xf numFmtId="167" fontId="25" fillId="3" borderId="9" xfId="1" applyNumberFormat="1" applyFont="1" applyFill="1" applyBorder="1" applyAlignment="1">
      <alignment vertical="center" wrapText="1"/>
    </xf>
    <xf numFmtId="167" fontId="29" fillId="3" borderId="9" xfId="1" applyNumberFormat="1" applyFont="1" applyFill="1" applyBorder="1" applyAlignment="1">
      <alignment vertical="center" wrapText="1"/>
    </xf>
    <xf numFmtId="0" fontId="29" fillId="0" borderId="9" xfId="0" applyFont="1" applyBorder="1"/>
    <xf numFmtId="0" fontId="29" fillId="0" borderId="10" xfId="0" applyFont="1" applyBorder="1"/>
    <xf numFmtId="0" fontId="29" fillId="0" borderId="9" xfId="4" applyFont="1" applyFill="1" applyBorder="1" applyAlignment="1">
      <alignment vertical="center" wrapText="1"/>
    </xf>
    <xf numFmtId="3" fontId="29" fillId="0" borderId="9" xfId="4" applyNumberFormat="1" applyFont="1" applyFill="1" applyBorder="1" applyAlignment="1">
      <alignment vertical="center" wrapText="1"/>
    </xf>
    <xf numFmtId="165" fontId="29" fillId="0" borderId="9" xfId="2" applyNumberFormat="1" applyFont="1" applyFill="1" applyBorder="1" applyAlignment="1" applyProtection="1">
      <alignment vertical="center" wrapText="1"/>
      <protection locked="0"/>
    </xf>
    <xf numFmtId="0" fontId="29" fillId="0" borderId="9" xfId="0" applyFont="1" applyFill="1" applyBorder="1" applyAlignment="1" applyProtection="1">
      <alignment horizontal="left" vertical="center" wrapText="1"/>
      <protection locked="0"/>
    </xf>
    <xf numFmtId="167" fontId="29" fillId="0" borderId="9" xfId="2" applyNumberFormat="1" applyFont="1" applyFill="1" applyBorder="1" applyAlignment="1">
      <alignment vertical="center"/>
    </xf>
    <xf numFmtId="167" fontId="29" fillId="0" borderId="9" xfId="2" applyNumberFormat="1" applyFont="1" applyFill="1" applyBorder="1" applyAlignment="1">
      <alignment vertical="center" wrapText="1"/>
    </xf>
    <xf numFmtId="167" fontId="29" fillId="0" borderId="9" xfId="2" applyNumberFormat="1" applyFont="1" applyFill="1" applyBorder="1" applyAlignment="1" applyProtection="1">
      <alignment horizontal="left" vertical="center" wrapText="1"/>
      <protection locked="0"/>
    </xf>
    <xf numFmtId="0" fontId="29" fillId="0" borderId="9" xfId="0" applyFont="1" applyFill="1" applyBorder="1" applyAlignment="1" applyProtection="1">
      <alignment vertical="center" wrapText="1"/>
      <protection locked="0"/>
    </xf>
    <xf numFmtId="165" fontId="29" fillId="0" borderId="9" xfId="2" applyNumberFormat="1" applyFont="1" applyFill="1" applyBorder="1" applyAlignment="1" applyProtection="1">
      <alignment horizontal="left" vertical="center" wrapText="1"/>
      <protection locked="0"/>
    </xf>
    <xf numFmtId="170" fontId="29" fillId="0" borderId="9" xfId="5" applyNumberFormat="1" applyFont="1" applyFill="1" applyBorder="1" applyAlignment="1" applyProtection="1">
      <alignment vertical="center" wrapText="1"/>
      <protection locked="0"/>
    </xf>
    <xf numFmtId="165" fontId="29" fillId="0" borderId="10" xfId="2" applyNumberFormat="1" applyFont="1" applyFill="1" applyBorder="1" applyAlignment="1" applyProtection="1">
      <alignment horizontal="left" vertical="center" wrapText="1"/>
      <protection locked="0"/>
    </xf>
    <xf numFmtId="3" fontId="54" fillId="0" borderId="0" xfId="0" applyNumberFormat="1" applyFont="1"/>
    <xf numFmtId="3" fontId="53" fillId="0" borderId="0" xfId="0" applyNumberFormat="1" applyFont="1" applyAlignment="1">
      <alignment horizontal="center"/>
    </xf>
    <xf numFmtId="0" fontId="43" fillId="0" borderId="0" xfId="0" applyFont="1" applyFill="1" applyBorder="1" applyAlignment="1" applyProtection="1">
      <alignment vertical="center"/>
      <protection locked="0"/>
    </xf>
    <xf numFmtId="0" fontId="29" fillId="0" borderId="3" xfId="0" applyFont="1" applyBorder="1" applyAlignment="1">
      <alignment horizontal="center" vertical="center" wrapText="1"/>
    </xf>
    <xf numFmtId="167" fontId="29" fillId="3" borderId="0" xfId="0" applyNumberFormat="1" applyFont="1" applyFill="1"/>
    <xf numFmtId="167" fontId="29" fillId="3" borderId="0" xfId="1" applyNumberFormat="1" applyFont="1" applyFill="1"/>
    <xf numFmtId="167" fontId="19" fillId="3" borderId="0" xfId="0" applyNumberFormat="1" applyFont="1" applyFill="1"/>
    <xf numFmtId="0" fontId="19" fillId="3" borderId="0" xfId="0" applyFont="1" applyFill="1"/>
    <xf numFmtId="0" fontId="25" fillId="0" borderId="5" xfId="0" applyFont="1" applyFill="1" applyBorder="1" applyAlignment="1">
      <alignment vertical="center" wrapText="1"/>
    </xf>
    <xf numFmtId="167" fontId="25" fillId="0" borderId="10" xfId="1" applyNumberFormat="1" applyFont="1" applyBorder="1" applyAlignment="1">
      <alignment vertical="center" wrapText="1"/>
    </xf>
    <xf numFmtId="167" fontId="25" fillId="0" borderId="10" xfId="1" applyNumberFormat="1" applyFont="1" applyBorder="1"/>
    <xf numFmtId="0" fontId="25" fillId="0" borderId="0" xfId="0" applyFont="1" applyAlignment="1">
      <alignment horizontal="left"/>
    </xf>
    <xf numFmtId="0" fontId="29" fillId="2" borderId="9" xfId="15" applyFont="1" applyFill="1" applyBorder="1" applyAlignment="1">
      <alignment horizontal="justify" vertical="center" wrapText="1"/>
    </xf>
    <xf numFmtId="0" fontId="52" fillId="0" borderId="1" xfId="0" applyFont="1" applyBorder="1" applyAlignment="1">
      <alignment horizontal="center" vertical="center" wrapText="1"/>
    </xf>
    <xf numFmtId="0" fontId="77" fillId="0" borderId="1" xfId="0" applyFont="1" applyBorder="1" applyAlignment="1">
      <alignment horizontal="center" vertical="center" wrapText="1"/>
    </xf>
    <xf numFmtId="167" fontId="75" fillId="0" borderId="9" xfId="1" applyNumberFormat="1" applyFont="1" applyBorder="1" applyAlignment="1">
      <alignment horizontal="center" vertical="center" wrapText="1"/>
    </xf>
    <xf numFmtId="167" fontId="76" fillId="0" borderId="9" xfId="1" applyNumberFormat="1" applyFont="1" applyBorder="1" applyAlignment="1">
      <alignment vertical="center"/>
    </xf>
    <xf numFmtId="167" fontId="25" fillId="2" borderId="4" xfId="1" applyNumberFormat="1" applyFont="1" applyFill="1" applyBorder="1" applyAlignment="1">
      <alignment horizontal="center" vertical="center" wrapText="1"/>
    </xf>
    <xf numFmtId="166" fontId="25" fillId="2" borderId="5" xfId="1" applyNumberFormat="1" applyFont="1" applyFill="1" applyBorder="1" applyAlignment="1">
      <alignment horizontal="center" vertical="center" wrapText="1"/>
    </xf>
    <xf numFmtId="166" fontId="29" fillId="2" borderId="5" xfId="1" applyNumberFormat="1" applyFont="1" applyFill="1" applyBorder="1" applyAlignment="1">
      <alignment horizontal="center" vertical="center" wrapText="1"/>
    </xf>
    <xf numFmtId="167" fontId="29" fillId="2" borderId="6" xfId="1" applyNumberFormat="1" applyFont="1" applyFill="1" applyBorder="1" applyAlignment="1">
      <alignment horizontal="center" vertical="center" wrapText="1"/>
    </xf>
    <xf numFmtId="164" fontId="73" fillId="0" borderId="0" xfId="1" applyFont="1"/>
    <xf numFmtId="3" fontId="16" fillId="2" borderId="32" xfId="7" applyNumberFormat="1" applyFont="1" applyFill="1" applyBorder="1" applyAlignment="1">
      <alignment vertical="center" wrapText="1"/>
    </xf>
    <xf numFmtId="3" fontId="19" fillId="0" borderId="5" xfId="0" applyNumberFormat="1" applyFont="1" applyBorder="1" applyAlignment="1">
      <alignment horizontal="right" vertical="center" wrapText="1"/>
    </xf>
    <xf numFmtId="0" fontId="84" fillId="0" borderId="1" xfId="0" applyFont="1" applyBorder="1" applyAlignment="1">
      <alignment horizontal="center" vertical="center" wrapText="1"/>
    </xf>
    <xf numFmtId="0" fontId="85" fillId="0" borderId="1" xfId="0" applyFont="1" applyBorder="1" applyAlignment="1">
      <alignment horizontal="center" vertical="center" wrapText="1"/>
    </xf>
    <xf numFmtId="0" fontId="84" fillId="0" borderId="0" xfId="0" applyFont="1"/>
    <xf numFmtId="167" fontId="29" fillId="3" borderId="9" xfId="1" quotePrefix="1" applyNumberFormat="1" applyFont="1" applyFill="1" applyBorder="1" applyAlignment="1">
      <alignment horizontal="center" vertical="center" wrapText="1"/>
    </xf>
    <xf numFmtId="3" fontId="19" fillId="3" borderId="32" xfId="7" applyNumberFormat="1" applyFont="1" applyFill="1" applyBorder="1" applyAlignment="1">
      <alignment vertical="center" wrapText="1"/>
    </xf>
    <xf numFmtId="167" fontId="29" fillId="3" borderId="32" xfId="1" applyNumberFormat="1" applyFont="1" applyFill="1" applyBorder="1" applyAlignment="1">
      <alignment horizontal="right" vertical="center" wrapText="1"/>
    </xf>
    <xf numFmtId="166" fontId="19" fillId="3" borderId="9" xfId="1" applyNumberFormat="1" applyFont="1" applyFill="1" applyBorder="1" applyAlignment="1">
      <alignment horizontal="center" vertical="center" wrapText="1"/>
    </xf>
    <xf numFmtId="0" fontId="19" fillId="3" borderId="0" xfId="0" applyFont="1" applyFill="1" applyAlignment="1">
      <alignment vertical="center"/>
    </xf>
    <xf numFmtId="3" fontId="19" fillId="0" borderId="0" xfId="0" applyNumberFormat="1" applyFont="1" applyBorder="1" applyAlignment="1">
      <alignment horizontal="right" vertical="center" wrapText="1"/>
    </xf>
    <xf numFmtId="0" fontId="86" fillId="0" borderId="0" xfId="0" applyFont="1"/>
    <xf numFmtId="167" fontId="86" fillId="0" borderId="0" xfId="0" applyNumberFormat="1" applyFont="1"/>
    <xf numFmtId="167" fontId="86" fillId="0" borderId="0" xfId="1" applyNumberFormat="1" applyFont="1"/>
    <xf numFmtId="0" fontId="87" fillId="0" borderId="3" xfId="0" applyFont="1" applyBorder="1" applyAlignment="1">
      <alignment horizontal="center" vertical="center"/>
    </xf>
    <xf numFmtId="0" fontId="87" fillId="0" borderId="3" xfId="0" applyFont="1" applyBorder="1" applyAlignment="1">
      <alignment horizontal="center" vertical="center" wrapText="1"/>
    </xf>
    <xf numFmtId="0" fontId="86" fillId="0" borderId="0" xfId="0" applyFont="1" applyAlignment="1">
      <alignment vertical="center"/>
    </xf>
    <xf numFmtId="0" fontId="53" fillId="0" borderId="5" xfId="0" applyFont="1" applyBorder="1" applyAlignment="1">
      <alignment horizontal="center" vertical="center" wrapText="1"/>
    </xf>
    <xf numFmtId="0" fontId="88" fillId="2" borderId="5" xfId="0" applyFont="1" applyFill="1" applyBorder="1" applyAlignment="1" applyProtection="1">
      <alignment horizontal="left" vertical="center" wrapText="1"/>
      <protection locked="0"/>
    </xf>
    <xf numFmtId="167" fontId="86" fillId="0" borderId="5" xfId="1" applyNumberFormat="1" applyFont="1" applyBorder="1" applyAlignment="1">
      <alignment vertical="center"/>
    </xf>
    <xf numFmtId="167" fontId="86" fillId="0" borderId="0" xfId="1" applyNumberFormat="1" applyFont="1" applyAlignment="1">
      <alignment vertical="center"/>
    </xf>
    <xf numFmtId="0" fontId="88" fillId="2" borderId="4" xfId="0" applyFont="1" applyFill="1" applyBorder="1" applyAlignment="1" applyProtection="1">
      <alignment horizontal="left" vertical="center" wrapText="1"/>
      <protection locked="0"/>
    </xf>
    <xf numFmtId="167" fontId="86" fillId="0" borderId="4" xfId="1" applyNumberFormat="1" applyFont="1" applyBorder="1" applyAlignment="1">
      <alignment vertical="center"/>
    </xf>
    <xf numFmtId="0" fontId="88" fillId="2" borderId="6" xfId="0" applyFont="1" applyFill="1" applyBorder="1" applyAlignment="1" applyProtection="1">
      <alignment horizontal="left" vertical="center" wrapText="1"/>
      <protection locked="0"/>
    </xf>
    <xf numFmtId="167" fontId="86" fillId="0" borderId="6" xfId="1" applyNumberFormat="1" applyFont="1" applyBorder="1" applyAlignment="1">
      <alignment vertical="center"/>
    </xf>
    <xf numFmtId="0" fontId="89" fillId="5"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17" fillId="5" borderId="1" xfId="0" applyFont="1" applyFill="1" applyBorder="1" applyAlignment="1">
      <alignment vertical="center" wrapText="1"/>
    </xf>
    <xf numFmtId="0" fontId="87" fillId="0" borderId="1" xfId="0" applyFont="1" applyBorder="1" applyAlignment="1">
      <alignment horizontal="center" vertical="center"/>
    </xf>
    <xf numFmtId="0" fontId="87"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5" fillId="2" borderId="0" xfId="0" applyFont="1" applyFill="1" applyAlignment="1">
      <alignment horizontal="center" vertical="center"/>
    </xf>
    <xf numFmtId="0" fontId="87" fillId="0" borderId="0" xfId="0" applyFont="1" applyBorder="1" applyAlignment="1">
      <alignment horizontal="center" vertical="center"/>
    </xf>
    <xf numFmtId="167" fontId="87" fillId="0" borderId="0" xfId="0" applyNumberFormat="1" applyFont="1" applyBorder="1" applyAlignment="1">
      <alignment horizontal="center" vertical="center" wrapText="1"/>
    </xf>
    <xf numFmtId="167" fontId="87" fillId="0" borderId="3" xfId="1" applyNumberFormat="1" applyFont="1" applyBorder="1" applyAlignment="1">
      <alignment horizontal="center" vertical="center" wrapText="1"/>
    </xf>
    <xf numFmtId="167" fontId="0" fillId="0" borderId="1" xfId="1" applyNumberFormat="1" applyFont="1" applyBorder="1"/>
    <xf numFmtId="167" fontId="47" fillId="0" borderId="1" xfId="1" applyNumberFormat="1" applyFont="1" applyBorder="1"/>
    <xf numFmtId="167" fontId="25" fillId="3" borderId="8" xfId="1" applyNumberFormat="1" applyFont="1" applyFill="1" applyBorder="1" applyAlignment="1">
      <alignment horizontal="center" vertical="center" wrapText="1"/>
    </xf>
    <xf numFmtId="3" fontId="23" fillId="3" borderId="2" xfId="0" applyNumberFormat="1" applyFont="1" applyFill="1" applyBorder="1" applyAlignment="1">
      <alignment horizontal="right" vertical="center" wrapText="1"/>
    </xf>
    <xf numFmtId="0" fontId="29" fillId="2" borderId="1"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9" fillId="2" borderId="0" xfId="0" applyFont="1" applyFill="1"/>
    <xf numFmtId="167" fontId="29" fillId="2" borderId="0" xfId="1" applyNumberFormat="1" applyFont="1" applyFill="1"/>
    <xf numFmtId="0" fontId="29" fillId="2" borderId="0" xfId="0" applyFont="1" applyFill="1" applyAlignment="1">
      <alignment horizontal="center" vertical="center"/>
    </xf>
    <xf numFmtId="167" fontId="29" fillId="2" borderId="0" xfId="0" applyNumberFormat="1" applyFont="1" applyFill="1"/>
    <xf numFmtId="3" fontId="29" fillId="2" borderId="0" xfId="0" applyNumberFormat="1" applyFont="1" applyFill="1"/>
    <xf numFmtId="0" fontId="33" fillId="2" borderId="0" xfId="0" applyFont="1" applyFill="1" applyAlignment="1">
      <alignment horizontal="left" vertical="center"/>
    </xf>
    <xf numFmtId="0" fontId="24" fillId="2" borderId="13"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52" fillId="2" borderId="0" xfId="0" applyFont="1" applyFill="1"/>
    <xf numFmtId="0" fontId="84" fillId="2" borderId="1" xfId="0" applyFont="1" applyFill="1" applyBorder="1" applyAlignment="1">
      <alignment horizontal="center" vertical="center" wrapText="1"/>
    </xf>
    <xf numFmtId="0" fontId="84" fillId="2" borderId="0" xfId="0" applyFont="1" applyFill="1"/>
    <xf numFmtId="167" fontId="25" fillId="2" borderId="0" xfId="1" applyNumberFormat="1" applyFont="1" applyFill="1" applyAlignment="1">
      <alignment vertical="center"/>
    </xf>
    <xf numFmtId="167" fontId="25" fillId="2" borderId="10" xfId="1" applyNumberFormat="1" applyFont="1" applyFill="1" applyBorder="1" applyAlignment="1">
      <alignment vertical="center"/>
    </xf>
    <xf numFmtId="0" fontId="25" fillId="2" borderId="0" xfId="0" applyFont="1" applyFill="1"/>
    <xf numFmtId="0" fontId="32" fillId="2" borderId="0" xfId="0" applyFont="1" applyFill="1" applyAlignment="1">
      <alignment horizontal="left" vertical="center"/>
    </xf>
    <xf numFmtId="0" fontId="29" fillId="2" borderId="9" xfId="0" applyFont="1" applyFill="1" applyBorder="1" applyAlignment="1" applyProtection="1">
      <alignment horizontal="left" vertical="center" wrapText="1"/>
      <protection locked="0"/>
    </xf>
    <xf numFmtId="3" fontId="29" fillId="2" borderId="9" xfId="7" applyNumberFormat="1" applyFont="1" applyFill="1" applyBorder="1" applyAlignment="1">
      <alignment vertical="center" wrapText="1"/>
    </xf>
    <xf numFmtId="0" fontId="29" fillId="2" borderId="9" xfId="7" applyFont="1" applyFill="1" applyBorder="1" applyAlignment="1">
      <alignment vertical="center" wrapText="1"/>
    </xf>
    <xf numFmtId="49" fontId="29" fillId="2" borderId="9" xfId="16" applyNumberFormat="1"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35" xfId="0" applyFont="1" applyFill="1" applyBorder="1" applyAlignment="1" applyProtection="1">
      <alignment horizontal="left" vertical="center" wrapText="1"/>
      <protection locked="0"/>
    </xf>
    <xf numFmtId="0" fontId="14" fillId="5" borderId="9" xfId="0" applyFont="1" applyFill="1" applyBorder="1" applyAlignment="1">
      <alignment vertical="center" wrapText="1"/>
    </xf>
    <xf numFmtId="0" fontId="92" fillId="2" borderId="1" xfId="0" applyFont="1" applyFill="1" applyBorder="1" applyAlignment="1">
      <alignment horizontal="center" vertical="center" wrapText="1"/>
    </xf>
    <xf numFmtId="0" fontId="25" fillId="2" borderId="0" xfId="0" applyFont="1" applyFill="1" applyBorder="1" applyAlignment="1">
      <alignment vertical="center" wrapText="1"/>
    </xf>
    <xf numFmtId="0" fontId="35" fillId="2" borderId="0" xfId="0" applyFont="1" applyFill="1" applyBorder="1" applyAlignment="1">
      <alignment horizontal="left" vertical="center" wrapText="1"/>
    </xf>
    <xf numFmtId="3" fontId="25" fillId="2" borderId="8" xfId="0" applyNumberFormat="1" applyFont="1" applyFill="1" applyBorder="1" applyAlignment="1">
      <alignment horizontal="right" vertical="center" wrapText="1"/>
    </xf>
    <xf numFmtId="9" fontId="25" fillId="2" borderId="8" xfId="0" applyNumberFormat="1" applyFont="1" applyFill="1" applyBorder="1" applyAlignment="1">
      <alignment horizontal="center" vertical="center" wrapText="1"/>
    </xf>
    <xf numFmtId="167" fontId="25" fillId="2" borderId="9" xfId="1" applyNumberFormat="1" applyFont="1" applyFill="1" applyBorder="1" applyAlignment="1">
      <alignment horizontal="right" vertical="center" wrapText="1"/>
    </xf>
    <xf numFmtId="3" fontId="25" fillId="2" borderId="9" xfId="0" applyNumberFormat="1" applyFont="1" applyFill="1" applyBorder="1" applyAlignment="1">
      <alignment horizontal="right" vertical="center" wrapText="1"/>
    </xf>
    <xf numFmtId="9" fontId="25" fillId="2" borderId="9" xfId="0" applyNumberFormat="1" applyFont="1" applyFill="1" applyBorder="1" applyAlignment="1">
      <alignment horizontal="center" vertical="center" wrapText="1"/>
    </xf>
    <xf numFmtId="3" fontId="29" fillId="2" borderId="9" xfId="0" applyNumberFormat="1" applyFont="1" applyFill="1" applyBorder="1" applyAlignment="1">
      <alignment horizontal="right" vertical="center" wrapText="1"/>
    </xf>
    <xf numFmtId="9" fontId="29" fillId="2" borderId="9" xfId="0" applyNumberFormat="1" applyFont="1" applyFill="1" applyBorder="1" applyAlignment="1">
      <alignment horizontal="center" vertical="center" wrapText="1"/>
    </xf>
    <xf numFmtId="0" fontId="29" fillId="2" borderId="9" xfId="0" applyNumberFormat="1" applyFont="1" applyFill="1" applyBorder="1" applyAlignment="1">
      <alignment horizontal="center" vertical="center" wrapText="1"/>
    </xf>
    <xf numFmtId="3" fontId="20" fillId="2" borderId="9" xfId="0" applyNumberFormat="1" applyFont="1" applyFill="1" applyBorder="1" applyAlignment="1">
      <alignment horizontal="right" vertical="center" wrapText="1"/>
    </xf>
    <xf numFmtId="3" fontId="29" fillId="2" borderId="9" xfId="0" applyNumberFormat="1" applyFont="1" applyFill="1" applyBorder="1" applyAlignment="1">
      <alignment vertical="center" wrapText="1"/>
    </xf>
    <xf numFmtId="0" fontId="29" fillId="2" borderId="10" xfId="0" applyFont="1" applyFill="1" applyBorder="1" applyAlignment="1">
      <alignment horizontal="center" vertical="center" wrapText="1"/>
    </xf>
    <xf numFmtId="0" fontId="29" fillId="2" borderId="10" xfId="0" applyFont="1" applyFill="1" applyBorder="1" applyAlignment="1">
      <alignment vertical="center" wrapText="1"/>
    </xf>
    <xf numFmtId="167" fontId="30" fillId="2" borderId="0" xfId="1" applyNumberFormat="1" applyFont="1" applyFill="1"/>
    <xf numFmtId="0" fontId="54" fillId="0" borderId="9" xfId="0" applyFont="1" applyBorder="1"/>
    <xf numFmtId="167" fontId="25" fillId="0" borderId="9" xfId="1" applyNumberFormat="1" applyFont="1" applyBorder="1"/>
    <xf numFmtId="0" fontId="54" fillId="0" borderId="10" xfId="0" applyFont="1" applyBorder="1" applyAlignment="1">
      <alignment horizontal="center"/>
    </xf>
    <xf numFmtId="0" fontId="25" fillId="0" borderId="10" xfId="0" applyFont="1" applyFill="1" applyBorder="1" applyAlignment="1">
      <alignment vertical="center" wrapText="1"/>
    </xf>
    <xf numFmtId="167" fontId="93" fillId="2" borderId="10" xfId="1" applyNumberFormat="1" applyFont="1" applyFill="1" applyBorder="1" applyAlignment="1">
      <alignment vertical="center"/>
    </xf>
    <xf numFmtId="167" fontId="94" fillId="0" borderId="10" xfId="1" applyNumberFormat="1" applyFont="1" applyFill="1" applyBorder="1" applyAlignment="1">
      <alignment vertical="center"/>
    </xf>
    <xf numFmtId="0" fontId="29" fillId="0" borderId="9" xfId="0" applyFont="1" applyFill="1" applyBorder="1" applyAlignment="1">
      <alignment horizontal="center" vertical="center" wrapText="1"/>
    </xf>
    <xf numFmtId="0" fontId="40" fillId="0" borderId="0" xfId="0" applyFont="1" applyFill="1" applyAlignment="1" applyProtection="1">
      <alignment horizontal="center" vertical="center" wrapText="1"/>
      <protection locked="0"/>
    </xf>
    <xf numFmtId="3" fontId="40" fillId="3" borderId="1" xfId="0"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xf>
    <xf numFmtId="0" fontId="43" fillId="0" borderId="0" xfId="0" applyFont="1" applyFill="1" applyAlignment="1" applyProtection="1">
      <alignment horizontal="center" vertical="center" wrapText="1"/>
      <protection locked="0"/>
    </xf>
    <xf numFmtId="3" fontId="43" fillId="0" borderId="0" xfId="0" applyNumberFormat="1" applyFont="1" applyFill="1" applyAlignment="1" applyProtection="1">
      <alignment horizontal="center" vertical="center" wrapText="1"/>
      <protection locked="0"/>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protection locked="0"/>
    </xf>
    <xf numFmtId="0" fontId="25" fillId="0" borderId="1" xfId="0" applyFont="1" applyBorder="1" applyAlignment="1">
      <alignment horizontal="center" vertical="center" wrapText="1"/>
    </xf>
    <xf numFmtId="0" fontId="29" fillId="0" borderId="0" xfId="0" applyFont="1" applyFill="1"/>
    <xf numFmtId="167" fontId="25" fillId="0" borderId="0" xfId="1" applyNumberFormat="1" applyFont="1" applyFill="1"/>
    <xf numFmtId="0" fontId="25" fillId="0" borderId="0" xfId="0" applyFont="1" applyFill="1"/>
    <xf numFmtId="167" fontId="29" fillId="0" borderId="0" xfId="1" applyNumberFormat="1" applyFont="1" applyFill="1"/>
    <xf numFmtId="167" fontId="29" fillId="0" borderId="0" xfId="0" applyNumberFormat="1" applyFont="1" applyFill="1"/>
    <xf numFmtId="166" fontId="29" fillId="0" borderId="0" xfId="1" applyNumberFormat="1" applyFont="1" applyFill="1"/>
    <xf numFmtId="167" fontId="25" fillId="0" borderId="0" xfId="0" applyNumberFormat="1" applyFont="1" applyFill="1"/>
    <xf numFmtId="166" fontId="95" fillId="0" borderId="7" xfId="0" applyNumberFormat="1" applyFont="1" applyFill="1" applyBorder="1" applyAlignment="1" applyProtection="1">
      <alignment vertical="center" wrapText="1"/>
    </xf>
    <xf numFmtId="0" fontId="39" fillId="0" borderId="9" xfId="4" applyFont="1" applyFill="1" applyBorder="1" applyAlignment="1">
      <alignment vertical="center" wrapText="1"/>
    </xf>
    <xf numFmtId="3" fontId="39" fillId="0" borderId="9" xfId="4" applyNumberFormat="1" applyFont="1" applyFill="1" applyBorder="1" applyAlignment="1">
      <alignment horizontal="right" vertical="center" wrapText="1"/>
    </xf>
    <xf numFmtId="3" fontId="39" fillId="3" borderId="9" xfId="4" applyNumberFormat="1" applyFont="1" applyFill="1" applyBorder="1" applyAlignment="1">
      <alignment horizontal="right" vertical="center" wrapText="1"/>
    </xf>
    <xf numFmtId="3" fontId="39" fillId="0" borderId="9" xfId="4" applyNumberFormat="1" applyFont="1" applyFill="1" applyBorder="1" applyAlignment="1">
      <alignment vertical="center" wrapText="1"/>
    </xf>
    <xf numFmtId="3" fontId="40" fillId="0" borderId="9" xfId="2" quotePrefix="1" applyNumberFormat="1" applyFont="1" applyFill="1" applyBorder="1" applyAlignment="1" applyProtection="1">
      <alignment horizontal="center" vertical="center"/>
      <protection locked="0"/>
    </xf>
    <xf numFmtId="3" fontId="40" fillId="0" borderId="9" xfId="0" applyNumberFormat="1" applyFont="1" applyFill="1" applyBorder="1" applyAlignment="1" applyProtection="1">
      <alignment horizontal="center" vertical="center" wrapText="1"/>
      <protection locked="0"/>
    </xf>
    <xf numFmtId="169" fontId="40" fillId="0" borderId="9" xfId="3" applyNumberFormat="1" applyFont="1" applyFill="1" applyBorder="1" applyAlignment="1" applyProtection="1">
      <alignment vertical="center" wrapText="1"/>
      <protection locked="0"/>
    </xf>
    <xf numFmtId="0" fontId="39" fillId="0" borderId="9" xfId="0" applyFont="1" applyFill="1" applyBorder="1" applyAlignment="1" applyProtection="1">
      <alignment horizontal="left" vertical="center" wrapText="1"/>
      <protection locked="0"/>
    </xf>
    <xf numFmtId="167" fontId="42" fillId="0" borderId="0" xfId="2" applyNumberFormat="1" applyFont="1" applyFill="1" applyBorder="1" applyAlignment="1" applyProtection="1">
      <alignment vertical="center" wrapText="1"/>
      <protection locked="0"/>
    </xf>
    <xf numFmtId="176" fontId="43" fillId="0" borderId="0" xfId="1" applyNumberFormat="1" applyFont="1" applyFill="1" applyAlignment="1" applyProtection="1">
      <alignment horizontal="center" vertical="center" wrapText="1"/>
      <protection locked="0"/>
    </xf>
    <xf numFmtId="177" fontId="42" fillId="0" borderId="0" xfId="0" applyNumberFormat="1" applyFont="1" applyFill="1" applyAlignment="1" applyProtection="1">
      <alignment vertical="center" wrapText="1"/>
      <protection locked="0"/>
    </xf>
    <xf numFmtId="0" fontId="25" fillId="0" borderId="0" xfId="0" applyFont="1" applyFill="1" applyAlignment="1">
      <alignment horizontal="left" vertical="center"/>
    </xf>
    <xf numFmtId="0" fontId="29" fillId="0" borderId="0" xfId="0" applyFont="1" applyFill="1" applyAlignment="1">
      <alignment horizontal="center" vertical="center"/>
    </xf>
    <xf numFmtId="0" fontId="29" fillId="0" borderId="0" xfId="0" applyFont="1" applyFill="1" applyAlignment="1">
      <alignment horizontal="left"/>
    </xf>
    <xf numFmtId="0" fontId="33" fillId="0" borderId="0" xfId="0" applyFont="1" applyFill="1" applyAlignment="1">
      <alignment horizontal="right" vertical="center"/>
    </xf>
    <xf numFmtId="0" fontId="25" fillId="0" borderId="1"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167" fontId="25" fillId="0" borderId="4" xfId="1" applyNumberFormat="1" applyFont="1" applyFill="1" applyBorder="1" applyAlignment="1">
      <alignment horizontal="center" vertical="center" wrapText="1"/>
    </xf>
    <xf numFmtId="166" fontId="25" fillId="0" borderId="4" xfId="1"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167" fontId="25" fillId="0" borderId="5" xfId="1" applyNumberFormat="1" applyFont="1" applyFill="1" applyBorder="1" applyAlignment="1">
      <alignment horizontal="center" vertical="center" wrapText="1"/>
    </xf>
    <xf numFmtId="166" fontId="25" fillId="0" borderId="5" xfId="1" applyNumberFormat="1" applyFont="1" applyFill="1" applyBorder="1" applyAlignment="1">
      <alignment horizontal="center" vertical="center" wrapText="1"/>
    </xf>
    <xf numFmtId="166" fontId="29" fillId="0" borderId="5" xfId="1" applyNumberFormat="1"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Fill="1" applyBorder="1" applyAlignment="1">
      <alignment horizontal="center" vertical="center" wrapText="1"/>
    </xf>
    <xf numFmtId="178" fontId="29" fillId="0" borderId="0" xfId="0" applyNumberFormat="1" applyFont="1" applyFill="1"/>
    <xf numFmtId="0" fontId="33" fillId="0" borderId="5" xfId="0" applyFont="1" applyFill="1" applyBorder="1" applyAlignment="1">
      <alignment vertical="center" wrapText="1"/>
    </xf>
    <xf numFmtId="178" fontId="29" fillId="0" borderId="5" xfId="1" applyNumberFormat="1" applyFont="1" applyFill="1" applyBorder="1" applyAlignment="1">
      <alignment horizontal="center" vertical="center" wrapText="1"/>
    </xf>
    <xf numFmtId="167" fontId="29" fillId="0" borderId="5" xfId="1" applyNumberFormat="1" applyFont="1" applyFill="1" applyBorder="1" applyAlignment="1">
      <alignment vertical="center" wrapText="1"/>
    </xf>
    <xf numFmtId="167" fontId="25" fillId="0" borderId="5" xfId="1" applyNumberFormat="1" applyFont="1" applyFill="1" applyBorder="1" applyAlignment="1">
      <alignment vertical="center" wrapText="1"/>
    </xf>
    <xf numFmtId="0" fontId="25" fillId="0" borderId="6" xfId="0" applyFont="1" applyFill="1" applyBorder="1" applyAlignment="1">
      <alignment vertical="center" wrapText="1"/>
    </xf>
    <xf numFmtId="167" fontId="25" fillId="0" borderId="6" xfId="1" applyNumberFormat="1" applyFont="1" applyFill="1" applyBorder="1"/>
    <xf numFmtId="166" fontId="25" fillId="0" borderId="6" xfId="1" applyNumberFormat="1" applyFont="1" applyFill="1" applyBorder="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vertical="center" wrapText="1"/>
    </xf>
    <xf numFmtId="0" fontId="29" fillId="0" borderId="0" xfId="0" applyFont="1" applyAlignment="1">
      <alignment horizontal="center" vertical="center" wrapText="1"/>
    </xf>
    <xf numFmtId="0" fontId="25" fillId="0" borderId="1" xfId="0" applyFont="1" applyBorder="1" applyAlignment="1">
      <alignment horizontal="center" vertical="center" wrapText="1"/>
    </xf>
    <xf numFmtId="166" fontId="25" fillId="0" borderId="1" xfId="1" applyNumberFormat="1" applyFont="1" applyBorder="1" applyAlignment="1">
      <alignment horizontal="center"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32" fillId="0" borderId="0" xfId="0" applyFont="1" applyFill="1" applyAlignment="1">
      <alignment horizontal="center" vertical="center" wrapText="1"/>
    </xf>
    <xf numFmtId="0" fontId="29" fillId="0" borderId="0" xfId="0" applyFont="1" applyFill="1" applyAlignment="1">
      <alignment horizontal="center" vertical="center" wrapText="1"/>
    </xf>
    <xf numFmtId="0" fontId="24" fillId="2" borderId="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91" fillId="2" borderId="1" xfId="0" applyFont="1" applyFill="1" applyBorder="1" applyAlignment="1">
      <alignment horizontal="center" vertical="center" wrapText="1"/>
    </xf>
    <xf numFmtId="0" fontId="32" fillId="2" borderId="0" xfId="0" applyFont="1" applyFill="1" applyAlignment="1">
      <alignment horizontal="center" vertical="center" wrapText="1"/>
    </xf>
    <xf numFmtId="0" fontId="80" fillId="2" borderId="0" xfId="0" applyFont="1" applyFill="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0" xfId="0" applyFont="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37" fillId="0" borderId="0" xfId="0" applyFont="1" applyAlignment="1">
      <alignment horizontal="center" vertical="center" wrapText="1"/>
    </xf>
    <xf numFmtId="0" fontId="25" fillId="2" borderId="1" xfId="0" applyFont="1" applyFill="1" applyBorder="1" applyAlignment="1">
      <alignment horizontal="center" vertical="center" wrapText="1"/>
    </xf>
    <xf numFmtId="0" fontId="29" fillId="2" borderId="0" xfId="0" applyFont="1" applyFill="1" applyAlignment="1">
      <alignment horizontal="center" vertical="center" wrapText="1"/>
    </xf>
    <xf numFmtId="0" fontId="56"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5" xfId="0"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9"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 xfId="0" applyFont="1" applyBorder="1" applyAlignment="1">
      <alignment horizontal="center" vertical="center"/>
    </xf>
    <xf numFmtId="0" fontId="26" fillId="2" borderId="1" xfId="0" applyFont="1" applyFill="1" applyBorder="1" applyAlignment="1" applyProtection="1">
      <alignment horizontal="center" vertical="center"/>
      <protection locked="0"/>
    </xf>
    <xf numFmtId="0" fontId="71" fillId="2" borderId="1" xfId="0" applyFont="1" applyFill="1" applyBorder="1" applyAlignment="1" applyProtection="1">
      <alignment horizontal="center" vertical="center" wrapText="1"/>
      <protection locked="0"/>
    </xf>
    <xf numFmtId="0" fontId="65" fillId="0" borderId="1" xfId="0" applyFont="1" applyBorder="1" applyAlignment="1">
      <alignment horizontal="center"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5" fillId="0" borderId="1"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wrapText="1"/>
    </xf>
    <xf numFmtId="0" fontId="21" fillId="0" borderId="1" xfId="0" applyFont="1" applyBorder="1" applyAlignment="1">
      <alignment horizontal="center" vertical="center" wrapText="1"/>
    </xf>
    <xf numFmtId="167" fontId="25" fillId="2" borderId="1" xfId="1" applyNumberFormat="1" applyFont="1" applyFill="1" applyBorder="1" applyAlignment="1">
      <alignment horizontal="center" vertical="center" wrapText="1"/>
    </xf>
    <xf numFmtId="0" fontId="25" fillId="2" borderId="0" xfId="0" applyFont="1" applyFill="1" applyAlignment="1">
      <alignment horizontal="center" vertical="center"/>
    </xf>
    <xf numFmtId="0" fontId="33" fillId="2" borderId="0" xfId="0" applyFont="1" applyFill="1" applyAlignment="1">
      <alignment horizontal="center" vertical="center"/>
    </xf>
    <xf numFmtId="0" fontId="32" fillId="2" borderId="0" xfId="0" applyFont="1" applyFill="1" applyAlignment="1">
      <alignment horizontal="center"/>
    </xf>
    <xf numFmtId="0" fontId="27" fillId="2" borderId="0" xfId="0" applyFont="1" applyFill="1" applyAlignment="1">
      <alignment horizontal="center" vertical="center" wrapText="1"/>
    </xf>
    <xf numFmtId="0" fontId="34" fillId="0" borderId="12"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3" fillId="0" borderId="0" xfId="0" applyFont="1" applyAlignment="1">
      <alignment horizontal="left" vertical="center" wrapText="1"/>
    </xf>
    <xf numFmtId="0" fontId="25" fillId="0" borderId="0" xfId="0" applyFont="1" applyAlignment="1">
      <alignment horizontal="center" vertical="center"/>
    </xf>
    <xf numFmtId="0" fontId="27" fillId="0" borderId="0" xfId="0" applyFont="1" applyAlignment="1">
      <alignment horizontal="center" vertical="center" wrapText="1"/>
    </xf>
    <xf numFmtId="0" fontId="35" fillId="0" borderId="0" xfId="0" applyFont="1" applyAlignment="1">
      <alignment horizontal="center" vertical="center"/>
    </xf>
    <xf numFmtId="0" fontId="43" fillId="0" borderId="0" xfId="0" applyFont="1" applyFill="1" applyAlignment="1" applyProtection="1">
      <alignment horizontal="center" vertical="center" wrapText="1"/>
      <protection locked="0"/>
    </xf>
    <xf numFmtId="3" fontId="43" fillId="0" borderId="0" xfId="0" applyNumberFormat="1" applyFont="1" applyFill="1" applyAlignment="1" applyProtection="1">
      <alignment horizontal="center" vertical="center" wrapText="1"/>
      <protection locked="0"/>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protection locked="0"/>
    </xf>
    <xf numFmtId="0" fontId="40" fillId="0" borderId="3" xfId="0" applyFont="1" applyFill="1" applyBorder="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3" fontId="40" fillId="0" borderId="3" xfId="0" applyNumberFormat="1" applyFont="1" applyFill="1" applyBorder="1" applyAlignment="1" applyProtection="1">
      <alignment horizontal="center" vertical="center" wrapText="1"/>
      <protection locked="0"/>
    </xf>
    <xf numFmtId="3" fontId="40" fillId="0" borderId="18" xfId="0" applyNumberFormat="1" applyFont="1" applyFill="1" applyBorder="1" applyAlignment="1" applyProtection="1">
      <alignment horizontal="center" vertical="center" wrapText="1"/>
      <protection locked="0"/>
    </xf>
    <xf numFmtId="3" fontId="40" fillId="0" borderId="16" xfId="0" applyNumberFormat="1" applyFont="1" applyFill="1" applyBorder="1" applyAlignment="1" applyProtection="1">
      <alignment horizontal="center" vertical="center" wrapText="1"/>
      <protection locked="0"/>
    </xf>
    <xf numFmtId="3" fontId="40" fillId="0" borderId="12" xfId="0" applyNumberFormat="1" applyFont="1" applyFill="1" applyBorder="1" applyAlignment="1" applyProtection="1">
      <alignment horizontal="center" vertical="center" wrapText="1"/>
      <protection locked="0"/>
    </xf>
    <xf numFmtId="3" fontId="40" fillId="0" borderId="13" xfId="0" applyNumberFormat="1" applyFont="1" applyFill="1" applyBorder="1" applyAlignment="1" applyProtection="1">
      <alignment horizontal="center" vertical="center" wrapText="1"/>
      <protection locked="0"/>
    </xf>
    <xf numFmtId="3" fontId="40" fillId="0" borderId="15" xfId="0"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xf>
    <xf numFmtId="0" fontId="40" fillId="0" borderId="16" xfId="0" applyFont="1" applyFill="1" applyBorder="1" applyAlignment="1" applyProtection="1">
      <alignment horizontal="center" vertical="center" wrapText="1"/>
    </xf>
    <xf numFmtId="3" fontId="40" fillId="3" borderId="1" xfId="0" applyNumberFormat="1"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xf>
    <xf numFmtId="0" fontId="40" fillId="0" borderId="18"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center" wrapText="1"/>
      <protection locked="0"/>
    </xf>
    <xf numFmtId="0" fontId="40" fillId="0" borderId="20" xfId="0" applyFont="1" applyFill="1" applyBorder="1" applyAlignment="1" applyProtection="1">
      <alignment horizontal="center" vertical="center" wrapText="1"/>
      <protection locked="0"/>
    </xf>
    <xf numFmtId="0" fontId="40" fillId="0" borderId="21" xfId="0" applyFont="1" applyFill="1" applyBorder="1" applyAlignment="1" applyProtection="1">
      <alignment horizontal="center" vertical="center" wrapText="1"/>
      <protection locked="0"/>
    </xf>
    <xf numFmtId="0" fontId="40" fillId="0" borderId="34" xfId="0" applyFont="1" applyFill="1" applyBorder="1" applyAlignment="1" applyProtection="1">
      <alignment horizontal="center" vertical="center" wrapText="1"/>
      <protection locked="0"/>
    </xf>
    <xf numFmtId="0" fontId="29" fillId="0" borderId="0" xfId="0" applyFont="1" applyFill="1" applyAlignment="1" applyProtection="1">
      <alignment horizontal="left" vertical="center" wrapText="1"/>
      <protection locked="0"/>
    </xf>
    <xf numFmtId="0" fontId="40" fillId="0" borderId="0" xfId="0" applyFont="1" applyFill="1" applyAlignment="1" applyProtection="1">
      <alignment horizontal="center" vertical="center" wrapText="1"/>
      <protection locked="0"/>
    </xf>
    <xf numFmtId="167" fontId="39" fillId="0" borderId="7" xfId="0" applyNumberFormat="1" applyFont="1" applyFill="1" applyBorder="1" applyAlignment="1" applyProtection="1">
      <alignment horizontal="left" vertical="center" wrapText="1"/>
      <protection locked="0"/>
    </xf>
    <xf numFmtId="0" fontId="40" fillId="0" borderId="11"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xf>
    <xf numFmtId="0" fontId="40" fillId="0" borderId="15"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6" fillId="0" borderId="1" xfId="0" applyFont="1" applyBorder="1" applyAlignment="1">
      <alignment horizontal="center" vertical="center" wrapText="1"/>
    </xf>
  </cellXfs>
  <cellStyles count="17">
    <cellStyle name="AutoFormat-Optionen" xfId="4" xr:uid="{00000000-0005-0000-0000-000000000000}"/>
    <cellStyle name="AutoFormat-Optionen 2 2" xfId="10" xr:uid="{00000000-0005-0000-0000-000001000000}"/>
    <cellStyle name="AutoFormat-Optionen 4" xfId="7" xr:uid="{00000000-0005-0000-0000-000002000000}"/>
    <cellStyle name="Bình thường" xfId="0" builtinId="0"/>
    <cellStyle name="Comma 10 2" xfId="14" xr:uid="{00000000-0005-0000-0000-000004000000}"/>
    <cellStyle name="Comma 10 3" xfId="9" xr:uid="{00000000-0005-0000-0000-000005000000}"/>
    <cellStyle name="Comma 14" xfId="12" xr:uid="{00000000-0005-0000-0000-000006000000}"/>
    <cellStyle name="Comma 2 2 2" xfId="2" xr:uid="{00000000-0005-0000-0000-000007000000}"/>
    <cellStyle name="Comma 23 2" xfId="13" xr:uid="{00000000-0005-0000-0000-000008000000}"/>
    <cellStyle name="Dấu phẩy" xfId="1" builtinId="3"/>
    <cellStyle name="Normal 2 2" xfId="15" xr:uid="{00000000-0005-0000-0000-00000A000000}"/>
    <cellStyle name="Normal 3 4" xfId="8" xr:uid="{00000000-0005-0000-0000-00000B000000}"/>
    <cellStyle name="Normal 6 6" xfId="11" xr:uid="{00000000-0005-0000-0000-00000C000000}"/>
    <cellStyle name="Normal_Ket qua thao luan DT NSH 2002" xfId="5" xr:uid="{00000000-0005-0000-0000-00000D000000}"/>
    <cellStyle name="Normal_KH 07 chinh thuc in 2" xfId="16" xr:uid="{00000000-0005-0000-0000-00000E000000}"/>
    <cellStyle name="Normal_MAU BIEU KTTHOP" xfId="6" xr:uid="{00000000-0005-0000-0000-00000F000000}"/>
    <cellStyle name="Normal_Sheet1" xfId="3" xr:uid="{00000000-0005-0000-0000-00001000000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195794</xdr:colOff>
      <xdr:row>1</xdr:row>
      <xdr:rowOff>42334</xdr:rowOff>
    </xdr:from>
    <xdr:to>
      <xdr:col>1</xdr:col>
      <xdr:colOff>973670</xdr:colOff>
      <xdr:row>1</xdr:row>
      <xdr:rowOff>42334</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195794" y="243417"/>
          <a:ext cx="11377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xdr:row>
      <xdr:rowOff>0</xdr:rowOff>
    </xdr:from>
    <xdr:to>
      <xdr:col>1</xdr:col>
      <xdr:colOff>1123950</xdr:colOff>
      <xdr:row>2</xdr:row>
      <xdr:rowOff>0</xdr:rowOff>
    </xdr:to>
    <xdr:cxnSp macro="">
      <xdr:nvCxnSpPr>
        <xdr:cNvPr id="2" name="Straight Connector 1">
          <a:extLst>
            <a:ext uri="{FF2B5EF4-FFF2-40B4-BE49-F238E27FC236}">
              <a16:creationId xmlns:a16="http://schemas.microsoft.com/office/drawing/2014/main" id="{00000000-0008-0000-0700-000002000000}"/>
            </a:ext>
          </a:extLst>
        </xdr:cNvPr>
        <xdr:cNvCxnSpPr/>
      </xdr:nvCxnSpPr>
      <xdr:spPr>
        <a:xfrm>
          <a:off x="885825" y="400050"/>
          <a:ext cx="600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247650</xdr:colOff>
      <xdr:row>0</xdr:row>
      <xdr:rowOff>9525</xdr:rowOff>
    </xdr:from>
    <xdr:to>
      <xdr:col>8</xdr:col>
      <xdr:colOff>1647825</xdr:colOff>
      <xdr:row>0</xdr:row>
      <xdr:rowOff>276225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3514725" y="9525"/>
          <a:ext cx="0"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3" name="Rectangle 2">
          <a:extLst>
            <a:ext uri="{FF2B5EF4-FFF2-40B4-BE49-F238E27FC236}">
              <a16:creationId xmlns:a16="http://schemas.microsoft.com/office/drawing/2014/main" id="{00000000-0008-0000-1200-000003000000}"/>
            </a:ext>
          </a:extLst>
        </xdr:cNvPr>
        <xdr:cNvSpPr>
          <a:spLocks noChangeArrowheads="1"/>
        </xdr:cNvSpPr>
      </xdr:nvSpPr>
      <xdr:spPr bwMode="auto">
        <a:xfrm>
          <a:off x="3514725" y="9525"/>
          <a:ext cx="0"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4" name="Rectangle 3">
          <a:extLst>
            <a:ext uri="{FF2B5EF4-FFF2-40B4-BE49-F238E27FC236}">
              <a16:creationId xmlns:a16="http://schemas.microsoft.com/office/drawing/2014/main" id="{00000000-0008-0000-1200-000004000000}"/>
            </a:ext>
          </a:extLst>
        </xdr:cNvPr>
        <xdr:cNvSpPr>
          <a:spLocks noChangeArrowheads="1"/>
        </xdr:cNvSpPr>
      </xdr:nvSpPr>
      <xdr:spPr bwMode="auto">
        <a:xfrm>
          <a:off x="3514725" y="9525"/>
          <a:ext cx="0"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twoCellAnchor>
    <xdr:from>
      <xdr:col>8</xdr:col>
      <xdr:colOff>247650</xdr:colOff>
      <xdr:row>0</xdr:row>
      <xdr:rowOff>9525</xdr:rowOff>
    </xdr:from>
    <xdr:to>
      <xdr:col>8</xdr:col>
      <xdr:colOff>1647825</xdr:colOff>
      <xdr:row>0</xdr:row>
      <xdr:rowOff>276225</xdr:rowOff>
    </xdr:to>
    <xdr:sp macro="" textlink="">
      <xdr:nvSpPr>
        <xdr:cNvPr id="5" name="Rectangle 4">
          <a:extLst>
            <a:ext uri="{FF2B5EF4-FFF2-40B4-BE49-F238E27FC236}">
              <a16:creationId xmlns:a16="http://schemas.microsoft.com/office/drawing/2014/main" id="{00000000-0008-0000-1200-000005000000}"/>
            </a:ext>
          </a:extLst>
        </xdr:cNvPr>
        <xdr:cNvSpPr>
          <a:spLocks noChangeArrowheads="1"/>
        </xdr:cNvSpPr>
      </xdr:nvSpPr>
      <xdr:spPr bwMode="auto">
        <a:xfrm>
          <a:off x="3514725" y="9525"/>
          <a:ext cx="0" cy="190500"/>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US" sz="1300" b="1" i="0" strike="noStrike">
              <a:solidFill>
                <a:srgbClr val="000000"/>
              </a:solidFill>
              <a:latin typeface=".VnTime"/>
            </a:rPr>
            <a:t>          </a:t>
          </a:r>
          <a:r>
            <a:rPr lang="en-US" sz="1400" b="1" i="0" strike="noStrike">
              <a:solidFill>
                <a:srgbClr val="000000"/>
              </a:solidFill>
              <a:latin typeface=".VnTime"/>
            </a:rPr>
            <a:t> Phô lôc 12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eu%20B5_03_%20DT%20TX%202018%20don%20vi%20khoi%20tinh_KBNN%20tinh%20cung%20cap%20den%2003052019_bang%20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ố liệu Tabmis den 03052019"/>
      <sheetName val="Ket dư DT"/>
      <sheetName val="DT"/>
      <sheetName val="Lchi"/>
      <sheetName val="DT_DV"/>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37"/>
  <sheetViews>
    <sheetView workbookViewId="0">
      <pane xSplit="2" ySplit="7" topLeftCell="C29" activePane="bottomRight" state="frozen"/>
      <selection pane="topRight" activeCell="C1" sqref="C1"/>
      <selection pane="bottomLeft" activeCell="A8" sqref="A8"/>
      <selection pane="bottomRight" activeCell="B39" sqref="B39"/>
    </sheetView>
  </sheetViews>
  <sheetFormatPr defaultColWidth="9.109375" defaultRowHeight="15.6" outlineLevelCol="1"/>
  <cols>
    <col min="1" max="1" width="6.6640625" style="279" customWidth="1"/>
    <col min="2" max="2" width="52.88671875" style="279" customWidth="1"/>
    <col min="3" max="3" width="13" style="279" customWidth="1"/>
    <col min="4" max="5" width="13" style="279" hidden="1" customWidth="1" outlineLevel="1"/>
    <col min="6" max="6" width="13.5546875" style="279" customWidth="1" collapsed="1"/>
    <col min="7" max="8" width="13.5546875" style="279" hidden="1" customWidth="1" outlineLevel="1"/>
    <col min="9" max="9" width="8.6640625" style="279" customWidth="1" collapsed="1"/>
    <col min="10" max="10" width="9.109375" style="279"/>
    <col min="11" max="11" width="15.109375" style="279" customWidth="1"/>
    <col min="12" max="16384" width="9.109375" style="279"/>
  </cols>
  <sheetData>
    <row r="1" spans="1:16">
      <c r="A1" s="299" t="s">
        <v>202</v>
      </c>
      <c r="F1" s="299" t="s">
        <v>0</v>
      </c>
      <c r="G1" s="299"/>
      <c r="H1" s="299"/>
    </row>
    <row r="2" spans="1:16">
      <c r="A2" s="53"/>
      <c r="B2" s="582"/>
    </row>
    <row r="3" spans="1:16" ht="19.5" customHeight="1">
      <c r="A3" s="797" t="s">
        <v>2042</v>
      </c>
      <c r="B3" s="797"/>
      <c r="C3" s="797"/>
      <c r="D3" s="797"/>
      <c r="E3" s="797"/>
      <c r="F3" s="797"/>
      <c r="G3" s="797"/>
      <c r="H3" s="797"/>
      <c r="I3" s="797"/>
    </row>
    <row r="4" spans="1:16" ht="20.25" customHeight="1">
      <c r="A4" s="798" t="s">
        <v>2043</v>
      </c>
      <c r="B4" s="798"/>
      <c r="C4" s="798"/>
      <c r="D4" s="798"/>
      <c r="E4" s="798"/>
      <c r="F4" s="798"/>
      <c r="G4" s="798"/>
      <c r="H4" s="798"/>
      <c r="I4" s="798"/>
    </row>
    <row r="5" spans="1:16">
      <c r="B5" s="648"/>
      <c r="C5" s="276"/>
      <c r="F5" s="281" t="s">
        <v>1</v>
      </c>
      <c r="G5" s="281"/>
      <c r="H5" s="281"/>
    </row>
    <row r="6" spans="1:16" ht="50.25" customHeight="1">
      <c r="A6" s="754" t="s">
        <v>2</v>
      </c>
      <c r="B6" s="754" t="s">
        <v>3</v>
      </c>
      <c r="C6" s="754" t="s">
        <v>4</v>
      </c>
      <c r="D6" s="754" t="s">
        <v>341</v>
      </c>
      <c r="E6" s="754" t="s">
        <v>340</v>
      </c>
      <c r="F6" s="754" t="s">
        <v>5</v>
      </c>
      <c r="G6" s="754" t="s">
        <v>341</v>
      </c>
      <c r="H6" s="754" t="s">
        <v>340</v>
      </c>
      <c r="I6" s="754" t="s">
        <v>6</v>
      </c>
      <c r="K6" s="276"/>
    </row>
    <row r="7" spans="1:16">
      <c r="A7" s="640" t="s">
        <v>7</v>
      </c>
      <c r="B7" s="640" t="s">
        <v>8</v>
      </c>
      <c r="C7" s="640">
        <v>1</v>
      </c>
      <c r="D7" s="640"/>
      <c r="E7" s="640"/>
      <c r="F7" s="640">
        <v>2</v>
      </c>
      <c r="G7" s="640"/>
      <c r="H7" s="640"/>
      <c r="I7" s="640" t="s">
        <v>9</v>
      </c>
    </row>
    <row r="8" spans="1:16" s="301" customFormat="1">
      <c r="A8" s="258" t="s">
        <v>7</v>
      </c>
      <c r="B8" s="259" t="s">
        <v>10</v>
      </c>
      <c r="C8" s="583">
        <f t="shared" ref="C8:E8" si="0">C9+C12+C15+C16+C17+C18+C19+C20</f>
        <v>6801211</v>
      </c>
      <c r="D8" s="583">
        <f t="shared" si="0"/>
        <v>0</v>
      </c>
      <c r="E8" s="583">
        <f t="shared" si="0"/>
        <v>0</v>
      </c>
      <c r="F8" s="583">
        <f>F9+F12+F15+F16+F17+F18+F19+F20</f>
        <v>8888378.0574440006</v>
      </c>
      <c r="G8" s="584"/>
      <c r="H8" s="584"/>
      <c r="I8" s="260">
        <f>IF((C8&gt;0),F8/C8*100,0)</f>
        <v>130.68816799602308</v>
      </c>
      <c r="K8" s="585"/>
    </row>
    <row r="9" spans="1:16">
      <c r="A9" s="262">
        <v>1</v>
      </c>
      <c r="B9" s="263" t="s">
        <v>11</v>
      </c>
      <c r="C9" s="264">
        <f>C10+C11</f>
        <v>1784000</v>
      </c>
      <c r="D9" s="264"/>
      <c r="E9" s="264"/>
      <c r="F9" s="264">
        <f>F10+F11</f>
        <v>2388797.505535</v>
      </c>
      <c r="G9" s="264"/>
      <c r="H9" s="264"/>
      <c r="I9" s="265">
        <f>IF((C9&gt;0),F9/C9*100,0)</f>
        <v>133.90120546720851</v>
      </c>
      <c r="K9" s="755"/>
      <c r="L9" s="756"/>
      <c r="M9" s="757"/>
      <c r="N9" s="757"/>
      <c r="O9" s="757"/>
      <c r="P9" s="755"/>
    </row>
    <row r="10" spans="1:16">
      <c r="A10" s="262" t="s">
        <v>12</v>
      </c>
      <c r="B10" s="263" t="s">
        <v>13</v>
      </c>
      <c r="C10" s="264">
        <v>829600</v>
      </c>
      <c r="D10" s="264"/>
      <c r="E10" s="264"/>
      <c r="F10" s="264">
        <f>'CD QT'!B10</f>
        <v>1315367.2691939997</v>
      </c>
      <c r="G10" s="264"/>
      <c r="H10" s="264"/>
      <c r="I10" s="265">
        <f t="shared" ref="I10:I34" si="1">IF((C10&gt;0),F10/C10*100,0)</f>
        <v>158.55439599734808</v>
      </c>
      <c r="K10" s="755"/>
      <c r="L10" s="758"/>
      <c r="M10" s="755"/>
      <c r="N10" s="755"/>
      <c r="O10" s="755"/>
      <c r="P10" s="755"/>
    </row>
    <row r="11" spans="1:16">
      <c r="A11" s="262" t="s">
        <v>12</v>
      </c>
      <c r="B11" s="263" t="s">
        <v>14</v>
      </c>
      <c r="C11" s="264">
        <f>'Thu NSDP_trinh HDND'!D109</f>
        <v>954400</v>
      </c>
      <c r="D11" s="264"/>
      <c r="E11" s="264"/>
      <c r="F11" s="305">
        <f>'CD QT'!B11</f>
        <v>1073430.2363410001</v>
      </c>
      <c r="G11" s="264"/>
      <c r="H11" s="264"/>
      <c r="I11" s="265">
        <f t="shared" si="1"/>
        <v>112.47173473816009</v>
      </c>
      <c r="K11" s="755"/>
      <c r="L11" s="759"/>
      <c r="M11" s="755"/>
      <c r="N11" s="755"/>
      <c r="O11" s="755"/>
      <c r="P11" s="755"/>
    </row>
    <row r="12" spans="1:16">
      <c r="A12" s="262">
        <v>2</v>
      </c>
      <c r="B12" s="263" t="s">
        <v>15</v>
      </c>
      <c r="C12" s="264">
        <f>C13+C14</f>
        <v>4997211</v>
      </c>
      <c r="D12" s="264"/>
      <c r="E12" s="264"/>
      <c r="F12" s="305">
        <f>F13+F14</f>
        <v>5122473.5367440004</v>
      </c>
      <c r="G12" s="264"/>
      <c r="H12" s="264"/>
      <c r="I12" s="265">
        <f t="shared" si="1"/>
        <v>102.50664894366078</v>
      </c>
      <c r="K12" s="755"/>
      <c r="L12" s="758"/>
      <c r="M12" s="755"/>
      <c r="N12" s="755"/>
      <c r="O12" s="755"/>
      <c r="P12" s="755"/>
    </row>
    <row r="13" spans="1:16">
      <c r="A13" s="262" t="s">
        <v>12</v>
      </c>
      <c r="B13" s="263" t="s">
        <v>16</v>
      </c>
      <c r="C13" s="264">
        <f>'Thu NSDP_trinh HDND'!D91</f>
        <v>3030369</v>
      </c>
      <c r="D13" s="264"/>
      <c r="E13" s="264"/>
      <c r="F13" s="305">
        <f>'CD QT'!C17</f>
        <v>3030369</v>
      </c>
      <c r="G13" s="264"/>
      <c r="H13" s="264"/>
      <c r="I13" s="265">
        <f t="shared" si="1"/>
        <v>100</v>
      </c>
      <c r="K13" s="755"/>
      <c r="L13" s="758"/>
      <c r="M13" s="755"/>
      <c r="N13" s="755"/>
      <c r="O13" s="755"/>
      <c r="P13" s="755"/>
    </row>
    <row r="14" spans="1:16">
      <c r="A14" s="262" t="s">
        <v>12</v>
      </c>
      <c r="B14" s="263" t="s">
        <v>17</v>
      </c>
      <c r="C14" s="264">
        <f>'Thu NSDP_trinh HDND'!D92</f>
        <v>1966842</v>
      </c>
      <c r="D14" s="264"/>
      <c r="E14" s="264"/>
      <c r="F14" s="305">
        <f>'CD QT'!C18</f>
        <v>2092104.5367440002</v>
      </c>
      <c r="G14" s="264"/>
      <c r="H14" s="264"/>
      <c r="I14" s="265">
        <f t="shared" si="1"/>
        <v>106.36871374233417</v>
      </c>
      <c r="K14" s="755"/>
      <c r="L14" s="758"/>
      <c r="M14" s="755"/>
      <c r="N14" s="755"/>
      <c r="O14" s="755"/>
      <c r="P14" s="755"/>
    </row>
    <row r="15" spans="1:16">
      <c r="A15" s="262">
        <v>3</v>
      </c>
      <c r="B15" s="263" t="s">
        <v>18</v>
      </c>
      <c r="C15" s="264"/>
      <c r="D15" s="264"/>
      <c r="E15" s="264"/>
      <c r="F15" s="305">
        <f>'CD QT'!B12</f>
        <v>0</v>
      </c>
      <c r="G15" s="264"/>
      <c r="H15" s="264"/>
      <c r="I15" s="265">
        <f t="shared" si="1"/>
        <v>0</v>
      </c>
      <c r="K15" s="755"/>
      <c r="L15" s="760"/>
      <c r="M15" s="755"/>
      <c r="N15" s="755"/>
      <c r="O15" s="755"/>
      <c r="P15" s="755"/>
    </row>
    <row r="16" spans="1:16">
      <c r="A16" s="262">
        <v>4</v>
      </c>
      <c r="B16" s="263" t="s">
        <v>19</v>
      </c>
      <c r="C16" s="264"/>
      <c r="D16" s="264"/>
      <c r="E16" s="264"/>
      <c r="F16" s="305">
        <f>'CD QT'!B13</f>
        <v>108648.940846</v>
      </c>
      <c r="G16" s="264"/>
      <c r="H16" s="264"/>
      <c r="I16" s="265">
        <f t="shared" si="1"/>
        <v>0</v>
      </c>
      <c r="K16" s="755"/>
      <c r="L16" s="755"/>
      <c r="M16" s="755"/>
      <c r="N16" s="755"/>
      <c r="O16" s="755"/>
      <c r="P16" s="755"/>
    </row>
    <row r="17" spans="1:16">
      <c r="A17" s="262">
        <v>5</v>
      </c>
      <c r="B17" s="263" t="s">
        <v>20</v>
      </c>
      <c r="C17" s="264"/>
      <c r="D17" s="264"/>
      <c r="E17" s="264"/>
      <c r="F17" s="305">
        <f>'CD QT'!B14</f>
        <v>1185342.1747400002</v>
      </c>
      <c r="G17" s="264"/>
      <c r="H17" s="264"/>
      <c r="I17" s="265">
        <f t="shared" si="1"/>
        <v>0</v>
      </c>
      <c r="K17" s="755"/>
      <c r="L17" s="755"/>
      <c r="M17" s="755"/>
      <c r="N17" s="755"/>
      <c r="O17" s="755"/>
      <c r="P17" s="755"/>
    </row>
    <row r="18" spans="1:16">
      <c r="A18" s="262">
        <v>6</v>
      </c>
      <c r="B18" s="60" t="s">
        <v>277</v>
      </c>
      <c r="C18" s="264"/>
      <c r="D18" s="264"/>
      <c r="E18" s="264"/>
      <c r="F18" s="305">
        <f>'CD QT'!B15</f>
        <v>76662.459126000002</v>
      </c>
      <c r="G18" s="264"/>
      <c r="H18" s="264"/>
      <c r="I18" s="265"/>
      <c r="K18" s="755"/>
      <c r="L18" s="759"/>
      <c r="M18" s="755"/>
      <c r="N18" s="755"/>
      <c r="O18" s="755"/>
      <c r="P18" s="755"/>
    </row>
    <row r="19" spans="1:16">
      <c r="A19" s="262">
        <v>7</v>
      </c>
      <c r="B19" s="60" t="s">
        <v>339</v>
      </c>
      <c r="C19" s="329">
        <v>20000</v>
      </c>
      <c r="D19" s="264"/>
      <c r="E19" s="264"/>
      <c r="F19" s="305">
        <f>'CD QT'!B19</f>
        <v>2999.4404530000002</v>
      </c>
      <c r="G19" s="264"/>
      <c r="H19" s="264"/>
      <c r="I19" s="265"/>
      <c r="K19" s="755"/>
      <c r="L19" s="755"/>
      <c r="M19" s="755"/>
      <c r="N19" s="755"/>
      <c r="O19" s="755"/>
      <c r="P19" s="755"/>
    </row>
    <row r="20" spans="1:16">
      <c r="A20" s="262">
        <v>8</v>
      </c>
      <c r="B20" s="60" t="s">
        <v>2046</v>
      </c>
      <c r="C20" s="264"/>
      <c r="D20" s="264"/>
      <c r="E20" s="264"/>
      <c r="F20" s="305">
        <f>'CD QT'!C20</f>
        <v>3454</v>
      </c>
      <c r="G20" s="264"/>
      <c r="H20" s="264"/>
      <c r="I20" s="265"/>
      <c r="K20" s="755"/>
      <c r="L20" s="755"/>
      <c r="M20" s="755"/>
      <c r="N20" s="755"/>
      <c r="O20" s="755"/>
      <c r="P20" s="755"/>
    </row>
    <row r="21" spans="1:16" s="301" customFormat="1">
      <c r="A21" s="267" t="s">
        <v>8</v>
      </c>
      <c r="B21" s="268" t="s">
        <v>21</v>
      </c>
      <c r="C21" s="269">
        <f>C22+C30+C33</f>
        <v>6769911</v>
      </c>
      <c r="D21" s="269">
        <f t="shared" ref="D21:E21" si="2">D22+D30+D33</f>
        <v>582230</v>
      </c>
      <c r="E21" s="269">
        <f t="shared" si="2"/>
        <v>115588</v>
      </c>
      <c r="F21" s="355">
        <f>F22+F30+F33+F34</f>
        <v>8802796.2269860003</v>
      </c>
      <c r="G21" s="269"/>
      <c r="H21" s="269"/>
      <c r="I21" s="260">
        <f t="shared" si="1"/>
        <v>130.02824153797593</v>
      </c>
      <c r="K21" s="757"/>
      <c r="L21" s="755"/>
      <c r="M21" s="755"/>
      <c r="N21" s="755"/>
      <c r="O21" s="755"/>
      <c r="P21" s="757"/>
    </row>
    <row r="22" spans="1:16" s="301" customFormat="1">
      <c r="A22" s="267" t="s">
        <v>22</v>
      </c>
      <c r="B22" s="268" t="s">
        <v>23</v>
      </c>
      <c r="C22" s="269">
        <f>SUM(C23:C29)</f>
        <v>4803069</v>
      </c>
      <c r="D22" s="269">
        <f t="shared" ref="D22:H22" si="3">SUM(D23:D29)</f>
        <v>0</v>
      </c>
      <c r="E22" s="269">
        <f t="shared" si="3"/>
        <v>0</v>
      </c>
      <c r="F22" s="269">
        <f>SUM(F23:F29)</f>
        <v>5027973.2303010002</v>
      </c>
      <c r="G22" s="269">
        <f t="shared" si="3"/>
        <v>0</v>
      </c>
      <c r="H22" s="269">
        <f t="shared" si="3"/>
        <v>0</v>
      </c>
      <c r="I22" s="260">
        <f t="shared" si="1"/>
        <v>104.68251091751961</v>
      </c>
      <c r="K22" s="757"/>
      <c r="L22" s="761"/>
      <c r="M22" s="757"/>
      <c r="N22" s="757"/>
      <c r="O22" s="757"/>
      <c r="P22" s="757"/>
    </row>
    <row r="23" spans="1:16">
      <c r="A23" s="262">
        <v>1</v>
      </c>
      <c r="B23" s="263" t="s">
        <v>24</v>
      </c>
      <c r="C23" s="264">
        <v>740920</v>
      </c>
      <c r="D23" s="264"/>
      <c r="E23" s="264"/>
      <c r="F23" s="305">
        <f>'Chi NSDP_trinh HDND'!G10+'Chi NSDP_trinh HDND'!G51-G30</f>
        <v>968361.83936499979</v>
      </c>
      <c r="G23" s="264"/>
      <c r="H23" s="264"/>
      <c r="I23" s="265">
        <f t="shared" si="1"/>
        <v>130.6972195871349</v>
      </c>
      <c r="K23" s="755"/>
      <c r="L23" s="761"/>
      <c r="M23" s="757"/>
      <c r="N23" s="757"/>
      <c r="O23" s="757"/>
      <c r="P23" s="755"/>
    </row>
    <row r="24" spans="1:16">
      <c r="A24" s="262">
        <v>2</v>
      </c>
      <c r="B24" s="263" t="s">
        <v>25</v>
      </c>
      <c r="C24" s="264">
        <v>3949511</v>
      </c>
      <c r="D24" s="264"/>
      <c r="E24" s="264"/>
      <c r="F24" s="305">
        <f>'Chi NSDP_trinh HDND'!G28+'Chi NSDP_trinh HDND'!G47+'Chi NSDP_trinh HDND'!G52-H30</f>
        <v>4019111.3909360003</v>
      </c>
      <c r="G24" s="264"/>
      <c r="H24" s="264"/>
      <c r="I24" s="265">
        <f t="shared" si="1"/>
        <v>101.76225337607619</v>
      </c>
      <c r="K24" s="759"/>
      <c r="L24" s="759"/>
      <c r="M24" s="755"/>
      <c r="N24" s="755"/>
      <c r="O24" s="755"/>
      <c r="P24" s="755"/>
    </row>
    <row r="25" spans="1:16">
      <c r="A25" s="262">
        <v>3</v>
      </c>
      <c r="B25" s="46" t="s">
        <v>294</v>
      </c>
      <c r="C25" s="264">
        <f>'Chi NSDP_trinh HDND'!D27</f>
        <v>0</v>
      </c>
      <c r="D25" s="264"/>
      <c r="E25" s="264"/>
      <c r="F25" s="305">
        <f>'Chi NSDP_trinh HDND'!G27</f>
        <v>38500</v>
      </c>
      <c r="G25" s="264"/>
      <c r="H25" s="264"/>
      <c r="I25" s="265">
        <f t="shared" si="1"/>
        <v>0</v>
      </c>
    </row>
    <row r="26" spans="1:16">
      <c r="A26" s="262">
        <v>4</v>
      </c>
      <c r="B26" s="263" t="s">
        <v>26</v>
      </c>
      <c r="C26" s="264">
        <f>'Chi NSDP_trinh HDND'!D42</f>
        <v>1000</v>
      </c>
      <c r="D26" s="264"/>
      <c r="E26" s="264"/>
      <c r="F26" s="305">
        <f>'Chi NSDP_trinh HDND'!G42</f>
        <v>2000</v>
      </c>
      <c r="G26" s="264"/>
      <c r="H26" s="264"/>
      <c r="I26" s="265">
        <f t="shared" si="1"/>
        <v>200</v>
      </c>
    </row>
    <row r="27" spans="1:16">
      <c r="A27" s="262">
        <v>5</v>
      </c>
      <c r="B27" s="263" t="s">
        <v>27</v>
      </c>
      <c r="C27" s="264">
        <f>'Chi NSDP_trinh HDND'!D45</f>
        <v>96738</v>
      </c>
      <c r="D27" s="264"/>
      <c r="E27" s="264"/>
      <c r="F27" s="305">
        <v>0</v>
      </c>
      <c r="G27" s="264"/>
      <c r="H27" s="264"/>
      <c r="I27" s="265">
        <f t="shared" si="1"/>
        <v>0</v>
      </c>
    </row>
    <row r="28" spans="1:16">
      <c r="A28" s="262">
        <v>6</v>
      </c>
      <c r="B28" s="60" t="s">
        <v>2114</v>
      </c>
      <c r="C28" s="264">
        <f>'Chi NSDP_trinh HDND'!D44</f>
        <v>400</v>
      </c>
      <c r="D28" s="264"/>
      <c r="E28" s="264"/>
      <c r="F28" s="305">
        <v>0</v>
      </c>
      <c r="G28" s="264"/>
      <c r="H28" s="264"/>
      <c r="I28" s="265"/>
    </row>
    <row r="29" spans="1:16">
      <c r="A29" s="262">
        <v>7</v>
      </c>
      <c r="B29" s="46" t="s">
        <v>298</v>
      </c>
      <c r="C29" s="264">
        <f>'Chi NSDP_trinh HDND'!D46</f>
        <v>14500</v>
      </c>
      <c r="D29" s="264"/>
      <c r="E29" s="264"/>
      <c r="F29" s="355">
        <v>0</v>
      </c>
      <c r="G29" s="269"/>
      <c r="H29" s="269"/>
      <c r="I29" s="265">
        <f t="shared" si="1"/>
        <v>0</v>
      </c>
      <c r="K29" s="348"/>
    </row>
    <row r="30" spans="1:16" s="301" customFormat="1">
      <c r="A30" s="267" t="s">
        <v>29</v>
      </c>
      <c r="B30" s="268" t="s">
        <v>30</v>
      </c>
      <c r="C30" s="269">
        <f>C31+C32</f>
        <v>1966842</v>
      </c>
      <c r="D30" s="269">
        <f t="shared" ref="D30:H30" si="4">D31+D32</f>
        <v>582230</v>
      </c>
      <c r="E30" s="269">
        <f t="shared" si="4"/>
        <v>115588</v>
      </c>
      <c r="F30" s="355">
        <f>F31+F32</f>
        <v>1424955.7572849998</v>
      </c>
      <c r="G30" s="269">
        <f>G31+G32</f>
        <v>947824.37070700002</v>
      </c>
      <c r="H30" s="269">
        <f t="shared" si="4"/>
        <v>477131.38657799998</v>
      </c>
      <c r="I30" s="260">
        <f t="shared" si="1"/>
        <v>72.448918483792795</v>
      </c>
    </row>
    <row r="31" spans="1:16" ht="15.75" customHeight="1">
      <c r="A31" s="262">
        <v>1</v>
      </c>
      <c r="B31" s="263" t="s">
        <v>31</v>
      </c>
      <c r="C31" s="264">
        <v>385707</v>
      </c>
      <c r="D31" s="264">
        <v>247993</v>
      </c>
      <c r="E31" s="264">
        <v>85063</v>
      </c>
      <c r="F31" s="305">
        <f>G31+H31</f>
        <v>404330.12465000001</v>
      </c>
      <c r="G31" s="264">
        <f>CTMTQG_CTMT2018!P11</f>
        <v>298755.403223</v>
      </c>
      <c r="H31" s="264">
        <f>CTMTQG_CTMT2018!Q11</f>
        <v>105574.721427</v>
      </c>
      <c r="I31" s="265">
        <f t="shared" si="1"/>
        <v>104.82830870323848</v>
      </c>
    </row>
    <row r="32" spans="1:16">
      <c r="A32" s="262">
        <v>2</v>
      </c>
      <c r="B32" s="263" t="s">
        <v>32</v>
      </c>
      <c r="C32" s="264">
        <v>1581135</v>
      </c>
      <c r="D32" s="264">
        <v>334237</v>
      </c>
      <c r="E32" s="264">
        <f>15470+15055</f>
        <v>30525</v>
      </c>
      <c r="F32" s="305">
        <f>G32+H32</f>
        <v>1020625.6326349999</v>
      </c>
      <c r="G32" s="264">
        <f>CTMTQG_CTMT2018!P642</f>
        <v>649068.96748400002</v>
      </c>
      <c r="H32" s="264">
        <f>CTMTQG_CTMT2018!Q642</f>
        <v>371556.66515099996</v>
      </c>
      <c r="I32" s="265">
        <f t="shared" si="1"/>
        <v>64.550189113200318</v>
      </c>
    </row>
    <row r="33" spans="1:9" s="301" customFormat="1">
      <c r="A33" s="267" t="s">
        <v>33</v>
      </c>
      <c r="B33" s="268" t="s">
        <v>34</v>
      </c>
      <c r="C33" s="269"/>
      <c r="D33" s="269"/>
      <c r="E33" s="269"/>
      <c r="F33" s="355">
        <f>'Chi NSDP_trinh HDND'!G43</f>
        <v>2207814.4703509999</v>
      </c>
      <c r="G33" s="269"/>
      <c r="H33" s="269"/>
      <c r="I33" s="265">
        <f t="shared" si="1"/>
        <v>0</v>
      </c>
    </row>
    <row r="34" spans="1:9" s="301" customFormat="1">
      <c r="A34" s="267" t="s">
        <v>71</v>
      </c>
      <c r="B34" s="268" t="s">
        <v>556</v>
      </c>
      <c r="C34" s="269"/>
      <c r="D34" s="269"/>
      <c r="E34" s="269"/>
      <c r="F34" s="269">
        <f>'Chi NSDP_trinh HDND'!G58</f>
        <v>142052.76904899999</v>
      </c>
      <c r="G34" s="269"/>
      <c r="H34" s="269"/>
      <c r="I34" s="265">
        <f t="shared" si="1"/>
        <v>0</v>
      </c>
    </row>
    <row r="35" spans="1:9" s="301" customFormat="1">
      <c r="A35" s="271"/>
      <c r="B35" s="272"/>
      <c r="C35" s="273"/>
      <c r="D35" s="273"/>
      <c r="E35" s="273"/>
      <c r="F35" s="273"/>
      <c r="G35" s="274"/>
      <c r="H35" s="274"/>
      <c r="I35" s="275"/>
    </row>
    <row r="36" spans="1:9">
      <c r="A36" s="49"/>
      <c r="C36" s="280"/>
      <c r="D36" s="280"/>
      <c r="E36" s="280"/>
      <c r="F36" s="280"/>
      <c r="G36" s="280"/>
      <c r="H36" s="280"/>
    </row>
    <row r="37" spans="1:9">
      <c r="C37" s="280"/>
      <c r="D37" s="280"/>
      <c r="E37" s="280"/>
      <c r="F37" s="280"/>
      <c r="G37" s="280"/>
      <c r="H37" s="280"/>
    </row>
  </sheetData>
  <mergeCells count="2">
    <mergeCell ref="A3:I3"/>
    <mergeCell ref="A4:I4"/>
  </mergeCells>
  <dataValidations count="1">
    <dataValidation allowBlank="1" showInputMessage="1" showErrorMessage="1" prompt="Không bao gồm thu Hải quan 252.000 trđ" sqref="C8" xr:uid="{00000000-0002-0000-0000-000000000000}"/>
  </dataValidations>
  <printOptions horizontalCentered="1"/>
  <pageMargins left="0.45" right="0"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Z61"/>
  <sheetViews>
    <sheetView showZeros="0" workbookViewId="0">
      <pane xSplit="2" ySplit="10" topLeftCell="C11" activePane="bottomRight" state="frozen"/>
      <selection pane="topRight" activeCell="C1" sqref="C1"/>
      <selection pane="bottomLeft" activeCell="A11" sqref="A11"/>
      <selection pane="bottomRight" activeCell="W43" sqref="W43"/>
    </sheetView>
  </sheetViews>
  <sheetFormatPr defaultColWidth="9.109375" defaultRowHeight="15.6"/>
  <cols>
    <col min="1" max="1" width="5.6640625" style="700" customWidth="1"/>
    <col min="2" max="2" width="25.109375" style="700" customWidth="1"/>
    <col min="3" max="4" width="9.5546875" style="700" customWidth="1"/>
    <col min="5" max="9" width="8.44140625" style="700" customWidth="1"/>
    <col min="10" max="11" width="7.33203125" style="700" customWidth="1"/>
    <col min="12" max="12" width="7.44140625" style="700" customWidth="1"/>
    <col min="13" max="14" width="7.33203125" style="700" customWidth="1"/>
    <col min="15" max="15" width="6.88671875" style="700" customWidth="1"/>
    <col min="16" max="18" width="8.44140625" style="700" customWidth="1"/>
    <col min="19" max="19" width="7" style="700" customWidth="1"/>
    <col min="20" max="21" width="7.33203125" style="700" customWidth="1"/>
    <col min="22" max="22" width="6.5546875" style="700" customWidth="1"/>
    <col min="23" max="24" width="8.109375" style="700" customWidth="1"/>
    <col min="25" max="25" width="7.6640625" style="700" customWidth="1"/>
    <col min="26" max="16384" width="9.109375" style="700"/>
  </cols>
  <sheetData>
    <row r="1" spans="1:26">
      <c r="A1" s="699" t="s">
        <v>202</v>
      </c>
      <c r="V1" s="699" t="s">
        <v>160</v>
      </c>
    </row>
    <row r="2" spans="1:26">
      <c r="A2" s="690"/>
    </row>
    <row r="3" spans="1:26" ht="16.5" customHeight="1">
      <c r="A3" s="813" t="s">
        <v>2325</v>
      </c>
      <c r="B3" s="813"/>
      <c r="C3" s="813"/>
      <c r="D3" s="813"/>
      <c r="E3" s="813"/>
      <c r="F3" s="813"/>
      <c r="G3" s="813"/>
      <c r="H3" s="813"/>
      <c r="I3" s="813"/>
      <c r="J3" s="813"/>
      <c r="K3" s="813"/>
      <c r="L3" s="813"/>
      <c r="M3" s="813"/>
      <c r="N3" s="813"/>
      <c r="O3" s="813"/>
      <c r="P3" s="813"/>
      <c r="Q3" s="813"/>
      <c r="R3" s="813"/>
      <c r="S3" s="813"/>
      <c r="T3" s="813"/>
      <c r="U3" s="813"/>
      <c r="V3" s="813"/>
      <c r="W3" s="813"/>
      <c r="X3" s="813"/>
      <c r="Y3" s="813"/>
    </row>
    <row r="4" spans="1:26" ht="15.75" customHeight="1">
      <c r="A4" s="829" t="s">
        <v>2326</v>
      </c>
      <c r="B4" s="829"/>
      <c r="C4" s="829"/>
      <c r="D4" s="829"/>
      <c r="E4" s="829"/>
      <c r="F4" s="829"/>
      <c r="G4" s="829"/>
      <c r="H4" s="829"/>
      <c r="I4" s="829"/>
      <c r="J4" s="829"/>
      <c r="K4" s="829"/>
      <c r="L4" s="829"/>
      <c r="M4" s="829"/>
      <c r="N4" s="829"/>
      <c r="O4" s="829"/>
      <c r="P4" s="829"/>
      <c r="Q4" s="829"/>
      <c r="R4" s="829"/>
      <c r="S4" s="829"/>
      <c r="T4" s="829"/>
      <c r="U4" s="829"/>
      <c r="V4" s="829"/>
      <c r="W4" s="829"/>
      <c r="X4" s="829"/>
      <c r="Y4" s="829"/>
    </row>
    <row r="5" spans="1:26">
      <c r="B5" s="714"/>
      <c r="C5" s="704"/>
      <c r="E5" s="704"/>
      <c r="F5" s="704"/>
      <c r="G5" s="704"/>
      <c r="W5" s="705" t="s">
        <v>1</v>
      </c>
    </row>
    <row r="6" spans="1:26" ht="15.75" customHeight="1">
      <c r="A6" s="828" t="s">
        <v>2</v>
      </c>
      <c r="B6" s="828" t="s">
        <v>2622</v>
      </c>
      <c r="C6" s="828" t="s">
        <v>145</v>
      </c>
      <c r="D6" s="828"/>
      <c r="E6" s="828"/>
      <c r="F6" s="828" t="s">
        <v>146</v>
      </c>
      <c r="G6" s="828"/>
      <c r="H6" s="828"/>
      <c r="I6" s="828"/>
      <c r="J6" s="828"/>
      <c r="K6" s="828"/>
      <c r="L6" s="828"/>
      <c r="M6" s="828"/>
      <c r="N6" s="828"/>
      <c r="O6" s="828"/>
      <c r="P6" s="828"/>
      <c r="Q6" s="828"/>
      <c r="R6" s="828"/>
      <c r="S6" s="828"/>
      <c r="T6" s="828"/>
      <c r="U6" s="828"/>
      <c r="V6" s="828"/>
      <c r="W6" s="828" t="s">
        <v>147</v>
      </c>
      <c r="X6" s="828"/>
      <c r="Y6" s="828"/>
      <c r="Z6" s="724"/>
    </row>
    <row r="7" spans="1:26" ht="15.75" customHeight="1">
      <c r="A7" s="828"/>
      <c r="B7" s="828"/>
      <c r="C7" s="828" t="s">
        <v>148</v>
      </c>
      <c r="D7" s="828" t="s">
        <v>162</v>
      </c>
      <c r="E7" s="828"/>
      <c r="F7" s="828" t="s">
        <v>148</v>
      </c>
      <c r="G7" s="828" t="s">
        <v>162</v>
      </c>
      <c r="H7" s="828"/>
      <c r="I7" s="828" t="s">
        <v>169</v>
      </c>
      <c r="J7" s="828"/>
      <c r="K7" s="828"/>
      <c r="L7" s="828"/>
      <c r="M7" s="828"/>
      <c r="N7" s="828"/>
      <c r="O7" s="828"/>
      <c r="P7" s="828" t="s">
        <v>170</v>
      </c>
      <c r="Q7" s="828"/>
      <c r="R7" s="828"/>
      <c r="S7" s="828"/>
      <c r="T7" s="828"/>
      <c r="U7" s="828"/>
      <c r="V7" s="828"/>
      <c r="W7" s="828" t="s">
        <v>148</v>
      </c>
      <c r="X7" s="828" t="s">
        <v>162</v>
      </c>
      <c r="Y7" s="828"/>
      <c r="Z7" s="725"/>
    </row>
    <row r="8" spans="1:26">
      <c r="A8" s="828"/>
      <c r="B8" s="828"/>
      <c r="C8" s="828"/>
      <c r="D8" s="828" t="s">
        <v>163</v>
      </c>
      <c r="E8" s="828" t="s">
        <v>164</v>
      </c>
      <c r="F8" s="828"/>
      <c r="G8" s="828" t="s">
        <v>163</v>
      </c>
      <c r="H8" s="828" t="s">
        <v>164</v>
      </c>
      <c r="I8" s="828" t="s">
        <v>148</v>
      </c>
      <c r="J8" s="828" t="s">
        <v>24</v>
      </c>
      <c r="K8" s="828"/>
      <c r="L8" s="828"/>
      <c r="M8" s="828" t="s">
        <v>164</v>
      </c>
      <c r="N8" s="828"/>
      <c r="O8" s="828"/>
      <c r="P8" s="828" t="s">
        <v>148</v>
      </c>
      <c r="Q8" s="828" t="s">
        <v>24</v>
      </c>
      <c r="R8" s="828"/>
      <c r="S8" s="828"/>
      <c r="T8" s="828" t="s">
        <v>164</v>
      </c>
      <c r="U8" s="828"/>
      <c r="V8" s="828"/>
      <c r="W8" s="828"/>
      <c r="X8" s="828" t="s">
        <v>24</v>
      </c>
      <c r="Y8" s="828" t="s">
        <v>25</v>
      </c>
    </row>
    <row r="9" spans="1:26">
      <c r="A9" s="828"/>
      <c r="B9" s="828"/>
      <c r="C9" s="828"/>
      <c r="D9" s="828"/>
      <c r="E9" s="828"/>
      <c r="F9" s="828"/>
      <c r="G9" s="828"/>
      <c r="H9" s="828"/>
      <c r="I9" s="828"/>
      <c r="J9" s="828" t="s">
        <v>148</v>
      </c>
      <c r="K9" s="828" t="s">
        <v>171</v>
      </c>
      <c r="L9" s="828"/>
      <c r="M9" s="828" t="s">
        <v>148</v>
      </c>
      <c r="N9" s="828" t="s">
        <v>171</v>
      </c>
      <c r="O9" s="828"/>
      <c r="P9" s="828"/>
      <c r="Q9" s="828" t="s">
        <v>148</v>
      </c>
      <c r="R9" s="828" t="s">
        <v>171</v>
      </c>
      <c r="S9" s="828"/>
      <c r="T9" s="828" t="s">
        <v>148</v>
      </c>
      <c r="U9" s="828" t="s">
        <v>171</v>
      </c>
      <c r="V9" s="828"/>
      <c r="W9" s="828"/>
      <c r="X9" s="828"/>
      <c r="Y9" s="828"/>
    </row>
    <row r="10" spans="1:26" ht="69" customHeight="1">
      <c r="A10" s="828"/>
      <c r="B10" s="828"/>
      <c r="C10" s="828"/>
      <c r="D10" s="828"/>
      <c r="E10" s="828"/>
      <c r="F10" s="828"/>
      <c r="G10" s="828"/>
      <c r="H10" s="828"/>
      <c r="I10" s="828"/>
      <c r="J10" s="828"/>
      <c r="K10" s="689" t="s">
        <v>165</v>
      </c>
      <c r="L10" s="689" t="s">
        <v>166</v>
      </c>
      <c r="M10" s="828"/>
      <c r="N10" s="689" t="s">
        <v>165</v>
      </c>
      <c r="O10" s="689" t="s">
        <v>166</v>
      </c>
      <c r="P10" s="828"/>
      <c r="Q10" s="828"/>
      <c r="R10" s="689" t="s">
        <v>165</v>
      </c>
      <c r="S10" s="689" t="s">
        <v>166</v>
      </c>
      <c r="T10" s="828"/>
      <c r="U10" s="689" t="s">
        <v>165</v>
      </c>
      <c r="V10" s="689" t="s">
        <v>166</v>
      </c>
      <c r="W10" s="828"/>
      <c r="X10" s="828"/>
      <c r="Y10" s="828"/>
    </row>
    <row r="11" spans="1:26" s="42" customFormat="1" ht="22.5" customHeight="1">
      <c r="A11" s="440" t="s">
        <v>7</v>
      </c>
      <c r="B11" s="440" t="s">
        <v>8</v>
      </c>
      <c r="C11" s="440">
        <v>1</v>
      </c>
      <c r="D11" s="440">
        <v>2</v>
      </c>
      <c r="E11" s="440">
        <v>3</v>
      </c>
      <c r="F11" s="440" t="s">
        <v>81</v>
      </c>
      <c r="G11" s="440" t="s">
        <v>172</v>
      </c>
      <c r="H11" s="440" t="s">
        <v>173</v>
      </c>
      <c r="I11" s="440">
        <v>7</v>
      </c>
      <c r="J11" s="440">
        <v>8</v>
      </c>
      <c r="K11" s="440">
        <v>9</v>
      </c>
      <c r="L11" s="440">
        <v>10</v>
      </c>
      <c r="M11" s="440">
        <v>11</v>
      </c>
      <c r="N11" s="440">
        <v>12</v>
      </c>
      <c r="O11" s="440">
        <v>13</v>
      </c>
      <c r="P11" s="440">
        <v>14</v>
      </c>
      <c r="Q11" s="440">
        <v>15</v>
      </c>
      <c r="R11" s="440">
        <v>16</v>
      </c>
      <c r="S11" s="440">
        <v>17</v>
      </c>
      <c r="T11" s="440">
        <v>18</v>
      </c>
      <c r="U11" s="440">
        <v>19</v>
      </c>
      <c r="V11" s="440">
        <v>20</v>
      </c>
      <c r="W11" s="440" t="s">
        <v>174</v>
      </c>
      <c r="X11" s="440" t="s">
        <v>175</v>
      </c>
      <c r="Y11" s="440" t="s">
        <v>176</v>
      </c>
    </row>
    <row r="12" spans="1:26" s="714" customFormat="1" ht="26.25" customHeight="1">
      <c r="A12" s="442"/>
      <c r="B12" s="442" t="s">
        <v>126</v>
      </c>
      <c r="C12" s="726">
        <f t="shared" ref="C12:V12" si="0">C13+C30</f>
        <v>385707.05599999998</v>
      </c>
      <c r="D12" s="726">
        <f t="shared" si="0"/>
        <v>280896.05599999998</v>
      </c>
      <c r="E12" s="726">
        <f t="shared" si="0"/>
        <v>104811</v>
      </c>
      <c r="F12" s="726">
        <f t="shared" si="0"/>
        <v>392782.51874299999</v>
      </c>
      <c r="G12" s="726">
        <f t="shared" si="0"/>
        <v>287183.95491600002</v>
      </c>
      <c r="H12" s="726">
        <f t="shared" si="0"/>
        <v>105598.56382699999</v>
      </c>
      <c r="I12" s="726">
        <f t="shared" si="0"/>
        <v>123630.38444100002</v>
      </c>
      <c r="J12" s="726">
        <f t="shared" si="0"/>
        <v>89600.282309000002</v>
      </c>
      <c r="K12" s="726">
        <f t="shared" si="0"/>
        <v>89600.282309000002</v>
      </c>
      <c r="L12" s="726">
        <f t="shared" si="0"/>
        <v>0</v>
      </c>
      <c r="M12" s="726">
        <f t="shared" si="0"/>
        <v>34626.075571999994</v>
      </c>
      <c r="N12" s="726">
        <f t="shared" si="0"/>
        <v>34626.075571999994</v>
      </c>
      <c r="O12" s="726">
        <f t="shared" si="0"/>
        <v>0</v>
      </c>
      <c r="P12" s="726">
        <f t="shared" si="0"/>
        <v>264833.16086199996</v>
      </c>
      <c r="Q12" s="726">
        <f t="shared" si="0"/>
        <v>197583.67260700001</v>
      </c>
      <c r="R12" s="726">
        <f t="shared" si="0"/>
        <v>197583.67260700001</v>
      </c>
      <c r="S12" s="726">
        <f t="shared" si="0"/>
        <v>0</v>
      </c>
      <c r="T12" s="726">
        <f t="shared" si="0"/>
        <v>70972.488255000004</v>
      </c>
      <c r="U12" s="726">
        <f t="shared" si="0"/>
        <v>70972.488255000004</v>
      </c>
      <c r="V12" s="726">
        <f t="shared" si="0"/>
        <v>0</v>
      </c>
      <c r="W12" s="727">
        <f t="shared" ref="W12:Y13" si="1">F12/C12</f>
        <v>1.0183441361337191</v>
      </c>
      <c r="X12" s="727">
        <f t="shared" si="1"/>
        <v>1.0223851449021415</v>
      </c>
      <c r="Y12" s="727">
        <f t="shared" si="1"/>
        <v>1.0075141333161595</v>
      </c>
      <c r="Z12" s="700"/>
    </row>
    <row r="13" spans="1:26" s="714" customFormat="1">
      <c r="A13" s="447" t="s">
        <v>45</v>
      </c>
      <c r="B13" s="448" t="s">
        <v>167</v>
      </c>
      <c r="C13" s="728">
        <f>SUM(C14:C29)</f>
        <v>100595.45599999999</v>
      </c>
      <c r="D13" s="728">
        <f t="shared" ref="D13:V13" si="2">SUM(D14:D29)</f>
        <v>85132.455999999991</v>
      </c>
      <c r="E13" s="728">
        <f t="shared" si="2"/>
        <v>15463</v>
      </c>
      <c r="F13" s="729">
        <f>SUM(F14:F29)</f>
        <v>97843.977102000004</v>
      </c>
      <c r="G13" s="729">
        <f t="shared" si="2"/>
        <v>86872.697607000009</v>
      </c>
      <c r="H13" s="729">
        <f t="shared" si="2"/>
        <v>10971.279495000001</v>
      </c>
      <c r="I13" s="729">
        <f t="shared" si="2"/>
        <v>1437.5108</v>
      </c>
      <c r="J13" s="729">
        <f t="shared" si="2"/>
        <v>0</v>
      </c>
      <c r="K13" s="729">
        <f t="shared" si="2"/>
        <v>0</v>
      </c>
      <c r="L13" s="729">
        <f t="shared" si="2"/>
        <v>0</v>
      </c>
      <c r="M13" s="729">
        <f t="shared" si="2"/>
        <v>2033.48424</v>
      </c>
      <c r="N13" s="729">
        <f t="shared" si="2"/>
        <v>2033.48424</v>
      </c>
      <c r="O13" s="729">
        <f t="shared" si="2"/>
        <v>0</v>
      </c>
      <c r="P13" s="729">
        <f t="shared" si="2"/>
        <v>92087.492862000014</v>
      </c>
      <c r="Q13" s="729">
        <f t="shared" si="2"/>
        <v>86872.697607000009</v>
      </c>
      <c r="R13" s="729">
        <f t="shared" si="2"/>
        <v>86872.697607000009</v>
      </c>
      <c r="S13" s="729">
        <f t="shared" si="2"/>
        <v>0</v>
      </c>
      <c r="T13" s="729">
        <f t="shared" si="2"/>
        <v>8937.7952550000009</v>
      </c>
      <c r="U13" s="729">
        <f t="shared" si="2"/>
        <v>8937.7952550000009</v>
      </c>
      <c r="V13" s="729">
        <f t="shared" si="2"/>
        <v>0</v>
      </c>
      <c r="W13" s="730">
        <f t="shared" si="1"/>
        <v>0.97264807967071609</v>
      </c>
      <c r="X13" s="730">
        <f t="shared" si="1"/>
        <v>1.0204415764417747</v>
      </c>
      <c r="Y13" s="730">
        <f t="shared" si="1"/>
        <v>0.70951817208821066</v>
      </c>
      <c r="Z13" s="700"/>
    </row>
    <row r="14" spans="1:26" ht="31.2">
      <c r="A14" s="452">
        <v>1</v>
      </c>
      <c r="B14" s="649" t="s">
        <v>2315</v>
      </c>
      <c r="C14" s="319">
        <f>D14+E14</f>
        <v>700</v>
      </c>
      <c r="D14" s="329"/>
      <c r="E14" s="329">
        <v>700</v>
      </c>
      <c r="F14" s="731">
        <f>G14+H14</f>
        <v>674.88199999999995</v>
      </c>
      <c r="G14" s="731">
        <f>J14+Q14</f>
        <v>0</v>
      </c>
      <c r="H14" s="731">
        <f>M14+T14</f>
        <v>674.88199999999995</v>
      </c>
      <c r="I14" s="731">
        <f>J14+M14</f>
        <v>674.88199999999995</v>
      </c>
      <c r="J14" s="731">
        <f>K14+L14</f>
        <v>0</v>
      </c>
      <c r="K14" s="731"/>
      <c r="L14" s="731"/>
      <c r="M14" s="731">
        <f>N14+O14</f>
        <v>674.88199999999995</v>
      </c>
      <c r="N14" s="731">
        <v>674.88199999999995</v>
      </c>
      <c r="O14" s="731"/>
      <c r="P14" s="731">
        <f>Q14+T14</f>
        <v>0</v>
      </c>
      <c r="Q14" s="731">
        <f>R14+S14</f>
        <v>0</v>
      </c>
      <c r="R14" s="731"/>
      <c r="S14" s="731"/>
      <c r="T14" s="731">
        <f t="shared" ref="T14:T24" si="3">U14+V14</f>
        <v>0</v>
      </c>
      <c r="U14" s="731"/>
      <c r="V14" s="731"/>
      <c r="W14" s="732">
        <f>F14/C14</f>
        <v>0.96411714285714278</v>
      </c>
      <c r="X14" s="733"/>
      <c r="Y14" s="732">
        <f>H14/E14</f>
        <v>0.96411714285714278</v>
      </c>
    </row>
    <row r="15" spans="1:26">
      <c r="A15" s="452">
        <v>2</v>
      </c>
      <c r="B15" s="649" t="s">
        <v>179</v>
      </c>
      <c r="C15" s="319">
        <f t="shared" ref="C15:C29" si="4">D15+E15</f>
        <v>100</v>
      </c>
      <c r="D15" s="329"/>
      <c r="E15" s="329">
        <v>100</v>
      </c>
      <c r="F15" s="731">
        <f t="shared" ref="F15:F24" si="5">G15+H15</f>
        <v>99.993799999999993</v>
      </c>
      <c r="G15" s="731">
        <f t="shared" ref="G15:G24" si="6">J15+Q15</f>
        <v>0</v>
      </c>
      <c r="H15" s="731">
        <f t="shared" ref="H15:H24" si="7">M15+T15</f>
        <v>99.993799999999993</v>
      </c>
      <c r="I15" s="731">
        <f t="shared" ref="I15:I40" si="8">J15+M15</f>
        <v>99.993799999999993</v>
      </c>
      <c r="J15" s="731">
        <f t="shared" ref="J15:J40" si="9">K15+L15</f>
        <v>0</v>
      </c>
      <c r="K15" s="731"/>
      <c r="L15" s="731"/>
      <c r="M15" s="731">
        <f t="shared" ref="M15:M40" si="10">N15+O15</f>
        <v>99.993799999999993</v>
      </c>
      <c r="N15" s="734">
        <v>99.993799999999993</v>
      </c>
      <c r="O15" s="731"/>
      <c r="P15" s="731">
        <f t="shared" ref="P15:P40" si="11">Q15+T15</f>
        <v>0</v>
      </c>
      <c r="Q15" s="731">
        <f t="shared" ref="Q15:Q29" si="12">R15+S15</f>
        <v>0</v>
      </c>
      <c r="R15" s="731"/>
      <c r="S15" s="731"/>
      <c r="T15" s="731">
        <f t="shared" si="3"/>
        <v>0</v>
      </c>
      <c r="U15" s="731"/>
      <c r="V15" s="731"/>
      <c r="W15" s="732">
        <f t="shared" ref="W15:W40" si="13">F15/C15</f>
        <v>0.99993799999999988</v>
      </c>
      <c r="X15" s="733"/>
      <c r="Y15" s="732">
        <f t="shared" ref="Y15:Y40" si="14">H15/E15</f>
        <v>0.99993799999999988</v>
      </c>
    </row>
    <row r="16" spans="1:26">
      <c r="A16" s="452">
        <v>3</v>
      </c>
      <c r="B16" s="649" t="s">
        <v>2316</v>
      </c>
      <c r="C16" s="319">
        <f t="shared" si="4"/>
        <v>100</v>
      </c>
      <c r="D16" s="329"/>
      <c r="E16" s="329">
        <v>100</v>
      </c>
      <c r="F16" s="731">
        <f t="shared" si="5"/>
        <v>100</v>
      </c>
      <c r="G16" s="731">
        <f t="shared" si="6"/>
        <v>0</v>
      </c>
      <c r="H16" s="731">
        <f t="shared" si="7"/>
        <v>100</v>
      </c>
      <c r="I16" s="731">
        <f t="shared" si="8"/>
        <v>100</v>
      </c>
      <c r="J16" s="731">
        <f t="shared" si="9"/>
        <v>0</v>
      </c>
      <c r="K16" s="731"/>
      <c r="L16" s="731"/>
      <c r="M16" s="731">
        <f t="shared" si="10"/>
        <v>100</v>
      </c>
      <c r="N16" s="731">
        <v>100</v>
      </c>
      <c r="O16" s="731"/>
      <c r="P16" s="731">
        <f t="shared" si="11"/>
        <v>0</v>
      </c>
      <c r="Q16" s="731">
        <f t="shared" si="12"/>
        <v>0</v>
      </c>
      <c r="R16" s="731"/>
      <c r="S16" s="731"/>
      <c r="T16" s="731">
        <f t="shared" si="3"/>
        <v>0</v>
      </c>
      <c r="U16" s="731"/>
      <c r="V16" s="731"/>
      <c r="W16" s="732">
        <f t="shared" si="13"/>
        <v>1</v>
      </c>
      <c r="X16" s="733"/>
      <c r="Y16" s="732">
        <f t="shared" si="14"/>
        <v>1</v>
      </c>
    </row>
    <row r="17" spans="1:26">
      <c r="A17" s="452">
        <v>4</v>
      </c>
      <c r="B17" s="649" t="s">
        <v>2317</v>
      </c>
      <c r="C17" s="319">
        <f t="shared" si="4"/>
        <v>8544</v>
      </c>
      <c r="D17" s="329"/>
      <c r="E17" s="329">
        <v>8544</v>
      </c>
      <c r="F17" s="731">
        <f t="shared" si="5"/>
        <v>4830.5910000000003</v>
      </c>
      <c r="G17" s="731">
        <f t="shared" si="6"/>
        <v>0</v>
      </c>
      <c r="H17" s="731">
        <f>M17+T17</f>
        <v>4830.5910000000003</v>
      </c>
      <c r="I17" s="731">
        <f>J17+M17</f>
        <v>306.63499999999999</v>
      </c>
      <c r="J17" s="731">
        <f t="shared" si="9"/>
        <v>0</v>
      </c>
      <c r="K17" s="731"/>
      <c r="L17" s="731"/>
      <c r="M17" s="731">
        <f t="shared" si="10"/>
        <v>306.63499999999999</v>
      </c>
      <c r="N17" s="731">
        <v>306.63499999999999</v>
      </c>
      <c r="O17" s="731"/>
      <c r="P17" s="731">
        <f t="shared" si="11"/>
        <v>4523.9560000000001</v>
      </c>
      <c r="Q17" s="731">
        <f t="shared" si="12"/>
        <v>0</v>
      </c>
      <c r="R17" s="731"/>
      <c r="S17" s="731"/>
      <c r="T17" s="731">
        <f t="shared" si="3"/>
        <v>4523.9560000000001</v>
      </c>
      <c r="U17" s="731">
        <f>4524.456-0.5</f>
        <v>4523.9560000000001</v>
      </c>
      <c r="V17" s="731"/>
      <c r="W17" s="732">
        <f t="shared" si="13"/>
        <v>0.56537816011235964</v>
      </c>
      <c r="X17" s="733"/>
      <c r="Y17" s="732">
        <f t="shared" si="14"/>
        <v>0.56537816011235964</v>
      </c>
    </row>
    <row r="18" spans="1:26" ht="31.2">
      <c r="A18" s="452">
        <v>5</v>
      </c>
      <c r="B18" s="649" t="s">
        <v>2145</v>
      </c>
      <c r="C18" s="319">
        <f t="shared" si="4"/>
        <v>100</v>
      </c>
      <c r="D18" s="329"/>
      <c r="E18" s="329">
        <v>100</v>
      </c>
      <c r="F18" s="731">
        <f t="shared" si="5"/>
        <v>100</v>
      </c>
      <c r="G18" s="731">
        <f t="shared" si="6"/>
        <v>0</v>
      </c>
      <c r="H18" s="731">
        <f t="shared" si="7"/>
        <v>100</v>
      </c>
      <c r="I18" s="731">
        <f t="shared" si="8"/>
        <v>100</v>
      </c>
      <c r="J18" s="731">
        <f t="shared" si="9"/>
        <v>0</v>
      </c>
      <c r="K18" s="731"/>
      <c r="L18" s="731"/>
      <c r="M18" s="731">
        <f t="shared" si="10"/>
        <v>100</v>
      </c>
      <c r="N18" s="731">
        <v>100</v>
      </c>
      <c r="O18" s="731"/>
      <c r="P18" s="731">
        <f t="shared" si="11"/>
        <v>0</v>
      </c>
      <c r="Q18" s="731">
        <f t="shared" si="12"/>
        <v>0</v>
      </c>
      <c r="R18" s="731"/>
      <c r="S18" s="731"/>
      <c r="T18" s="731">
        <f t="shared" si="3"/>
        <v>0</v>
      </c>
      <c r="U18" s="731"/>
      <c r="V18" s="731"/>
      <c r="W18" s="732">
        <f t="shared" si="13"/>
        <v>1</v>
      </c>
      <c r="X18" s="733"/>
      <c r="Y18" s="732">
        <f t="shared" si="14"/>
        <v>1</v>
      </c>
    </row>
    <row r="19" spans="1:26" ht="31.2">
      <c r="A19" s="452">
        <v>6</v>
      </c>
      <c r="B19" s="649" t="s">
        <v>2318</v>
      </c>
      <c r="C19" s="319">
        <f t="shared" si="4"/>
        <v>1457</v>
      </c>
      <c r="D19" s="329"/>
      <c r="E19" s="329">
        <v>1457</v>
      </c>
      <c r="F19" s="731">
        <f t="shared" si="5"/>
        <v>795.83925499999998</v>
      </c>
      <c r="G19" s="731">
        <f t="shared" si="6"/>
        <v>0</v>
      </c>
      <c r="H19" s="731">
        <f t="shared" si="7"/>
        <v>795.83925499999998</v>
      </c>
      <c r="I19" s="731">
        <f t="shared" si="8"/>
        <v>105</v>
      </c>
      <c r="J19" s="731">
        <f t="shared" si="9"/>
        <v>0</v>
      </c>
      <c r="K19" s="731"/>
      <c r="L19" s="731"/>
      <c r="M19" s="731">
        <f t="shared" si="10"/>
        <v>105</v>
      </c>
      <c r="N19" s="731">
        <v>105</v>
      </c>
      <c r="O19" s="731"/>
      <c r="P19" s="731">
        <f t="shared" si="11"/>
        <v>690.83925499999998</v>
      </c>
      <c r="Q19" s="731">
        <f t="shared" si="12"/>
        <v>0</v>
      </c>
      <c r="R19" s="731"/>
      <c r="S19" s="731"/>
      <c r="T19" s="731">
        <f t="shared" si="3"/>
        <v>690.83925499999998</v>
      </c>
      <c r="U19" s="731">
        <f>795.839255-105</f>
        <v>690.83925499999998</v>
      </c>
      <c r="V19" s="731"/>
      <c r="W19" s="732">
        <f t="shared" si="13"/>
        <v>0.54621774536719281</v>
      </c>
      <c r="X19" s="733"/>
      <c r="Y19" s="732">
        <f t="shared" si="14"/>
        <v>0.54621774536719281</v>
      </c>
    </row>
    <row r="20" spans="1:26" ht="31.2">
      <c r="A20" s="452">
        <v>7</v>
      </c>
      <c r="B20" s="649" t="s">
        <v>2319</v>
      </c>
      <c r="C20" s="319">
        <f t="shared" si="4"/>
        <v>150</v>
      </c>
      <c r="D20" s="329"/>
      <c r="E20" s="329">
        <v>150</v>
      </c>
      <c r="F20" s="731">
        <f t="shared" si="5"/>
        <v>51</v>
      </c>
      <c r="G20" s="731">
        <f t="shared" si="6"/>
        <v>0</v>
      </c>
      <c r="H20" s="731">
        <f t="shared" si="7"/>
        <v>51</v>
      </c>
      <c r="I20" s="731">
        <f t="shared" si="8"/>
        <v>51</v>
      </c>
      <c r="J20" s="731">
        <f t="shared" si="9"/>
        <v>0</v>
      </c>
      <c r="K20" s="731"/>
      <c r="L20" s="731"/>
      <c r="M20" s="731">
        <f t="shared" si="10"/>
        <v>51</v>
      </c>
      <c r="N20" s="731">
        <v>51</v>
      </c>
      <c r="O20" s="731"/>
      <c r="P20" s="731">
        <f t="shared" si="11"/>
        <v>0</v>
      </c>
      <c r="Q20" s="731">
        <f t="shared" si="12"/>
        <v>0</v>
      </c>
      <c r="R20" s="731"/>
      <c r="S20" s="731"/>
      <c r="T20" s="731">
        <f t="shared" si="3"/>
        <v>0</v>
      </c>
      <c r="U20" s="731"/>
      <c r="V20" s="731"/>
      <c r="W20" s="732">
        <f t="shared" si="13"/>
        <v>0.34</v>
      </c>
      <c r="X20" s="733"/>
      <c r="Y20" s="732">
        <f t="shared" si="14"/>
        <v>0.34</v>
      </c>
    </row>
    <row r="21" spans="1:26" ht="31.2">
      <c r="A21" s="452">
        <v>8</v>
      </c>
      <c r="B21" s="649" t="s">
        <v>2320</v>
      </c>
      <c r="C21" s="319">
        <f t="shared" si="4"/>
        <v>302</v>
      </c>
      <c r="D21" s="329"/>
      <c r="E21" s="329">
        <v>302</v>
      </c>
      <c r="F21" s="731">
        <f t="shared" si="5"/>
        <v>293.32844</v>
      </c>
      <c r="G21" s="731">
        <f t="shared" si="6"/>
        <v>0</v>
      </c>
      <c r="H21" s="731">
        <f t="shared" si="7"/>
        <v>293.32844</v>
      </c>
      <c r="I21" s="731"/>
      <c r="J21" s="731"/>
      <c r="K21" s="731"/>
      <c r="L21" s="731"/>
      <c r="M21" s="731">
        <f t="shared" si="10"/>
        <v>293.32844</v>
      </c>
      <c r="N21" s="731">
        <v>293.32844</v>
      </c>
      <c r="O21" s="731"/>
      <c r="P21" s="731"/>
      <c r="Q21" s="731"/>
      <c r="R21" s="731"/>
      <c r="S21" s="731"/>
      <c r="T21" s="731">
        <f t="shared" si="3"/>
        <v>0</v>
      </c>
      <c r="U21" s="731"/>
      <c r="V21" s="731"/>
      <c r="W21" s="732">
        <f t="shared" si="13"/>
        <v>0.97128622516556296</v>
      </c>
      <c r="X21" s="733"/>
      <c r="Y21" s="732">
        <f t="shared" si="14"/>
        <v>0.97128622516556296</v>
      </c>
    </row>
    <row r="22" spans="1:26">
      <c r="A22" s="452">
        <v>9</v>
      </c>
      <c r="B22" s="649" t="s">
        <v>2321</v>
      </c>
      <c r="C22" s="319">
        <f t="shared" si="4"/>
        <v>310</v>
      </c>
      <c r="D22" s="329"/>
      <c r="E22" s="329">
        <v>310</v>
      </c>
      <c r="F22" s="731">
        <f t="shared" si="5"/>
        <v>302.64499999999998</v>
      </c>
      <c r="G22" s="731">
        <f t="shared" si="6"/>
        <v>0</v>
      </c>
      <c r="H22" s="731">
        <f t="shared" si="7"/>
        <v>302.64499999999998</v>
      </c>
      <c r="I22" s="731"/>
      <c r="J22" s="731"/>
      <c r="K22" s="731"/>
      <c r="L22" s="731"/>
      <c r="M22" s="731">
        <f t="shared" si="10"/>
        <v>302.64499999999998</v>
      </c>
      <c r="N22" s="731">
        <v>302.64499999999998</v>
      </c>
      <c r="O22" s="731"/>
      <c r="P22" s="731"/>
      <c r="Q22" s="731"/>
      <c r="R22" s="731"/>
      <c r="S22" s="731"/>
      <c r="T22" s="731">
        <f t="shared" si="3"/>
        <v>0</v>
      </c>
      <c r="U22" s="731"/>
      <c r="V22" s="731"/>
      <c r="W22" s="732">
        <f t="shared" si="13"/>
        <v>0.97627419354838707</v>
      </c>
      <c r="X22" s="733"/>
      <c r="Y22" s="732">
        <f t="shared" si="14"/>
        <v>0.97627419354838707</v>
      </c>
    </row>
    <row r="23" spans="1:26" ht="31.2">
      <c r="A23" s="452">
        <v>10</v>
      </c>
      <c r="B23" s="649" t="s">
        <v>1878</v>
      </c>
      <c r="C23" s="319">
        <f t="shared" si="4"/>
        <v>104</v>
      </c>
      <c r="D23" s="329"/>
      <c r="E23" s="329">
        <v>104</v>
      </c>
      <c r="F23" s="731">
        <f t="shared" si="5"/>
        <v>104</v>
      </c>
      <c r="G23" s="731">
        <f t="shared" si="6"/>
        <v>0</v>
      </c>
      <c r="H23" s="731">
        <f t="shared" si="7"/>
        <v>104</v>
      </c>
      <c r="I23" s="731"/>
      <c r="J23" s="731"/>
      <c r="K23" s="731"/>
      <c r="L23" s="731"/>
      <c r="M23" s="731">
        <f t="shared" si="10"/>
        <v>0</v>
      </c>
      <c r="N23" s="731"/>
      <c r="O23" s="731"/>
      <c r="P23" s="731"/>
      <c r="Q23" s="731"/>
      <c r="R23" s="731"/>
      <c r="S23" s="731"/>
      <c r="T23" s="731">
        <f t="shared" si="3"/>
        <v>104</v>
      </c>
      <c r="U23" s="731">
        <v>104</v>
      </c>
      <c r="V23" s="731"/>
      <c r="W23" s="732">
        <f t="shared" si="13"/>
        <v>1</v>
      </c>
      <c r="X23" s="733"/>
      <c r="Y23" s="732">
        <f t="shared" si="14"/>
        <v>1</v>
      </c>
    </row>
    <row r="24" spans="1:26">
      <c r="A24" s="452">
        <v>11</v>
      </c>
      <c r="B24" s="649" t="s">
        <v>181</v>
      </c>
      <c r="C24" s="319">
        <f t="shared" si="4"/>
        <v>3596</v>
      </c>
      <c r="D24" s="329"/>
      <c r="E24" s="329">
        <v>3596</v>
      </c>
      <c r="F24" s="731">
        <f t="shared" si="5"/>
        <v>3619</v>
      </c>
      <c r="G24" s="731">
        <f t="shared" si="6"/>
        <v>0</v>
      </c>
      <c r="H24" s="731">
        <f t="shared" si="7"/>
        <v>3619</v>
      </c>
      <c r="I24" s="731"/>
      <c r="J24" s="731"/>
      <c r="K24" s="731"/>
      <c r="L24" s="731"/>
      <c r="M24" s="731">
        <f t="shared" si="10"/>
        <v>0</v>
      </c>
      <c r="N24" s="731"/>
      <c r="O24" s="731"/>
      <c r="P24" s="731"/>
      <c r="Q24" s="731"/>
      <c r="R24" s="731"/>
      <c r="S24" s="731"/>
      <c r="T24" s="731">
        <f t="shared" si="3"/>
        <v>3619</v>
      </c>
      <c r="U24" s="731">
        <v>3619</v>
      </c>
      <c r="V24" s="731"/>
      <c r="W24" s="732">
        <f t="shared" si="13"/>
        <v>1.0063959955506119</v>
      </c>
      <c r="X24" s="733"/>
      <c r="Y24" s="732">
        <f t="shared" si="14"/>
        <v>1.0063959955506119</v>
      </c>
    </row>
    <row r="25" spans="1:26">
      <c r="A25" s="452">
        <v>12</v>
      </c>
      <c r="B25" s="717" t="s">
        <v>614</v>
      </c>
      <c r="C25" s="319">
        <f t="shared" si="4"/>
        <v>5390.4</v>
      </c>
      <c r="D25" s="319">
        <v>5390.4</v>
      </c>
      <c r="E25" s="329"/>
      <c r="F25" s="731">
        <f t="shared" ref="F25:F29" si="15">G25+H25</f>
        <v>5796.0819070000007</v>
      </c>
      <c r="G25" s="731">
        <f t="shared" ref="G25:G29" si="16">J25+Q25</f>
        <v>5796.0819070000007</v>
      </c>
      <c r="H25" s="731">
        <f t="shared" ref="H25:H29" si="17">M25+T25</f>
        <v>0</v>
      </c>
      <c r="I25" s="731">
        <f t="shared" si="8"/>
        <v>0</v>
      </c>
      <c r="J25" s="731">
        <f t="shared" si="9"/>
        <v>0</v>
      </c>
      <c r="K25" s="731"/>
      <c r="L25" s="731"/>
      <c r="M25" s="731">
        <f t="shared" si="10"/>
        <v>0</v>
      </c>
      <c r="N25" s="731"/>
      <c r="O25" s="731"/>
      <c r="P25" s="731">
        <f t="shared" si="11"/>
        <v>5796.0819070000007</v>
      </c>
      <c r="Q25" s="731">
        <f t="shared" si="12"/>
        <v>5796.0819070000007</v>
      </c>
      <c r="R25" s="731">
        <v>5796.0819070000007</v>
      </c>
      <c r="S25" s="731"/>
      <c r="T25" s="731">
        <f t="shared" ref="T25:T40" si="18">U25+V25</f>
        <v>0</v>
      </c>
      <c r="U25" s="731"/>
      <c r="V25" s="731"/>
      <c r="W25" s="732">
        <f t="shared" si="13"/>
        <v>1.0752600747625409</v>
      </c>
      <c r="X25" s="732">
        <f t="shared" ref="X25:X40" si="19">G25/D25</f>
        <v>1.0752600747625409</v>
      </c>
      <c r="Y25" s="732"/>
    </row>
    <row r="26" spans="1:26">
      <c r="A26" s="452">
        <v>13</v>
      </c>
      <c r="B26" s="717" t="s">
        <v>2322</v>
      </c>
      <c r="C26" s="319">
        <f t="shared" si="4"/>
        <v>21177</v>
      </c>
      <c r="D26" s="319">
        <v>21177</v>
      </c>
      <c r="E26" s="329"/>
      <c r="F26" s="731">
        <f t="shared" si="15"/>
        <v>31426.873000000003</v>
      </c>
      <c r="G26" s="731">
        <f t="shared" si="16"/>
        <v>31426.873000000003</v>
      </c>
      <c r="H26" s="731">
        <f t="shared" si="17"/>
        <v>0</v>
      </c>
      <c r="I26" s="731">
        <f t="shared" si="8"/>
        <v>0</v>
      </c>
      <c r="J26" s="731">
        <f t="shared" si="9"/>
        <v>0</v>
      </c>
      <c r="K26" s="731"/>
      <c r="L26" s="731"/>
      <c r="M26" s="731">
        <f t="shared" si="10"/>
        <v>0</v>
      </c>
      <c r="N26" s="731"/>
      <c r="O26" s="731"/>
      <c r="P26" s="731">
        <f t="shared" si="11"/>
        <v>31426.873000000003</v>
      </c>
      <c r="Q26" s="731">
        <f t="shared" si="12"/>
        <v>31426.873000000003</v>
      </c>
      <c r="R26" s="731">
        <v>31426.873000000003</v>
      </c>
      <c r="S26" s="731"/>
      <c r="T26" s="731">
        <f t="shared" si="18"/>
        <v>0</v>
      </c>
      <c r="U26" s="731"/>
      <c r="V26" s="731"/>
      <c r="W26" s="732">
        <f t="shared" si="13"/>
        <v>1.4840096803135479</v>
      </c>
      <c r="X26" s="732">
        <f t="shared" si="19"/>
        <v>1.4840096803135479</v>
      </c>
      <c r="Y26" s="732"/>
    </row>
    <row r="27" spans="1:26">
      <c r="A27" s="452">
        <v>14</v>
      </c>
      <c r="B27" s="717" t="s">
        <v>616</v>
      </c>
      <c r="C27" s="319">
        <f t="shared" si="4"/>
        <v>25694</v>
      </c>
      <c r="D27" s="319">
        <v>25694</v>
      </c>
      <c r="E27" s="329"/>
      <c r="F27" s="731">
        <f t="shared" si="15"/>
        <v>26544.834700000003</v>
      </c>
      <c r="G27" s="731">
        <f t="shared" si="16"/>
        <v>26544.834700000003</v>
      </c>
      <c r="H27" s="731">
        <f t="shared" si="17"/>
        <v>0</v>
      </c>
      <c r="I27" s="731">
        <f t="shared" si="8"/>
        <v>0</v>
      </c>
      <c r="J27" s="731">
        <f t="shared" si="9"/>
        <v>0</v>
      </c>
      <c r="K27" s="731"/>
      <c r="L27" s="731"/>
      <c r="M27" s="731">
        <f t="shared" si="10"/>
        <v>0</v>
      </c>
      <c r="N27" s="731"/>
      <c r="O27" s="731"/>
      <c r="P27" s="731">
        <f t="shared" si="11"/>
        <v>26544.834700000003</v>
      </c>
      <c r="Q27" s="731">
        <f t="shared" si="12"/>
        <v>26544.834700000003</v>
      </c>
      <c r="R27" s="731">
        <v>26544.834700000003</v>
      </c>
      <c r="S27" s="731"/>
      <c r="T27" s="731">
        <f t="shared" si="18"/>
        <v>0</v>
      </c>
      <c r="U27" s="731"/>
      <c r="V27" s="731"/>
      <c r="W27" s="732">
        <f t="shared" si="13"/>
        <v>1.0331141394878183</v>
      </c>
      <c r="X27" s="732">
        <f t="shared" si="19"/>
        <v>1.0331141394878183</v>
      </c>
      <c r="Y27" s="732"/>
    </row>
    <row r="28" spans="1:26">
      <c r="A28" s="452">
        <v>15</v>
      </c>
      <c r="B28" s="717" t="s">
        <v>612</v>
      </c>
      <c r="C28" s="319">
        <f t="shared" si="4"/>
        <v>15520</v>
      </c>
      <c r="D28" s="319">
        <v>15520</v>
      </c>
      <c r="E28" s="329"/>
      <c r="F28" s="731">
        <f t="shared" si="15"/>
        <v>18770.345999999998</v>
      </c>
      <c r="G28" s="731">
        <f t="shared" si="16"/>
        <v>18770.345999999998</v>
      </c>
      <c r="H28" s="731">
        <f t="shared" si="17"/>
        <v>0</v>
      </c>
      <c r="I28" s="731">
        <f t="shared" si="8"/>
        <v>0</v>
      </c>
      <c r="J28" s="731">
        <f t="shared" si="9"/>
        <v>0</v>
      </c>
      <c r="K28" s="731"/>
      <c r="L28" s="731"/>
      <c r="M28" s="731">
        <f t="shared" si="10"/>
        <v>0</v>
      </c>
      <c r="N28" s="731"/>
      <c r="O28" s="731"/>
      <c r="P28" s="731">
        <f t="shared" si="11"/>
        <v>18770.345999999998</v>
      </c>
      <c r="Q28" s="731">
        <f t="shared" si="12"/>
        <v>18770.345999999998</v>
      </c>
      <c r="R28" s="731">
        <v>18770.345999999998</v>
      </c>
      <c r="S28" s="731"/>
      <c r="T28" s="731">
        <f t="shared" si="18"/>
        <v>0</v>
      </c>
      <c r="U28" s="731"/>
      <c r="V28" s="731"/>
      <c r="W28" s="732">
        <f t="shared" si="13"/>
        <v>1.2094295103092783</v>
      </c>
      <c r="X28" s="732">
        <f t="shared" si="19"/>
        <v>1.2094295103092783</v>
      </c>
      <c r="Y28" s="732"/>
    </row>
    <row r="29" spans="1:26">
      <c r="A29" s="452">
        <v>16</v>
      </c>
      <c r="B29" s="717" t="s">
        <v>611</v>
      </c>
      <c r="C29" s="319">
        <f t="shared" si="4"/>
        <v>17351.056</v>
      </c>
      <c r="D29" s="319">
        <v>17351.056</v>
      </c>
      <c r="E29" s="329"/>
      <c r="F29" s="731">
        <f t="shared" si="15"/>
        <v>4334.5619999999999</v>
      </c>
      <c r="G29" s="731">
        <f t="shared" si="16"/>
        <v>4334.5619999999999</v>
      </c>
      <c r="H29" s="731">
        <f t="shared" si="17"/>
        <v>0</v>
      </c>
      <c r="I29" s="731">
        <f t="shared" si="8"/>
        <v>0</v>
      </c>
      <c r="J29" s="731">
        <f t="shared" si="9"/>
        <v>0</v>
      </c>
      <c r="K29" s="731"/>
      <c r="L29" s="731"/>
      <c r="M29" s="731">
        <f t="shared" si="10"/>
        <v>0</v>
      </c>
      <c r="N29" s="731"/>
      <c r="O29" s="731"/>
      <c r="P29" s="731">
        <f t="shared" si="11"/>
        <v>4334.5619999999999</v>
      </c>
      <c r="Q29" s="731">
        <f t="shared" si="12"/>
        <v>4334.5619999999999</v>
      </c>
      <c r="R29" s="731">
        <v>4334.5619999999999</v>
      </c>
      <c r="S29" s="731"/>
      <c r="T29" s="731">
        <f t="shared" si="18"/>
        <v>0</v>
      </c>
      <c r="U29" s="731"/>
      <c r="V29" s="731"/>
      <c r="W29" s="732">
        <f t="shared" si="13"/>
        <v>0.24981545791795035</v>
      </c>
      <c r="X29" s="732">
        <f t="shared" si="19"/>
        <v>0.24981545791795035</v>
      </c>
      <c r="Y29" s="732"/>
    </row>
    <row r="30" spans="1:26" s="714" customFormat="1">
      <c r="A30" s="447" t="s">
        <v>29</v>
      </c>
      <c r="B30" s="448" t="s">
        <v>168</v>
      </c>
      <c r="C30" s="728">
        <f t="shared" ref="C30:V30" si="20">SUM(C31:C40)</f>
        <v>285111.59999999998</v>
      </c>
      <c r="D30" s="728">
        <f t="shared" si="20"/>
        <v>195763.6</v>
      </c>
      <c r="E30" s="728">
        <f>SUM(E31:E40)</f>
        <v>89348</v>
      </c>
      <c r="F30" s="729">
        <f t="shared" si="20"/>
        <v>294938.54164099996</v>
      </c>
      <c r="G30" s="729">
        <f t="shared" si="20"/>
        <v>200311.25730899998</v>
      </c>
      <c r="H30" s="729">
        <f t="shared" si="20"/>
        <v>94627.284331999996</v>
      </c>
      <c r="I30" s="729">
        <f t="shared" si="20"/>
        <v>122192.87364100001</v>
      </c>
      <c r="J30" s="729">
        <f t="shared" si="20"/>
        <v>89600.282309000002</v>
      </c>
      <c r="K30" s="729">
        <f t="shared" si="20"/>
        <v>89600.282309000002</v>
      </c>
      <c r="L30" s="729">
        <f t="shared" si="20"/>
        <v>0</v>
      </c>
      <c r="M30" s="729">
        <f t="shared" si="20"/>
        <v>32592.591331999996</v>
      </c>
      <c r="N30" s="729">
        <f t="shared" si="20"/>
        <v>32592.591331999996</v>
      </c>
      <c r="O30" s="729">
        <f t="shared" si="20"/>
        <v>0</v>
      </c>
      <c r="P30" s="729">
        <f t="shared" si="20"/>
        <v>172745.66799999998</v>
      </c>
      <c r="Q30" s="729">
        <f t="shared" si="20"/>
        <v>110710.97500000001</v>
      </c>
      <c r="R30" s="729">
        <f t="shared" si="20"/>
        <v>110710.97500000001</v>
      </c>
      <c r="S30" s="729">
        <f t="shared" si="20"/>
        <v>0</v>
      </c>
      <c r="T30" s="729">
        <f t="shared" si="20"/>
        <v>62034.692999999999</v>
      </c>
      <c r="U30" s="729">
        <f t="shared" si="20"/>
        <v>62034.692999999999</v>
      </c>
      <c r="V30" s="729">
        <f t="shared" si="20"/>
        <v>0</v>
      </c>
      <c r="W30" s="730">
        <f t="shared" si="13"/>
        <v>1.0344670004342158</v>
      </c>
      <c r="X30" s="730">
        <f t="shared" si="19"/>
        <v>1.0232303518580572</v>
      </c>
      <c r="Y30" s="730">
        <f t="shared" si="14"/>
        <v>1.0590867655907239</v>
      </c>
      <c r="Z30" s="700"/>
    </row>
    <row r="31" spans="1:26">
      <c r="A31" s="452">
        <v>1</v>
      </c>
      <c r="B31" s="307" t="s">
        <v>188</v>
      </c>
      <c r="C31" s="62">
        <f>D31+E31</f>
        <v>11464</v>
      </c>
      <c r="D31" s="319">
        <f>3610+2842</f>
        <v>6452</v>
      </c>
      <c r="E31" s="319">
        <v>5012</v>
      </c>
      <c r="F31" s="731">
        <f>G31+H31</f>
        <v>11950.715</v>
      </c>
      <c r="G31" s="731">
        <f t="shared" ref="G31:G40" si="21">J31+Q31</f>
        <v>6869.4490000000005</v>
      </c>
      <c r="H31" s="731">
        <f>M31+T31</f>
        <v>5081.2660000000005</v>
      </c>
      <c r="I31" s="731">
        <f t="shared" si="8"/>
        <v>7494.5330000000004</v>
      </c>
      <c r="J31" s="731">
        <f t="shared" si="9"/>
        <v>3684.3389999999999</v>
      </c>
      <c r="K31" s="731">
        <f>CTMTQG_CTMT2018!V14+CTMTQG_CTMT2018!V180</f>
        <v>3684.3389999999999</v>
      </c>
      <c r="L31" s="731"/>
      <c r="M31" s="731">
        <f t="shared" si="10"/>
        <v>3810.1940000000004</v>
      </c>
      <c r="N31" s="731">
        <f>CTMTQG_CTMT2018!W180+CTMTQG_CTMT2018!W14</f>
        <v>3810.1940000000004</v>
      </c>
      <c r="O31" s="731"/>
      <c r="P31" s="731">
        <f t="shared" si="11"/>
        <v>4456.1819999999998</v>
      </c>
      <c r="Q31" s="731">
        <f t="shared" ref="Q31:Q40" si="22">R31+S31</f>
        <v>3185.11</v>
      </c>
      <c r="R31" s="731">
        <f>CTMTQG_CTMT2018!V69+CTMTQG_CTMT2018!V80+CTMTQG_CTMT2018!V92+CTMTQG_CTMT2018!V103+CTMTQG_CTMT2018!V116+CTMTQG_CTMT2018!V129+CTMTQG_CTMT2018!V164</f>
        <v>3185.11</v>
      </c>
      <c r="S31" s="731"/>
      <c r="T31" s="731">
        <f t="shared" si="18"/>
        <v>1271.0719999999999</v>
      </c>
      <c r="U31" s="731">
        <f>CTMTQG_CTMT2018!W69+CTMTQG_CTMT2018!W80+CTMTQG_CTMT2018!W92+CTMTQG_CTMT2018!W103+CTMTQG_CTMT2018!W116+CTMTQG_CTMT2018!W129+CTMTQG_CTMT2018!W164</f>
        <v>1271.0719999999999</v>
      </c>
      <c r="V31" s="731"/>
      <c r="W31" s="732">
        <f t="shared" si="13"/>
        <v>1.0424559490579204</v>
      </c>
      <c r="X31" s="732">
        <f t="shared" si="19"/>
        <v>1.0647007129572226</v>
      </c>
      <c r="Y31" s="732">
        <f t="shared" si="14"/>
        <v>1.0138200319233839</v>
      </c>
    </row>
    <row r="32" spans="1:26">
      <c r="A32" s="452">
        <v>2</v>
      </c>
      <c r="B32" s="307" t="s">
        <v>187</v>
      </c>
      <c r="C32" s="62">
        <f>D32+E32</f>
        <v>18668</v>
      </c>
      <c r="D32" s="319">
        <f>7220+6257</f>
        <v>13477</v>
      </c>
      <c r="E32" s="319">
        <v>5191</v>
      </c>
      <c r="F32" s="731">
        <f>G32+H32</f>
        <v>18097.955000000002</v>
      </c>
      <c r="G32" s="731">
        <f t="shared" si="21"/>
        <v>13563.115</v>
      </c>
      <c r="H32" s="731">
        <f t="shared" ref="H32:H40" si="23">M32+T32</f>
        <v>4534.84</v>
      </c>
      <c r="I32" s="731">
        <f t="shared" si="8"/>
        <v>10032.02</v>
      </c>
      <c r="J32" s="731">
        <f t="shared" si="9"/>
        <v>7189.18</v>
      </c>
      <c r="K32" s="731">
        <f>CTMTQG_CTMT2018!V15+CTMTQG_CTMT2018!V181</f>
        <v>7189.18</v>
      </c>
      <c r="L32" s="731"/>
      <c r="M32" s="731">
        <f t="shared" si="10"/>
        <v>2842.84</v>
      </c>
      <c r="N32" s="731">
        <f>CTMTQG_CTMT2018!W181+CTMTQG_CTMT2018!W15</f>
        <v>2842.84</v>
      </c>
      <c r="O32" s="731"/>
      <c r="P32" s="731">
        <f t="shared" si="11"/>
        <v>8065.9349999999995</v>
      </c>
      <c r="Q32" s="731">
        <f t="shared" si="22"/>
        <v>6373.9349999999995</v>
      </c>
      <c r="R32" s="731">
        <f>CTMTQG_CTMT2018!V68+CTMTQG_CTMT2018!V79+CTMTQG_CTMT2018!V91+CTMTQG_CTMT2018!V101+CTMTQG_CTMT2018!V114+CTMTQG_CTMT2018!V127</f>
        <v>6373.9349999999995</v>
      </c>
      <c r="S32" s="731"/>
      <c r="T32" s="731">
        <f t="shared" si="18"/>
        <v>1692</v>
      </c>
      <c r="U32" s="731">
        <f>CTMTQG_CTMT2018!W79+CTMTQG_CTMT2018!W91+CTMTQG_CTMT2018!W101+CTMTQG_CTMT2018!W114+CTMTQG_CTMT2018!W127</f>
        <v>1692</v>
      </c>
      <c r="V32" s="731"/>
      <c r="W32" s="732">
        <f t="shared" si="13"/>
        <v>0.96946405613884734</v>
      </c>
      <c r="X32" s="732">
        <f t="shared" si="19"/>
        <v>1.0063897751725162</v>
      </c>
      <c r="Y32" s="732">
        <f t="shared" si="14"/>
        <v>0.87359660951647089</v>
      </c>
    </row>
    <row r="33" spans="1:25">
      <c r="A33" s="452">
        <v>3</v>
      </c>
      <c r="B33" s="307" t="s">
        <v>189</v>
      </c>
      <c r="C33" s="62">
        <f t="shared" ref="C33:C40" si="24">D33+E33</f>
        <v>16040</v>
      </c>
      <c r="D33" s="319">
        <f>6565+5013</f>
        <v>11578</v>
      </c>
      <c r="E33" s="319">
        <v>4462</v>
      </c>
      <c r="F33" s="731">
        <f t="shared" ref="F33:F40" si="25">G33+H33</f>
        <v>16916.790999999997</v>
      </c>
      <c r="G33" s="731">
        <f t="shared" si="21"/>
        <v>12082.414999999999</v>
      </c>
      <c r="H33" s="731">
        <f t="shared" si="23"/>
        <v>4834.3760000000002</v>
      </c>
      <c r="I33" s="731">
        <f t="shared" si="8"/>
        <v>9633.4259999999995</v>
      </c>
      <c r="J33" s="731">
        <f t="shared" si="9"/>
        <v>6555.4259999999995</v>
      </c>
      <c r="K33" s="731">
        <f>CTMTQG_CTMT2018!V16</f>
        <v>6555.4259999999995</v>
      </c>
      <c r="L33" s="731"/>
      <c r="M33" s="731">
        <f t="shared" si="10"/>
        <v>3078</v>
      </c>
      <c r="N33" s="731">
        <f>CTMTQG_CTMT2018!W16</f>
        <v>3078</v>
      </c>
      <c r="O33" s="731"/>
      <c r="P33" s="731">
        <f t="shared" si="11"/>
        <v>7283.3649999999998</v>
      </c>
      <c r="Q33" s="731">
        <f t="shared" si="22"/>
        <v>5526.9889999999996</v>
      </c>
      <c r="R33" s="731">
        <f>CTMTQG_CTMT2018!V61+CTMTQG_CTMT2018!V72+CTMTQG_CTMT2018!V84+CTMTQG_CTMT2018!V100+CTMTQG_CTMT2018!V113+CTMTQG_CTMT2018!V126</f>
        <v>5526.9889999999996</v>
      </c>
      <c r="S33" s="731"/>
      <c r="T33" s="731">
        <f t="shared" si="18"/>
        <v>1756.3760000000002</v>
      </c>
      <c r="U33" s="731">
        <f>CTMTQG_CTMT2018!W72+CTMTQG_CTMT2018!W84+CTMTQG_CTMT2018!W100+CTMTQG_CTMT2018!W113+CTMTQG_CTMT2018!W126</f>
        <v>1756.3760000000002</v>
      </c>
      <c r="V33" s="731"/>
      <c r="W33" s="732">
        <f t="shared" si="13"/>
        <v>1.0546627805486282</v>
      </c>
      <c r="X33" s="732">
        <f t="shared" si="19"/>
        <v>1.0435666781827604</v>
      </c>
      <c r="Y33" s="732">
        <f t="shared" si="14"/>
        <v>1.0834549529359032</v>
      </c>
    </row>
    <row r="34" spans="1:25">
      <c r="A34" s="452">
        <v>4</v>
      </c>
      <c r="B34" s="307" t="s">
        <v>190</v>
      </c>
      <c r="C34" s="62">
        <f>D34+E34</f>
        <v>16234</v>
      </c>
      <c r="D34" s="319">
        <f>7650+4540</f>
        <v>12190</v>
      </c>
      <c r="E34" s="319">
        <v>4044</v>
      </c>
      <c r="F34" s="731">
        <f t="shared" si="25"/>
        <v>15753.021999999999</v>
      </c>
      <c r="G34" s="731">
        <f t="shared" si="21"/>
        <v>11823.672999999999</v>
      </c>
      <c r="H34" s="731">
        <f t="shared" si="23"/>
        <v>3929.3490000000002</v>
      </c>
      <c r="I34" s="731">
        <f t="shared" si="8"/>
        <v>10376.909</v>
      </c>
      <c r="J34" s="731">
        <f t="shared" si="9"/>
        <v>7650</v>
      </c>
      <c r="K34" s="731">
        <f>CTMTQG_CTMT2018!V17</f>
        <v>7650</v>
      </c>
      <c r="L34" s="731"/>
      <c r="M34" s="731">
        <f t="shared" si="10"/>
        <v>2726.9090000000001</v>
      </c>
      <c r="N34" s="731">
        <f>CTMTQG_CTMT2018!W17</f>
        <v>2726.9090000000001</v>
      </c>
      <c r="O34" s="731"/>
      <c r="P34" s="731">
        <f t="shared" si="11"/>
        <v>5376.1129999999994</v>
      </c>
      <c r="Q34" s="731">
        <f t="shared" si="22"/>
        <v>4173.6729999999998</v>
      </c>
      <c r="R34" s="731">
        <f>CTMTQG_CTMT2018!V65</f>
        <v>4173.6729999999998</v>
      </c>
      <c r="S34" s="731"/>
      <c r="T34" s="731">
        <f t="shared" si="18"/>
        <v>1202.44</v>
      </c>
      <c r="U34" s="731">
        <f>CTMTQG_CTMT2018!W76+CTMTQG_CTMT2018!W88+CTMTQG_CTMT2018!W102+CTMTQG_CTMT2018!W115+CTMTQG_CTMT2018!W128</f>
        <v>1202.44</v>
      </c>
      <c r="V34" s="731"/>
      <c r="W34" s="732">
        <f t="shared" si="13"/>
        <v>0.97037218184058138</v>
      </c>
      <c r="X34" s="732">
        <f t="shared" si="19"/>
        <v>0.96994856439704669</v>
      </c>
      <c r="Y34" s="732">
        <f t="shared" si="14"/>
        <v>0.97164910979228492</v>
      </c>
    </row>
    <row r="35" spans="1:25">
      <c r="A35" s="452">
        <v>5</v>
      </c>
      <c r="B35" s="307" t="s">
        <v>558</v>
      </c>
      <c r="C35" s="62">
        <f t="shared" si="24"/>
        <v>59429.599999999999</v>
      </c>
      <c r="D35" s="319">
        <f>14440+19488.6+10703</f>
        <v>44631.6</v>
      </c>
      <c r="E35" s="319">
        <v>14798</v>
      </c>
      <c r="F35" s="731">
        <f t="shared" si="25"/>
        <v>60950.619999999995</v>
      </c>
      <c r="G35" s="731">
        <f t="shared" si="21"/>
        <v>45711.28</v>
      </c>
      <c r="H35" s="731">
        <f t="shared" si="23"/>
        <v>15239.34</v>
      </c>
      <c r="I35" s="731">
        <f t="shared" si="8"/>
        <v>18908.86</v>
      </c>
      <c r="J35" s="731">
        <f t="shared" si="9"/>
        <v>14462.08</v>
      </c>
      <c r="K35" s="731">
        <f>CTMTQG_CTMT2018!V18</f>
        <v>14462.08</v>
      </c>
      <c r="L35" s="731"/>
      <c r="M35" s="731">
        <f t="shared" si="10"/>
        <v>4446.78</v>
      </c>
      <c r="N35" s="731">
        <f>CTMTQG_CTMT2018!W18</f>
        <v>4446.78</v>
      </c>
      <c r="O35" s="731"/>
      <c r="P35" s="731">
        <f t="shared" si="11"/>
        <v>42041.759999999995</v>
      </c>
      <c r="Q35" s="731">
        <f t="shared" si="22"/>
        <v>31249.199999999997</v>
      </c>
      <c r="R35" s="731">
        <f>CTMTQG_CTMT2018!V39+CTMTQG_CTMT2018!V45+CTMTQG_CTMT2018!V60+CTMTQG_CTMT2018!V71+CTMTQG_CTMT2018!V83+CTMTQG_CTMT2018!V97+CTMTQG_CTMT2018!V109</f>
        <v>31249.199999999997</v>
      </c>
      <c r="S35" s="731"/>
      <c r="T35" s="731">
        <f t="shared" si="18"/>
        <v>10792.56</v>
      </c>
      <c r="U35" s="731">
        <f>CTMTQG_CTMT2018!W45+CTMTQG_CTMT2018!W52+CTMTQG_CTMT2018!W60+CTMTQG_CTMT2018!W71+CTMTQG_CTMT2018!W83+CTMTQG_CTMT2018!W97+CTMTQG_CTMT2018!W109+CTMTQG_CTMT2018!W122+CTMTQG_CTMT2018!W136</f>
        <v>10792.56</v>
      </c>
      <c r="V35" s="731"/>
      <c r="W35" s="732">
        <f t="shared" si="13"/>
        <v>1.0255936435715536</v>
      </c>
      <c r="X35" s="732">
        <f t="shared" si="19"/>
        <v>1.0241909319854094</v>
      </c>
      <c r="Y35" s="732">
        <f t="shared" si="14"/>
        <v>1.0298243005811596</v>
      </c>
    </row>
    <row r="36" spans="1:25">
      <c r="A36" s="452">
        <v>6</v>
      </c>
      <c r="B36" s="307" t="s">
        <v>557</v>
      </c>
      <c r="C36" s="62">
        <f t="shared" si="24"/>
        <v>37191</v>
      </c>
      <c r="D36" s="319">
        <f>11490+5003+7841</f>
        <v>24334</v>
      </c>
      <c r="E36" s="319">
        <v>12857</v>
      </c>
      <c r="F36" s="731">
        <f t="shared" si="25"/>
        <v>37835.273000000001</v>
      </c>
      <c r="G36" s="731">
        <f t="shared" si="21"/>
        <v>24569.73</v>
      </c>
      <c r="H36" s="731">
        <f t="shared" si="23"/>
        <v>13265.543</v>
      </c>
      <c r="I36" s="731">
        <f t="shared" si="8"/>
        <v>14964.976999999999</v>
      </c>
      <c r="J36" s="731">
        <f t="shared" si="9"/>
        <v>11427.121999999999</v>
      </c>
      <c r="K36" s="731">
        <f>CTMTQG_CTMT2018!V19</f>
        <v>11427.121999999999</v>
      </c>
      <c r="L36" s="731"/>
      <c r="M36" s="731">
        <f t="shared" si="10"/>
        <v>3537.855</v>
      </c>
      <c r="N36" s="731">
        <f>CTMTQG_CTMT2018!W19</f>
        <v>3537.855</v>
      </c>
      <c r="O36" s="731"/>
      <c r="P36" s="731">
        <f t="shared" si="11"/>
        <v>22870.296000000002</v>
      </c>
      <c r="Q36" s="731">
        <f t="shared" si="22"/>
        <v>13142.608</v>
      </c>
      <c r="R36" s="731">
        <f>CTMTQG_CTMT2018!V40+CTMTQG_CTMT2018!V46+CTMTQG_CTMT2018!V53+CTMTQG_CTMT2018!V64+CTMTQG_CTMT2018!V75+CTMTQG_CTMT2018!V87+CTMTQG_CTMT2018!V98+CTMTQG_CTMT2018!V110+CTMTQG_CTMT2018!V123</f>
        <v>13142.608</v>
      </c>
      <c r="S36" s="731"/>
      <c r="T36" s="731">
        <f t="shared" si="18"/>
        <v>9727.6880000000001</v>
      </c>
      <c r="U36" s="731">
        <f>CTMTQG_CTMT2018!W46+CTMTQG_CTMT2018!W53+CTMTQG_CTMT2018!W64+CTMTQG_CTMT2018!W75+CTMTQG_CTMT2018!W87+CTMTQG_CTMT2018!W98+CTMTQG_CTMT2018!W110+CTMTQG_CTMT2018!W123+CTMTQG_CTMT2018!W166</f>
        <v>9727.6880000000001</v>
      </c>
      <c r="V36" s="731"/>
      <c r="W36" s="732">
        <f t="shared" si="13"/>
        <v>1.0173233578016188</v>
      </c>
      <c r="X36" s="732">
        <f t="shared" si="19"/>
        <v>1.0096872688419496</v>
      </c>
      <c r="Y36" s="732">
        <f t="shared" si="14"/>
        <v>1.0317759197324414</v>
      </c>
    </row>
    <row r="37" spans="1:25">
      <c r="A37" s="452">
        <v>7</v>
      </c>
      <c r="B37" s="307" t="s">
        <v>191</v>
      </c>
      <c r="C37" s="62">
        <f t="shared" si="24"/>
        <v>10667</v>
      </c>
      <c r="D37" s="319">
        <f>4925+3024</f>
        <v>7949</v>
      </c>
      <c r="E37" s="319">
        <v>2718</v>
      </c>
      <c r="F37" s="731">
        <f t="shared" si="25"/>
        <v>16261.215641000001</v>
      </c>
      <c r="G37" s="731">
        <f t="shared" si="21"/>
        <v>10195.295309000001</v>
      </c>
      <c r="H37" s="731">
        <f t="shared" si="23"/>
        <v>6065.9203319999997</v>
      </c>
      <c r="I37" s="731">
        <f t="shared" si="8"/>
        <v>6417.1786410000004</v>
      </c>
      <c r="J37" s="731">
        <f t="shared" si="9"/>
        <v>4923.7253090000004</v>
      </c>
      <c r="K37" s="731">
        <f>CTMTQG_CTMT2018!V20</f>
        <v>4923.7253090000004</v>
      </c>
      <c r="L37" s="731"/>
      <c r="M37" s="731">
        <f t="shared" si="10"/>
        <v>1493.453332</v>
      </c>
      <c r="N37" s="731">
        <f>CTMTQG_CTMT2018!W20</f>
        <v>1493.453332</v>
      </c>
      <c r="O37" s="731"/>
      <c r="P37" s="731">
        <f t="shared" si="11"/>
        <v>9844.0370000000003</v>
      </c>
      <c r="Q37" s="731">
        <f t="shared" si="22"/>
        <v>5271.57</v>
      </c>
      <c r="R37" s="731">
        <f>CTMTQG_CTMT2018!V67+CTMTQG_CTMT2018!V78+CTMTQG_CTMT2018!V90+CTMTQG_CTMT2018!V112+CTMTQG_CTMT2018!V125+CTMTQG_CTMT2018!V167</f>
        <v>5271.57</v>
      </c>
      <c r="S37" s="731"/>
      <c r="T37" s="731">
        <f t="shared" si="18"/>
        <v>4572.4669999999996</v>
      </c>
      <c r="U37" s="731">
        <f>CTMTQG_CTMT2018!W78+CTMTQG_CTMT2018!W90+CTMTQG_CTMT2018!W112+CTMTQG_CTMT2018!W125+CTMTQG_CTMT2018!W149+CTMTQG_CTMT2018!W167+CTMTQG_CTMT2018!W147</f>
        <v>4572.4669999999996</v>
      </c>
      <c r="V37" s="731"/>
      <c r="W37" s="732">
        <f t="shared" si="13"/>
        <v>1.5244413275522641</v>
      </c>
      <c r="X37" s="732">
        <f t="shared" si="19"/>
        <v>1.2825884147691535</v>
      </c>
      <c r="Y37" s="732">
        <f t="shared" si="14"/>
        <v>2.2317587682119204</v>
      </c>
    </row>
    <row r="38" spans="1:25">
      <c r="A38" s="452">
        <v>8</v>
      </c>
      <c r="B38" s="307" t="s">
        <v>186</v>
      </c>
      <c r="C38" s="62">
        <f t="shared" si="24"/>
        <v>22144</v>
      </c>
      <c r="D38" s="319">
        <f>6890+5525</f>
        <v>12415</v>
      </c>
      <c r="E38" s="319">
        <v>9729</v>
      </c>
      <c r="F38" s="731">
        <f t="shared" si="25"/>
        <v>23306.22</v>
      </c>
      <c r="G38" s="731">
        <f t="shared" si="21"/>
        <v>13194.220000000001</v>
      </c>
      <c r="H38" s="731">
        <f t="shared" si="23"/>
        <v>10112</v>
      </c>
      <c r="I38" s="731">
        <f>J38+M38</f>
        <v>9842.9</v>
      </c>
      <c r="J38" s="731">
        <f t="shared" si="9"/>
        <v>7295.12</v>
      </c>
      <c r="K38" s="731">
        <f>CTMTQG_CTMT2018!V21</f>
        <v>7295.12</v>
      </c>
      <c r="L38" s="731"/>
      <c r="M38" s="731">
        <f t="shared" si="10"/>
        <v>2547.7800000000002</v>
      </c>
      <c r="N38" s="731">
        <f>CTMTQG_CTMT2018!W21</f>
        <v>2547.7800000000002</v>
      </c>
      <c r="O38" s="731"/>
      <c r="P38" s="731">
        <f t="shared" si="11"/>
        <v>13463.32</v>
      </c>
      <c r="Q38" s="731">
        <f t="shared" si="22"/>
        <v>5899.1</v>
      </c>
      <c r="R38" s="731">
        <f>CTMTQG_CTMT2018!V41+CTMTQG_CTMT2018!V47+CTMTQG_CTMT2018!V54+CTMTQG_CTMT2018!V63+CTMTQG_CTMT2018!V74+CTMTQG_CTMT2018!V86+CTMTQG_CTMT2018!V99</f>
        <v>5899.1</v>
      </c>
      <c r="S38" s="731"/>
      <c r="T38" s="731">
        <f t="shared" si="18"/>
        <v>7564.22</v>
      </c>
      <c r="U38" s="731">
        <f>CTMTQG_CTMT2018!W47+CTMTQG_CTMT2018!W54+CTMTQG_CTMT2018!W74+CTMTQG_CTMT2018!W86+CTMTQG_CTMT2018!W99+CTMTQG_CTMT2018!W111+CTMTQG_CTMT2018!W124+CTMTQG_CTMT2018!W137</f>
        <v>7564.22</v>
      </c>
      <c r="V38" s="731"/>
      <c r="W38" s="732">
        <f t="shared" si="13"/>
        <v>1.0524846459537573</v>
      </c>
      <c r="X38" s="732">
        <f t="shared" si="19"/>
        <v>1.0627643979057593</v>
      </c>
      <c r="Y38" s="732">
        <f t="shared" si="14"/>
        <v>1.0393668414019941</v>
      </c>
    </row>
    <row r="39" spans="1:25">
      <c r="A39" s="452">
        <v>9</v>
      </c>
      <c r="B39" s="307" t="s">
        <v>183</v>
      </c>
      <c r="C39" s="62">
        <f t="shared" si="24"/>
        <v>43463</v>
      </c>
      <c r="D39" s="319">
        <f>12470+6912+9292</f>
        <v>28674</v>
      </c>
      <c r="E39" s="319">
        <v>14789</v>
      </c>
      <c r="F39" s="731">
        <f t="shared" si="25"/>
        <v>43752.659999999996</v>
      </c>
      <c r="G39" s="731">
        <f t="shared" si="21"/>
        <v>28490.239999999998</v>
      </c>
      <c r="H39" s="731">
        <f t="shared" si="23"/>
        <v>15262.42</v>
      </c>
      <c r="I39" s="731">
        <f t="shared" si="8"/>
        <v>16254</v>
      </c>
      <c r="J39" s="731">
        <f t="shared" si="9"/>
        <v>12378.75</v>
      </c>
      <c r="K39" s="731">
        <f>CTMTQG_CTMT2018!V22</f>
        <v>12378.75</v>
      </c>
      <c r="L39" s="731"/>
      <c r="M39" s="731">
        <f t="shared" si="10"/>
        <v>3875.25</v>
      </c>
      <c r="N39" s="731">
        <f>CTMTQG_CTMT2018!W22</f>
        <v>3875.25</v>
      </c>
      <c r="O39" s="731"/>
      <c r="P39" s="731">
        <f t="shared" si="11"/>
        <v>27498.66</v>
      </c>
      <c r="Q39" s="731">
        <f t="shared" si="22"/>
        <v>16111.49</v>
      </c>
      <c r="R39" s="731">
        <f>CTMTQG_CTMT2018!V38+CTMTQG_CTMT2018!V62+CTMTQG_CTMT2018!V73+CTMTQG_CTMT2018!V85+CTMTQG_CTMT2018!V108</f>
        <v>16111.49</v>
      </c>
      <c r="S39" s="731"/>
      <c r="T39" s="731">
        <f t="shared" si="18"/>
        <v>11387.17</v>
      </c>
      <c r="U39" s="731">
        <f>CTMTQG_CTMT2018!W44+CTMTQG_CTMT2018!W51+CTMTQG_CTMT2018!W73+CTMTQG_CTMT2018!W85+CTMTQG_CTMT2018!W108+CTMTQG_CTMT2018!W121</f>
        <v>11387.17</v>
      </c>
      <c r="V39" s="731"/>
      <c r="W39" s="732">
        <f t="shared" si="13"/>
        <v>1.0066645192462553</v>
      </c>
      <c r="X39" s="732">
        <f t="shared" si="19"/>
        <v>0.9935914068494105</v>
      </c>
      <c r="Y39" s="732">
        <f t="shared" si="14"/>
        <v>1.0320116302657381</v>
      </c>
    </row>
    <row r="40" spans="1:25">
      <c r="A40" s="452">
        <v>10</v>
      </c>
      <c r="B40" s="307" t="s">
        <v>559</v>
      </c>
      <c r="C40" s="735">
        <f t="shared" si="24"/>
        <v>49811</v>
      </c>
      <c r="D40" s="731">
        <f>14440+8030+11593</f>
        <v>34063</v>
      </c>
      <c r="E40" s="731">
        <v>15748</v>
      </c>
      <c r="F40" s="731">
        <f t="shared" si="25"/>
        <v>50114.069999999992</v>
      </c>
      <c r="G40" s="731">
        <f t="shared" si="21"/>
        <v>33811.839999999997</v>
      </c>
      <c r="H40" s="731">
        <f t="shared" si="23"/>
        <v>16302.23</v>
      </c>
      <c r="I40" s="731">
        <f t="shared" si="8"/>
        <v>18268.07</v>
      </c>
      <c r="J40" s="731">
        <f t="shared" si="9"/>
        <v>14034.54</v>
      </c>
      <c r="K40" s="731">
        <f>CTMTQG_CTMT2018!V23</f>
        <v>14034.54</v>
      </c>
      <c r="L40" s="731"/>
      <c r="M40" s="731">
        <f t="shared" si="10"/>
        <v>4233.53</v>
      </c>
      <c r="N40" s="731">
        <f>CTMTQG_CTMT2018!W23</f>
        <v>4233.53</v>
      </c>
      <c r="O40" s="731"/>
      <c r="P40" s="731">
        <f t="shared" si="11"/>
        <v>31846</v>
      </c>
      <c r="Q40" s="731">
        <f t="shared" si="22"/>
        <v>19777.3</v>
      </c>
      <c r="R40" s="731">
        <f>CTMTQG_CTMT2018!V37+CTMTQG_CTMT2018!V66</f>
        <v>19777.3</v>
      </c>
      <c r="S40" s="731"/>
      <c r="T40" s="731">
        <f t="shared" si="18"/>
        <v>12068.7</v>
      </c>
      <c r="U40" s="731">
        <f>CTMTQG_CTMT2018!W43+CTMTQG_CTMT2018!W50+CTMTQG_CTMT2018!W66+CTMTQG_CTMT2018!W77+CTMTQG_CTMT2018!W89+CTMTQG_CTMT2018!W107+CTMTQG_CTMT2018!W120+CTMTQG_CTMT2018!W143</f>
        <v>12068.7</v>
      </c>
      <c r="V40" s="731"/>
      <c r="W40" s="732">
        <f t="shared" si="13"/>
        <v>1.006084399028327</v>
      </c>
      <c r="X40" s="732">
        <f t="shared" si="19"/>
        <v>0.99262660364618494</v>
      </c>
      <c r="Y40" s="732">
        <f t="shared" si="14"/>
        <v>1.0351936753873507</v>
      </c>
    </row>
    <row r="41" spans="1:25" ht="7.5" customHeight="1">
      <c r="A41" s="736"/>
      <c r="B41" s="737"/>
      <c r="C41" s="736"/>
      <c r="D41" s="736"/>
      <c r="E41" s="736"/>
      <c r="F41" s="736"/>
      <c r="G41" s="736"/>
      <c r="H41" s="736"/>
      <c r="I41" s="736"/>
      <c r="J41" s="736"/>
      <c r="K41" s="736"/>
      <c r="L41" s="736"/>
      <c r="M41" s="736"/>
      <c r="N41" s="736"/>
      <c r="O41" s="736"/>
      <c r="P41" s="736"/>
      <c r="Q41" s="736"/>
      <c r="R41" s="736"/>
      <c r="S41" s="736"/>
      <c r="T41" s="736"/>
      <c r="U41" s="736"/>
      <c r="V41" s="736"/>
      <c r="W41" s="736"/>
      <c r="X41" s="736"/>
      <c r="Y41" s="736"/>
    </row>
    <row r="42" spans="1:25">
      <c r="V42" s="704"/>
    </row>
    <row r="43" spans="1:25">
      <c r="C43" s="704"/>
      <c r="E43" s="704"/>
    </row>
    <row r="45" spans="1:25">
      <c r="C45" s="738"/>
      <c r="D45" s="738"/>
      <c r="E45" s="738"/>
    </row>
    <row r="46" spans="1:25">
      <c r="C46" s="738"/>
      <c r="D46" s="738"/>
      <c r="E46" s="738"/>
    </row>
    <row r="47" spans="1:25">
      <c r="C47" s="738"/>
      <c r="D47" s="738"/>
      <c r="E47" s="738"/>
    </row>
    <row r="48" spans="1:25">
      <c r="C48" s="738"/>
      <c r="D48" s="738"/>
      <c r="E48" s="738"/>
    </row>
    <row r="49" spans="2:10">
      <c r="C49" s="738"/>
      <c r="D49" s="738"/>
      <c r="E49" s="738"/>
      <c r="H49" s="704"/>
    </row>
    <row r="50" spans="2:10">
      <c r="C50" s="738"/>
      <c r="D50" s="738"/>
      <c r="E50" s="738"/>
    </row>
    <row r="51" spans="2:10">
      <c r="C51" s="738"/>
      <c r="D51" s="738"/>
      <c r="E51" s="738"/>
      <c r="F51" s="704"/>
      <c r="G51" s="704"/>
      <c r="H51" s="704"/>
      <c r="I51" s="704"/>
      <c r="J51" s="704"/>
    </row>
    <row r="52" spans="2:10">
      <c r="B52" s="307"/>
      <c r="C52" s="738"/>
      <c r="D52" s="738"/>
      <c r="E52" s="738"/>
      <c r="F52" s="731"/>
      <c r="G52" s="731"/>
      <c r="H52" s="731"/>
      <c r="I52" s="731"/>
      <c r="J52" s="731"/>
    </row>
    <row r="53" spans="2:10">
      <c r="B53" s="307"/>
      <c r="C53" s="738"/>
      <c r="D53" s="738"/>
      <c r="E53" s="738"/>
      <c r="F53" s="731"/>
      <c r="G53" s="731"/>
      <c r="H53" s="731"/>
      <c r="I53" s="731"/>
      <c r="J53" s="731"/>
    </row>
    <row r="54" spans="2:10">
      <c r="B54" s="307"/>
      <c r="C54" s="738"/>
      <c r="D54" s="738"/>
      <c r="E54" s="738"/>
      <c r="F54" s="731"/>
      <c r="G54" s="731"/>
      <c r="H54" s="731"/>
      <c r="I54" s="731"/>
      <c r="J54" s="731"/>
    </row>
    <row r="55" spans="2:10">
      <c r="B55" s="307"/>
      <c r="C55" s="738"/>
      <c r="D55" s="738"/>
      <c r="E55" s="738"/>
      <c r="F55" s="731"/>
      <c r="G55" s="731"/>
      <c r="H55" s="731"/>
      <c r="I55" s="731"/>
      <c r="J55" s="731"/>
    </row>
    <row r="56" spans="2:10">
      <c r="B56" s="307"/>
      <c r="F56" s="731"/>
      <c r="G56" s="731"/>
      <c r="H56" s="731"/>
      <c r="I56" s="731"/>
      <c r="J56" s="731"/>
    </row>
    <row r="57" spans="2:10">
      <c r="B57" s="307"/>
      <c r="F57" s="731"/>
      <c r="G57" s="731"/>
      <c r="H57" s="731"/>
      <c r="I57" s="731"/>
      <c r="J57" s="731"/>
    </row>
    <row r="58" spans="2:10">
      <c r="B58" s="307"/>
      <c r="F58" s="731"/>
      <c r="G58" s="731"/>
      <c r="H58" s="731"/>
      <c r="I58" s="731"/>
      <c r="J58" s="731"/>
    </row>
    <row r="59" spans="2:10">
      <c r="B59" s="307"/>
      <c r="F59" s="731"/>
      <c r="G59" s="731"/>
      <c r="H59" s="731"/>
      <c r="I59" s="731"/>
      <c r="J59" s="731"/>
    </row>
    <row r="60" spans="2:10">
      <c r="B60" s="307"/>
      <c r="F60" s="731"/>
      <c r="G60" s="731"/>
      <c r="H60" s="731"/>
      <c r="I60" s="731"/>
      <c r="J60" s="731"/>
    </row>
    <row r="61" spans="2:10">
      <c r="B61" s="307"/>
      <c r="F61" s="731"/>
      <c r="G61" s="731"/>
      <c r="H61" s="731"/>
      <c r="I61" s="731"/>
      <c r="J61" s="731"/>
    </row>
  </sheetData>
  <mergeCells count="35">
    <mergeCell ref="C6:E6"/>
    <mergeCell ref="F6:V6"/>
    <mergeCell ref="M9:M10"/>
    <mergeCell ref="N9:O9"/>
    <mergeCell ref="Q9:Q10"/>
    <mergeCell ref="R9:S9"/>
    <mergeCell ref="T9:T10"/>
    <mergeCell ref="D7:E7"/>
    <mergeCell ref="I8:I10"/>
    <mergeCell ref="J8:L8"/>
    <mergeCell ref="M8:O8"/>
    <mergeCell ref="P8:P10"/>
    <mergeCell ref="D8:D10"/>
    <mergeCell ref="A3:Y3"/>
    <mergeCell ref="A4:Y4"/>
    <mergeCell ref="U9:V9"/>
    <mergeCell ref="Q8:S8"/>
    <mergeCell ref="T8:V8"/>
    <mergeCell ref="W6:Y6"/>
    <mergeCell ref="C7:C10"/>
    <mergeCell ref="F7:F10"/>
    <mergeCell ref="G7:H7"/>
    <mergeCell ref="I7:O7"/>
    <mergeCell ref="P7:V7"/>
    <mergeCell ref="W7:W10"/>
    <mergeCell ref="X7:Y7"/>
    <mergeCell ref="X8:X10"/>
    <mergeCell ref="A6:A10"/>
    <mergeCell ref="B6:B10"/>
    <mergeCell ref="Y8:Y10"/>
    <mergeCell ref="J9:J10"/>
    <mergeCell ref="K9:L9"/>
    <mergeCell ref="E8:E10"/>
    <mergeCell ref="G8:G10"/>
    <mergeCell ref="H8:H10"/>
  </mergeCells>
  <dataValidations count="2">
    <dataValidation allowBlank="1" showInputMessage="1" showErrorMessage="1" prompt="_x000a_" sqref="D31:E40" xr:uid="{00000000-0002-0000-0900-000000000000}"/>
    <dataValidation allowBlank="1" showInputMessage="1" showErrorMessage="1" prompt="- Thú y 1595,433trđ" sqref="U17" xr:uid="{00000000-0002-0000-0900-000001000000}"/>
  </dataValidations>
  <printOptions horizontalCentered="1"/>
  <pageMargins left="0" right="0" top="0.75" bottom="0.75" header="0.3" footer="0.3"/>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113"/>
  <sheetViews>
    <sheetView workbookViewId="0">
      <selection activeCell="B15" sqref="B15"/>
    </sheetView>
  </sheetViews>
  <sheetFormatPr defaultRowHeight="14.4" outlineLevelCol="1"/>
  <cols>
    <col min="1" max="1" width="5.44140625" customWidth="1"/>
    <col min="2" max="2" width="49.33203125" customWidth="1"/>
    <col min="3" max="3" width="11" bestFit="1" customWidth="1"/>
    <col min="4" max="4" width="11.44140625" customWidth="1"/>
    <col min="7" max="9" width="10" bestFit="1" customWidth="1"/>
    <col min="11" max="12" width="11.6640625" style="103" bestFit="1" customWidth="1"/>
    <col min="13" max="15" width="9.33203125" style="103" bestFit="1" customWidth="1"/>
    <col min="16" max="17" width="9.44140625" style="103" bestFit="1" customWidth="1"/>
    <col min="18" max="18" width="9.33203125" style="103" bestFit="1" customWidth="1"/>
    <col min="19" max="19" width="10" style="103" bestFit="1" customWidth="1"/>
    <col min="20" max="21" width="9.33203125" style="103" customWidth="1" outlineLevel="1"/>
  </cols>
  <sheetData>
    <row r="1" spans="1:36">
      <c r="A1" s="2" t="s">
        <v>202</v>
      </c>
      <c r="V1" s="2" t="s">
        <v>123</v>
      </c>
    </row>
    <row r="2" spans="1:36" ht="15">
      <c r="A2" s="4"/>
    </row>
    <row r="3" spans="1:36" ht="21.75" customHeight="1">
      <c r="A3" s="834" t="s">
        <v>619</v>
      </c>
      <c r="B3" s="834"/>
      <c r="C3" s="834"/>
      <c r="D3" s="834"/>
      <c r="E3" s="834"/>
      <c r="F3" s="834"/>
      <c r="G3" s="834"/>
      <c r="H3" s="834"/>
      <c r="I3" s="834"/>
      <c r="J3" s="834"/>
      <c r="K3" s="834"/>
      <c r="L3" s="834"/>
      <c r="M3" s="834"/>
      <c r="N3" s="834"/>
      <c r="O3" s="834"/>
      <c r="P3" s="834"/>
      <c r="Q3" s="834"/>
      <c r="R3" s="834"/>
      <c r="S3" s="834"/>
      <c r="T3" s="834"/>
      <c r="U3" s="834"/>
      <c r="V3" s="834"/>
      <c r="W3" s="834"/>
      <c r="X3" s="834"/>
    </row>
    <row r="4" spans="1:36">
      <c r="A4" s="835" t="s">
        <v>124</v>
      </c>
      <c r="B4" s="835"/>
      <c r="C4" s="835"/>
      <c r="D4" s="835"/>
      <c r="E4" s="835"/>
      <c r="F4" s="835"/>
      <c r="G4" s="835"/>
      <c r="H4" s="835"/>
      <c r="I4" s="835"/>
      <c r="J4" s="835"/>
      <c r="K4" s="835"/>
      <c r="L4" s="835"/>
      <c r="M4" s="835"/>
      <c r="N4" s="835"/>
      <c r="O4" s="835"/>
      <c r="P4" s="835"/>
      <c r="Q4" s="835"/>
      <c r="R4" s="835"/>
      <c r="S4" s="835"/>
      <c r="T4" s="835"/>
      <c r="U4" s="835"/>
      <c r="V4" s="835"/>
      <c r="W4" s="835"/>
      <c r="X4" s="835"/>
    </row>
    <row r="5" spans="1:36">
      <c r="V5" s="1" t="s">
        <v>1</v>
      </c>
    </row>
    <row r="6" spans="1:36" s="117" customFormat="1" ht="12.75" customHeight="1">
      <c r="A6" s="830" t="s">
        <v>2</v>
      </c>
      <c r="B6" s="830" t="s">
        <v>125</v>
      </c>
      <c r="C6" s="836" t="s">
        <v>39</v>
      </c>
      <c r="D6" s="837"/>
      <c r="E6" s="837"/>
      <c r="F6" s="837"/>
      <c r="G6" s="837"/>
      <c r="H6" s="837"/>
      <c r="I6" s="837"/>
      <c r="J6" s="838"/>
      <c r="K6" s="832" t="s">
        <v>5</v>
      </c>
      <c r="L6" s="839"/>
      <c r="M6" s="839"/>
      <c r="N6" s="839"/>
      <c r="O6" s="839"/>
      <c r="P6" s="839"/>
      <c r="Q6" s="839"/>
      <c r="R6" s="839"/>
      <c r="S6" s="839"/>
      <c r="T6" s="839"/>
      <c r="U6" s="833"/>
      <c r="V6" s="830" t="s">
        <v>6</v>
      </c>
      <c r="W6" s="830"/>
      <c r="X6" s="830"/>
    </row>
    <row r="7" spans="1:36" s="117" customFormat="1" ht="25.5" customHeight="1">
      <c r="A7" s="830"/>
      <c r="B7" s="830"/>
      <c r="C7" s="830" t="s">
        <v>126</v>
      </c>
      <c r="D7" s="830" t="s">
        <v>127</v>
      </c>
      <c r="E7" s="830" t="s">
        <v>129</v>
      </c>
      <c r="F7" s="830" t="s">
        <v>620</v>
      </c>
      <c r="G7" s="830" t="s">
        <v>624</v>
      </c>
      <c r="H7" s="830" t="s">
        <v>132</v>
      </c>
      <c r="I7" s="830"/>
      <c r="J7" s="830"/>
      <c r="K7" s="831" t="s">
        <v>126</v>
      </c>
      <c r="L7" s="831" t="s">
        <v>127</v>
      </c>
      <c r="M7" s="831" t="s">
        <v>129</v>
      </c>
      <c r="N7" s="831" t="s">
        <v>620</v>
      </c>
      <c r="O7" s="831" t="s">
        <v>131</v>
      </c>
      <c r="P7" s="831" t="s">
        <v>132</v>
      </c>
      <c r="Q7" s="831"/>
      <c r="R7" s="831"/>
      <c r="S7" s="831" t="s">
        <v>133</v>
      </c>
      <c r="T7" s="832" t="s">
        <v>162</v>
      </c>
      <c r="U7" s="833"/>
      <c r="V7" s="830" t="s">
        <v>126</v>
      </c>
      <c r="W7" s="830" t="s">
        <v>127</v>
      </c>
      <c r="X7" s="830" t="s">
        <v>128</v>
      </c>
    </row>
    <row r="8" spans="1:36" s="117" customFormat="1" ht="116.25" customHeight="1">
      <c r="A8" s="830"/>
      <c r="B8" s="830"/>
      <c r="C8" s="830"/>
      <c r="D8" s="830"/>
      <c r="E8" s="830"/>
      <c r="F8" s="830"/>
      <c r="G8" s="830"/>
      <c r="H8" s="222" t="s">
        <v>126</v>
      </c>
      <c r="I8" s="222" t="s">
        <v>134</v>
      </c>
      <c r="J8" s="222" t="s">
        <v>135</v>
      </c>
      <c r="K8" s="831"/>
      <c r="L8" s="831"/>
      <c r="M8" s="831"/>
      <c r="N8" s="831"/>
      <c r="O8" s="831"/>
      <c r="P8" s="223" t="s">
        <v>126</v>
      </c>
      <c r="Q8" s="223" t="s">
        <v>134</v>
      </c>
      <c r="R8" s="223" t="s">
        <v>135</v>
      </c>
      <c r="S8" s="831"/>
      <c r="T8" s="223" t="s">
        <v>621</v>
      </c>
      <c r="U8" s="223" t="s">
        <v>622</v>
      </c>
      <c r="V8" s="830"/>
      <c r="W8" s="830"/>
      <c r="X8" s="830"/>
    </row>
    <row r="9" spans="1:36" s="25" customFormat="1">
      <c r="A9" s="110" t="s">
        <v>7</v>
      </c>
      <c r="B9" s="110" t="s">
        <v>8</v>
      </c>
      <c r="C9" s="110">
        <v>1</v>
      </c>
      <c r="D9" s="110">
        <v>2</v>
      </c>
      <c r="E9" s="110">
        <v>3</v>
      </c>
      <c r="F9" s="110">
        <v>7</v>
      </c>
      <c r="G9" s="110">
        <v>8</v>
      </c>
      <c r="H9" s="110">
        <v>9</v>
      </c>
      <c r="I9" s="110">
        <v>10</v>
      </c>
      <c r="J9" s="110">
        <v>11</v>
      </c>
      <c r="K9" s="118">
        <v>12</v>
      </c>
      <c r="L9" s="118">
        <v>13</v>
      </c>
      <c r="M9" s="118">
        <v>14</v>
      </c>
      <c r="N9" s="118">
        <v>15</v>
      </c>
      <c r="O9" s="118">
        <v>16</v>
      </c>
      <c r="P9" s="118">
        <v>17</v>
      </c>
      <c r="Q9" s="118">
        <v>18</v>
      </c>
      <c r="R9" s="118">
        <v>19</v>
      </c>
      <c r="S9" s="118">
        <v>20</v>
      </c>
      <c r="T9" s="118"/>
      <c r="U9" s="118"/>
      <c r="V9" s="110" t="s">
        <v>136</v>
      </c>
      <c r="W9" s="110" t="s">
        <v>137</v>
      </c>
      <c r="X9" s="110">
        <v>15</v>
      </c>
    </row>
    <row r="10" spans="1:36" s="25" customFormat="1">
      <c r="A10" s="111"/>
      <c r="B10" s="111" t="s">
        <v>126</v>
      </c>
      <c r="C10" s="128">
        <f t="shared" ref="C10:U10" si="0">C11+C86+C87+C88+C89+C90+C91</f>
        <v>3695462.3200409999</v>
      </c>
      <c r="D10" s="128">
        <f t="shared" si="0"/>
        <v>1545440.7660409999</v>
      </c>
      <c r="E10" s="128">
        <f t="shared" si="0"/>
        <v>0</v>
      </c>
      <c r="F10" s="128">
        <f t="shared" si="0"/>
        <v>0</v>
      </c>
      <c r="G10" s="128">
        <f t="shared" si="0"/>
        <v>2046284</v>
      </c>
      <c r="H10" s="128">
        <f t="shared" si="0"/>
        <v>103737.554</v>
      </c>
      <c r="I10" s="128">
        <f t="shared" si="0"/>
        <v>103737.554</v>
      </c>
      <c r="J10" s="128">
        <f t="shared" si="0"/>
        <v>0</v>
      </c>
      <c r="K10" s="128">
        <f t="shared" si="0"/>
        <v>1640473.9754170002</v>
      </c>
      <c r="L10" s="128">
        <f t="shared" si="0"/>
        <v>1225863.2810170001</v>
      </c>
      <c r="M10" s="128">
        <f t="shared" si="0"/>
        <v>0</v>
      </c>
      <c r="N10" s="128">
        <f t="shared" si="0"/>
        <v>0</v>
      </c>
      <c r="O10" s="128">
        <f t="shared" si="0"/>
        <v>0</v>
      </c>
      <c r="P10" s="128">
        <f t="shared" si="0"/>
        <v>77291.178</v>
      </c>
      <c r="Q10" s="128">
        <f t="shared" si="0"/>
        <v>77291.178</v>
      </c>
      <c r="R10" s="128">
        <f t="shared" si="0"/>
        <v>0</v>
      </c>
      <c r="S10" s="128">
        <f t="shared" si="0"/>
        <v>337319.51640000002</v>
      </c>
      <c r="T10" s="128">
        <f t="shared" si="0"/>
        <v>337319.51640000002</v>
      </c>
      <c r="U10" s="128">
        <f t="shared" si="0"/>
        <v>0</v>
      </c>
      <c r="V10" s="111"/>
      <c r="W10" s="111"/>
      <c r="X10" s="111"/>
    </row>
    <row r="11" spans="1:36" s="25" customFormat="1">
      <c r="A11" s="137" t="s">
        <v>45</v>
      </c>
      <c r="B11" s="120" t="s">
        <v>138</v>
      </c>
      <c r="C11" s="138">
        <f t="shared" ref="C11:U11" si="1">C12+C75</f>
        <v>1649178.3200410001</v>
      </c>
      <c r="D11" s="138">
        <f t="shared" si="1"/>
        <v>1545440.7660409999</v>
      </c>
      <c r="E11" s="138">
        <f t="shared" si="1"/>
        <v>0</v>
      </c>
      <c r="F11" s="138">
        <f t="shared" si="1"/>
        <v>0</v>
      </c>
      <c r="G11" s="138">
        <f t="shared" si="1"/>
        <v>0</v>
      </c>
      <c r="H11" s="138">
        <f t="shared" si="1"/>
        <v>103737.554</v>
      </c>
      <c r="I11" s="138">
        <f t="shared" si="1"/>
        <v>103737.554</v>
      </c>
      <c r="J11" s="138">
        <f t="shared" si="1"/>
        <v>0</v>
      </c>
      <c r="K11" s="138">
        <f t="shared" si="1"/>
        <v>1640473.9754170002</v>
      </c>
      <c r="L11" s="138">
        <f t="shared" si="1"/>
        <v>1225863.2810170001</v>
      </c>
      <c r="M11" s="138">
        <f t="shared" si="1"/>
        <v>0</v>
      </c>
      <c r="N11" s="138">
        <f t="shared" si="1"/>
        <v>0</v>
      </c>
      <c r="O11" s="138">
        <f t="shared" si="1"/>
        <v>0</v>
      </c>
      <c r="P11" s="138">
        <f t="shared" si="1"/>
        <v>77291.178</v>
      </c>
      <c r="Q11" s="138">
        <f t="shared" si="1"/>
        <v>77291.178</v>
      </c>
      <c r="R11" s="138">
        <f t="shared" si="1"/>
        <v>0</v>
      </c>
      <c r="S11" s="138">
        <f t="shared" si="1"/>
        <v>337319.51640000002</v>
      </c>
      <c r="T11" s="138">
        <f t="shared" si="1"/>
        <v>337319.51640000002</v>
      </c>
      <c r="U11" s="138">
        <f t="shared" si="1"/>
        <v>0</v>
      </c>
      <c r="V11" s="137"/>
      <c r="W11" s="137"/>
      <c r="X11" s="137"/>
    </row>
    <row r="12" spans="1:36" s="25" customFormat="1">
      <c r="A12" s="119" t="s">
        <v>420</v>
      </c>
      <c r="B12" s="120" t="s">
        <v>623</v>
      </c>
      <c r="C12" s="129">
        <f t="shared" ref="C12:U12" si="2">SUM(C13:C73)</f>
        <v>786196.29281600006</v>
      </c>
      <c r="D12" s="129">
        <f t="shared" si="2"/>
        <v>786196.29281600006</v>
      </c>
      <c r="E12" s="129">
        <f t="shared" si="2"/>
        <v>0</v>
      </c>
      <c r="F12" s="129">
        <f t="shared" si="2"/>
        <v>0</v>
      </c>
      <c r="G12" s="129">
        <f t="shared" si="2"/>
        <v>0</v>
      </c>
      <c r="H12" s="129">
        <f t="shared" si="2"/>
        <v>0</v>
      </c>
      <c r="I12" s="129">
        <f t="shared" si="2"/>
        <v>0</v>
      </c>
      <c r="J12" s="129">
        <f t="shared" si="2"/>
        <v>0</v>
      </c>
      <c r="K12" s="129">
        <f t="shared" si="2"/>
        <v>777816.58663200005</v>
      </c>
      <c r="L12" s="129">
        <f t="shared" si="2"/>
        <v>632784.71023199998</v>
      </c>
      <c r="M12" s="129">
        <f t="shared" si="2"/>
        <v>0</v>
      </c>
      <c r="N12" s="129">
        <f t="shared" si="2"/>
        <v>0</v>
      </c>
      <c r="O12" s="129">
        <f t="shared" si="2"/>
        <v>0</v>
      </c>
      <c r="P12" s="129">
        <f t="shared" si="2"/>
        <v>0</v>
      </c>
      <c r="Q12" s="129">
        <f t="shared" si="2"/>
        <v>0</v>
      </c>
      <c r="R12" s="129">
        <f t="shared" si="2"/>
        <v>0</v>
      </c>
      <c r="S12" s="129">
        <f t="shared" si="2"/>
        <v>145031.87640000001</v>
      </c>
      <c r="T12" s="129">
        <f t="shared" si="2"/>
        <v>145031.87640000001</v>
      </c>
      <c r="U12" s="129">
        <f t="shared" si="2"/>
        <v>0</v>
      </c>
      <c r="V12" s="119"/>
      <c r="W12" s="119"/>
      <c r="X12" s="119"/>
    </row>
    <row r="13" spans="1:36" s="112" customFormat="1" ht="19.5" customHeight="1">
      <c r="A13" s="121">
        <v>1</v>
      </c>
      <c r="B13" s="122" t="s">
        <v>1676</v>
      </c>
      <c r="C13" s="131">
        <f>SUM(D13:H13)</f>
        <v>10000</v>
      </c>
      <c r="D13" s="123">
        <v>10000</v>
      </c>
      <c r="E13" s="132"/>
      <c r="F13" s="132"/>
      <c r="G13" s="132"/>
      <c r="H13" s="131">
        <f>I13+J13</f>
        <v>0</v>
      </c>
      <c r="I13" s="132"/>
      <c r="J13" s="132"/>
      <c r="K13" s="131">
        <f>SUM(L13:P13)+S13</f>
        <v>10000.000027</v>
      </c>
      <c r="L13" s="131">
        <v>4460.3517270000002</v>
      </c>
      <c r="M13" s="131"/>
      <c r="N13" s="131"/>
      <c r="O13" s="131"/>
      <c r="P13" s="131">
        <f>Q13+R13</f>
        <v>0</v>
      </c>
      <c r="Q13" s="131"/>
      <c r="R13" s="131"/>
      <c r="S13" s="131">
        <f>T13+U13</f>
        <v>5539.6482999999998</v>
      </c>
      <c r="T13" s="131">
        <v>5539.6482999999998</v>
      </c>
      <c r="U13" s="131"/>
      <c r="V13" s="124"/>
      <c r="W13" s="124"/>
      <c r="X13" s="124"/>
      <c r="Y13" s="25"/>
      <c r="Z13" s="25"/>
      <c r="AA13" s="25"/>
      <c r="AB13" s="25"/>
      <c r="AC13" s="25"/>
      <c r="AD13" s="25"/>
      <c r="AE13" s="25"/>
      <c r="AF13" s="25"/>
      <c r="AG13" s="25"/>
      <c r="AH13" s="25"/>
      <c r="AI13" s="25"/>
      <c r="AJ13" s="25"/>
    </row>
    <row r="14" spans="1:36" s="113" customFormat="1" ht="16.5" customHeight="1">
      <c r="A14" s="121">
        <v>2</v>
      </c>
      <c r="B14" s="122" t="s">
        <v>1677</v>
      </c>
      <c r="C14" s="131">
        <f t="shared" ref="C14:C82" si="3">SUM(D14:H14)</f>
        <v>101261.01121</v>
      </c>
      <c r="D14" s="123">
        <v>101261.01121</v>
      </c>
      <c r="E14" s="132"/>
      <c r="F14" s="132"/>
      <c r="G14" s="132"/>
      <c r="H14" s="131">
        <f t="shared" ref="H14:H82" si="4">I14+J14</f>
        <v>0</v>
      </c>
      <c r="I14" s="132"/>
      <c r="J14" s="132"/>
      <c r="K14" s="131">
        <f t="shared" ref="K14:K81" si="5">SUM(L14:P14)+S14</f>
        <v>99196.927689999997</v>
      </c>
      <c r="L14" s="131">
        <v>96199.356090000001</v>
      </c>
      <c r="M14" s="131"/>
      <c r="N14" s="131"/>
      <c r="O14" s="131"/>
      <c r="P14" s="131">
        <f t="shared" ref="P14:P82" si="6">Q14+R14</f>
        <v>0</v>
      </c>
      <c r="Q14" s="131"/>
      <c r="R14" s="131"/>
      <c r="S14" s="131">
        <f t="shared" ref="S14:S82" si="7">T14+U14</f>
        <v>2997.5716000000002</v>
      </c>
      <c r="T14" s="131">
        <v>2997.5716000000002</v>
      </c>
      <c r="U14" s="131"/>
      <c r="V14" s="124"/>
      <c r="W14" s="124"/>
      <c r="X14" s="124"/>
      <c r="Y14" s="25"/>
      <c r="Z14" s="25"/>
      <c r="AA14" s="25"/>
      <c r="AB14" s="25"/>
      <c r="AC14" s="25"/>
      <c r="AD14" s="25"/>
      <c r="AE14" s="25"/>
      <c r="AF14" s="25"/>
      <c r="AG14" s="25"/>
      <c r="AH14" s="25"/>
      <c r="AI14" s="25"/>
      <c r="AJ14" s="25"/>
    </row>
    <row r="15" spans="1:36" s="114" customFormat="1" ht="19.5" customHeight="1">
      <c r="A15" s="121">
        <v>3</v>
      </c>
      <c r="B15" s="125" t="s">
        <v>1678</v>
      </c>
      <c r="C15" s="131">
        <f>SUM(C16:C17)</f>
        <v>753.96400000000006</v>
      </c>
      <c r="D15" s="131">
        <f t="shared" ref="D15:U15" si="8">SUM(D16:D17)</f>
        <v>753.96400000000006</v>
      </c>
      <c r="E15" s="131">
        <f t="shared" si="8"/>
        <v>0</v>
      </c>
      <c r="F15" s="131">
        <f t="shared" si="8"/>
        <v>0</v>
      </c>
      <c r="G15" s="131">
        <f t="shared" si="8"/>
        <v>0</v>
      </c>
      <c r="H15" s="131">
        <f t="shared" si="8"/>
        <v>0</v>
      </c>
      <c r="I15" s="131">
        <f t="shared" si="8"/>
        <v>0</v>
      </c>
      <c r="J15" s="131">
        <f t="shared" si="8"/>
        <v>0</v>
      </c>
      <c r="K15" s="131">
        <f t="shared" si="8"/>
        <v>753.96399999999994</v>
      </c>
      <c r="L15" s="131">
        <f t="shared" si="8"/>
        <v>258.80099999999999</v>
      </c>
      <c r="M15" s="131">
        <f t="shared" si="8"/>
        <v>0</v>
      </c>
      <c r="N15" s="131">
        <f t="shared" si="8"/>
        <v>0</v>
      </c>
      <c r="O15" s="131">
        <f t="shared" si="8"/>
        <v>0</v>
      </c>
      <c r="P15" s="131">
        <f t="shared" si="8"/>
        <v>0</v>
      </c>
      <c r="Q15" s="131">
        <f t="shared" si="8"/>
        <v>0</v>
      </c>
      <c r="R15" s="131">
        <f t="shared" si="8"/>
        <v>0</v>
      </c>
      <c r="S15" s="131">
        <f t="shared" si="8"/>
        <v>495.16300000000001</v>
      </c>
      <c r="T15" s="131">
        <f t="shared" si="8"/>
        <v>495.16300000000001</v>
      </c>
      <c r="U15" s="131">
        <f t="shared" si="8"/>
        <v>0</v>
      </c>
      <c r="V15" s="124"/>
      <c r="W15" s="124"/>
      <c r="X15" s="124"/>
      <c r="Y15" s="25"/>
      <c r="Z15" s="25"/>
      <c r="AA15" s="25"/>
      <c r="AB15" s="25"/>
      <c r="AC15" s="25"/>
      <c r="AD15" s="25"/>
      <c r="AE15" s="25"/>
      <c r="AF15" s="25"/>
      <c r="AG15" s="25"/>
      <c r="AH15" s="25"/>
      <c r="AI15" s="25"/>
      <c r="AJ15" s="25"/>
    </row>
    <row r="16" spans="1:36" s="146" customFormat="1" ht="19.5" customHeight="1">
      <c r="A16" s="139" t="s">
        <v>12</v>
      </c>
      <c r="B16" s="148" t="s">
        <v>1678</v>
      </c>
      <c r="C16" s="141">
        <f t="shared" ref="C16" si="9">SUM(D16:H16)</f>
        <v>698.95400000000006</v>
      </c>
      <c r="D16" s="142">
        <f>677.913+21.041</f>
        <v>698.95400000000006</v>
      </c>
      <c r="E16" s="143"/>
      <c r="F16" s="143"/>
      <c r="G16" s="143"/>
      <c r="H16" s="141">
        <f t="shared" ref="H16" si="10">I16+J16</f>
        <v>0</v>
      </c>
      <c r="I16" s="143"/>
      <c r="J16" s="143"/>
      <c r="K16" s="141">
        <f t="shared" ref="K16" si="11">SUM(L16:P16)+S16</f>
        <v>698.95399999999995</v>
      </c>
      <c r="L16" s="141">
        <v>248.34399999999999</v>
      </c>
      <c r="M16" s="141"/>
      <c r="N16" s="141"/>
      <c r="O16" s="141"/>
      <c r="P16" s="141">
        <f t="shared" ref="P16" si="12">Q16+R16</f>
        <v>0</v>
      </c>
      <c r="Q16" s="141"/>
      <c r="R16" s="141"/>
      <c r="S16" s="141">
        <f t="shared" ref="S16" si="13">T16+U16</f>
        <v>450.61</v>
      </c>
      <c r="T16" s="141">
        <v>450.61</v>
      </c>
      <c r="U16" s="141"/>
      <c r="V16" s="144"/>
      <c r="W16" s="144"/>
      <c r="X16" s="144"/>
      <c r="Y16" s="145"/>
      <c r="Z16" s="145"/>
      <c r="AA16" s="145"/>
      <c r="AB16" s="145"/>
      <c r="AC16" s="145"/>
      <c r="AD16" s="145"/>
      <c r="AE16" s="145"/>
      <c r="AF16" s="145"/>
      <c r="AG16" s="145"/>
      <c r="AH16" s="145"/>
      <c r="AI16" s="145"/>
      <c r="AJ16" s="145"/>
    </row>
    <row r="17" spans="1:36" s="147" customFormat="1" ht="26.25" customHeight="1">
      <c r="A17" s="139" t="s">
        <v>12</v>
      </c>
      <c r="B17" s="140" t="s">
        <v>608</v>
      </c>
      <c r="C17" s="141">
        <f>SUM(D17:H17)</f>
        <v>55.01</v>
      </c>
      <c r="D17" s="142">
        <v>55.01</v>
      </c>
      <c r="E17" s="143"/>
      <c r="F17" s="143"/>
      <c r="G17" s="143"/>
      <c r="H17" s="141">
        <f>I17+J17</f>
        <v>0</v>
      </c>
      <c r="I17" s="143"/>
      <c r="J17" s="143"/>
      <c r="K17" s="141">
        <f>SUM(L17:P17)+S17</f>
        <v>55.01</v>
      </c>
      <c r="L17" s="141">
        <v>10.457000000000001</v>
      </c>
      <c r="M17" s="141"/>
      <c r="N17" s="141"/>
      <c r="O17" s="141"/>
      <c r="P17" s="141">
        <f>Q17+R17</f>
        <v>0</v>
      </c>
      <c r="Q17" s="141"/>
      <c r="R17" s="141"/>
      <c r="S17" s="141">
        <f>T17+U17</f>
        <v>44.552999999999997</v>
      </c>
      <c r="T17" s="141">
        <v>44.552999999999997</v>
      </c>
      <c r="U17" s="141"/>
      <c r="V17" s="144"/>
      <c r="W17" s="144"/>
      <c r="X17" s="144"/>
      <c r="Y17" s="145"/>
      <c r="Z17" s="145"/>
      <c r="AA17" s="145"/>
      <c r="AB17" s="145"/>
      <c r="AC17" s="145"/>
      <c r="AD17" s="145"/>
      <c r="AE17" s="145"/>
      <c r="AF17" s="145"/>
      <c r="AG17" s="145"/>
      <c r="AH17" s="145"/>
      <c r="AI17" s="145"/>
      <c r="AJ17" s="145"/>
    </row>
    <row r="18" spans="1:36" s="114" customFormat="1" ht="30" customHeight="1">
      <c r="A18" s="121">
        <v>4</v>
      </c>
      <c r="B18" s="122" t="s">
        <v>625</v>
      </c>
      <c r="C18" s="131">
        <f>SUM(C19:C27)</f>
        <v>19416.422999999999</v>
      </c>
      <c r="D18" s="131">
        <f t="shared" ref="D18:U18" si="14">SUM(D19:D27)</f>
        <v>19416.422999999999</v>
      </c>
      <c r="E18" s="131">
        <f t="shared" si="14"/>
        <v>0</v>
      </c>
      <c r="F18" s="131">
        <f t="shared" si="14"/>
        <v>0</v>
      </c>
      <c r="G18" s="131">
        <f t="shared" si="14"/>
        <v>0</v>
      </c>
      <c r="H18" s="131">
        <f t="shared" si="14"/>
        <v>0</v>
      </c>
      <c r="I18" s="131">
        <f t="shared" si="14"/>
        <v>0</v>
      </c>
      <c r="J18" s="131">
        <f t="shared" si="14"/>
        <v>0</v>
      </c>
      <c r="K18" s="131">
        <f t="shared" si="14"/>
        <v>19416.422999999999</v>
      </c>
      <c r="L18" s="131">
        <f t="shared" si="14"/>
        <v>13129.865999999998</v>
      </c>
      <c r="M18" s="131">
        <f t="shared" si="14"/>
        <v>0</v>
      </c>
      <c r="N18" s="131">
        <f t="shared" si="14"/>
        <v>0</v>
      </c>
      <c r="O18" s="131">
        <f t="shared" si="14"/>
        <v>0</v>
      </c>
      <c r="P18" s="131">
        <f t="shared" si="14"/>
        <v>0</v>
      </c>
      <c r="Q18" s="131">
        <f t="shared" si="14"/>
        <v>0</v>
      </c>
      <c r="R18" s="131">
        <f t="shared" si="14"/>
        <v>0</v>
      </c>
      <c r="S18" s="131">
        <f t="shared" si="14"/>
        <v>6286.5570000000007</v>
      </c>
      <c r="T18" s="131">
        <f t="shared" si="14"/>
        <v>6286.5570000000007</v>
      </c>
      <c r="U18" s="131">
        <f t="shared" si="14"/>
        <v>0</v>
      </c>
      <c r="V18" s="124"/>
      <c r="W18" s="124"/>
      <c r="X18" s="124"/>
      <c r="Y18" s="25"/>
      <c r="Z18" s="25"/>
      <c r="AA18" s="25"/>
      <c r="AB18" s="25"/>
      <c r="AC18" s="25"/>
      <c r="AD18" s="25"/>
      <c r="AE18" s="25"/>
      <c r="AF18" s="25"/>
      <c r="AG18" s="25"/>
      <c r="AH18" s="25"/>
      <c r="AI18" s="25"/>
      <c r="AJ18" s="25"/>
    </row>
    <row r="19" spans="1:36" s="146" customFormat="1" ht="30" customHeight="1">
      <c r="A19" s="139" t="s">
        <v>12</v>
      </c>
      <c r="B19" s="140" t="s">
        <v>625</v>
      </c>
      <c r="C19" s="141">
        <f t="shared" ref="C19:C27" si="15">SUM(D19:H19)</f>
        <v>10959.062</v>
      </c>
      <c r="D19" s="142">
        <v>10959.062</v>
      </c>
      <c r="E19" s="143"/>
      <c r="F19" s="143"/>
      <c r="G19" s="143"/>
      <c r="H19" s="141">
        <f t="shared" ref="H19:H27" si="16">I19+J19</f>
        <v>0</v>
      </c>
      <c r="I19" s="143"/>
      <c r="J19" s="143"/>
      <c r="K19" s="141">
        <f t="shared" ref="K19" si="17">SUM(L19:P19)+S19</f>
        <v>10959.062</v>
      </c>
      <c r="L19" s="141">
        <v>8357.4840000000004</v>
      </c>
      <c r="M19" s="141"/>
      <c r="N19" s="141"/>
      <c r="O19" s="141"/>
      <c r="P19" s="141">
        <f t="shared" ref="P19:P27" si="18">Q19+R19</f>
        <v>0</v>
      </c>
      <c r="Q19" s="141"/>
      <c r="R19" s="141"/>
      <c r="S19" s="141">
        <f t="shared" ref="S19:S27" si="19">T19+U19</f>
        <v>2601.578</v>
      </c>
      <c r="T19" s="141">
        <v>2601.578</v>
      </c>
      <c r="U19" s="141"/>
      <c r="V19" s="144"/>
      <c r="W19" s="144"/>
      <c r="X19" s="144"/>
      <c r="Y19" s="145"/>
      <c r="Z19" s="145"/>
      <c r="AA19" s="145"/>
      <c r="AB19" s="145"/>
      <c r="AC19" s="145"/>
      <c r="AD19" s="145"/>
      <c r="AE19" s="145"/>
      <c r="AF19" s="145"/>
      <c r="AG19" s="145"/>
      <c r="AH19" s="145"/>
      <c r="AI19" s="145"/>
      <c r="AJ19" s="145"/>
    </row>
    <row r="20" spans="1:36" s="146" customFormat="1" ht="19.5" customHeight="1">
      <c r="A20" s="139" t="s">
        <v>12</v>
      </c>
      <c r="B20" s="140" t="s">
        <v>571</v>
      </c>
      <c r="C20" s="141">
        <f t="shared" si="15"/>
        <v>5005.0290000000005</v>
      </c>
      <c r="D20" s="142">
        <v>5005.0290000000005</v>
      </c>
      <c r="E20" s="143"/>
      <c r="F20" s="143"/>
      <c r="G20" s="143"/>
      <c r="H20" s="141">
        <f t="shared" si="16"/>
        <v>0</v>
      </c>
      <c r="I20" s="143"/>
      <c r="J20" s="143"/>
      <c r="K20" s="141">
        <f t="shared" ref="K20:K27" si="20">SUM(L20:P20)+S20</f>
        <v>5005.0290000000005</v>
      </c>
      <c r="L20" s="141">
        <v>3025.8020000000001</v>
      </c>
      <c r="M20" s="141"/>
      <c r="N20" s="141"/>
      <c r="O20" s="141"/>
      <c r="P20" s="141">
        <f t="shared" si="18"/>
        <v>0</v>
      </c>
      <c r="Q20" s="141"/>
      <c r="R20" s="141"/>
      <c r="S20" s="141">
        <f t="shared" si="19"/>
        <v>1979.2270000000001</v>
      </c>
      <c r="T20" s="141">
        <v>1979.2270000000001</v>
      </c>
      <c r="U20" s="141"/>
      <c r="V20" s="144"/>
      <c r="W20" s="144"/>
      <c r="X20" s="144"/>
      <c r="Y20" s="145"/>
      <c r="Z20" s="145"/>
      <c r="AA20" s="145"/>
      <c r="AB20" s="145"/>
      <c r="AC20" s="145"/>
      <c r="AD20" s="145"/>
      <c r="AE20" s="145"/>
      <c r="AF20" s="145"/>
      <c r="AG20" s="145"/>
      <c r="AH20" s="145"/>
      <c r="AI20" s="145"/>
      <c r="AJ20" s="145"/>
    </row>
    <row r="21" spans="1:36" s="147" customFormat="1" ht="21" customHeight="1">
      <c r="A21" s="139" t="s">
        <v>12</v>
      </c>
      <c r="B21" s="140" t="s">
        <v>572</v>
      </c>
      <c r="C21" s="141">
        <f t="shared" si="15"/>
        <v>83.846000000000004</v>
      </c>
      <c r="D21" s="142">
        <v>83.846000000000004</v>
      </c>
      <c r="E21" s="143"/>
      <c r="F21" s="143"/>
      <c r="G21" s="143"/>
      <c r="H21" s="141">
        <f t="shared" si="16"/>
        <v>0</v>
      </c>
      <c r="I21" s="143"/>
      <c r="J21" s="143"/>
      <c r="K21" s="141">
        <f t="shared" si="20"/>
        <v>83.846000000000004</v>
      </c>
      <c r="L21" s="141">
        <v>83.846000000000004</v>
      </c>
      <c r="M21" s="141"/>
      <c r="N21" s="141"/>
      <c r="O21" s="141"/>
      <c r="P21" s="141">
        <f t="shared" si="18"/>
        <v>0</v>
      </c>
      <c r="Q21" s="141"/>
      <c r="R21" s="141"/>
      <c r="S21" s="141">
        <f t="shared" si="19"/>
        <v>0</v>
      </c>
      <c r="T21" s="141">
        <v>0</v>
      </c>
      <c r="U21" s="141"/>
      <c r="V21" s="144"/>
      <c r="W21" s="144"/>
      <c r="X21" s="144"/>
      <c r="Y21" s="145"/>
      <c r="Z21" s="145"/>
      <c r="AA21" s="145"/>
      <c r="AB21" s="145"/>
      <c r="AC21" s="145"/>
      <c r="AD21" s="145"/>
      <c r="AE21" s="145"/>
      <c r="AF21" s="145"/>
      <c r="AG21" s="145"/>
      <c r="AH21" s="145"/>
      <c r="AI21" s="145"/>
      <c r="AJ21" s="145"/>
    </row>
    <row r="22" spans="1:36" s="147" customFormat="1" ht="32.25" customHeight="1">
      <c r="A22" s="139" t="s">
        <v>12</v>
      </c>
      <c r="B22" s="140" t="s">
        <v>597</v>
      </c>
      <c r="C22" s="141">
        <f t="shared" si="15"/>
        <v>2709</v>
      </c>
      <c r="D22" s="142">
        <v>2709</v>
      </c>
      <c r="E22" s="143"/>
      <c r="F22" s="143"/>
      <c r="G22" s="143"/>
      <c r="H22" s="141">
        <f t="shared" si="16"/>
        <v>0</v>
      </c>
      <c r="I22" s="143"/>
      <c r="J22" s="143"/>
      <c r="K22" s="141">
        <f t="shared" si="20"/>
        <v>2709</v>
      </c>
      <c r="L22" s="141">
        <v>1050.748</v>
      </c>
      <c r="M22" s="141"/>
      <c r="N22" s="141"/>
      <c r="O22" s="141"/>
      <c r="P22" s="141">
        <f t="shared" si="18"/>
        <v>0</v>
      </c>
      <c r="Q22" s="141"/>
      <c r="R22" s="141"/>
      <c r="S22" s="141">
        <f t="shared" si="19"/>
        <v>1658.252</v>
      </c>
      <c r="T22" s="141">
        <v>1658.252</v>
      </c>
      <c r="U22" s="141"/>
      <c r="V22" s="144"/>
      <c r="W22" s="144"/>
      <c r="X22" s="144"/>
      <c r="Y22" s="145"/>
      <c r="Z22" s="145"/>
      <c r="AA22" s="145"/>
      <c r="AB22" s="145"/>
      <c r="AC22" s="145"/>
      <c r="AD22" s="145"/>
      <c r="AE22" s="145"/>
      <c r="AF22" s="145"/>
      <c r="AG22" s="145"/>
      <c r="AH22" s="145"/>
      <c r="AI22" s="145"/>
      <c r="AJ22" s="145"/>
    </row>
    <row r="23" spans="1:36" s="147" customFormat="1" ht="27.75" customHeight="1">
      <c r="A23" s="139" t="s">
        <v>12</v>
      </c>
      <c r="B23" s="140" t="s">
        <v>584</v>
      </c>
      <c r="C23" s="141">
        <f t="shared" si="15"/>
        <v>141.20400000000001</v>
      </c>
      <c r="D23" s="142">
        <v>141.20400000000001</v>
      </c>
      <c r="E23" s="143"/>
      <c r="F23" s="143"/>
      <c r="G23" s="143"/>
      <c r="H23" s="141">
        <f t="shared" si="16"/>
        <v>0</v>
      </c>
      <c r="I23" s="143"/>
      <c r="J23" s="143"/>
      <c r="K23" s="141">
        <f t="shared" si="20"/>
        <v>141.20400000000001</v>
      </c>
      <c r="L23" s="141">
        <v>141.20400000000001</v>
      </c>
      <c r="M23" s="141"/>
      <c r="N23" s="141"/>
      <c r="O23" s="141"/>
      <c r="P23" s="141">
        <f t="shared" si="18"/>
        <v>0</v>
      </c>
      <c r="Q23" s="141"/>
      <c r="R23" s="141"/>
      <c r="S23" s="141">
        <f t="shared" si="19"/>
        <v>0</v>
      </c>
      <c r="T23" s="141">
        <v>0</v>
      </c>
      <c r="U23" s="141"/>
      <c r="V23" s="144"/>
      <c r="W23" s="144"/>
      <c r="X23" s="144"/>
      <c r="Y23" s="145"/>
      <c r="Z23" s="145"/>
      <c r="AA23" s="145"/>
      <c r="AB23" s="145"/>
      <c r="AC23" s="145"/>
      <c r="AD23" s="145"/>
      <c r="AE23" s="145"/>
      <c r="AF23" s="145"/>
      <c r="AG23" s="145"/>
      <c r="AH23" s="145"/>
      <c r="AI23" s="145"/>
      <c r="AJ23" s="145"/>
    </row>
    <row r="24" spans="1:36" s="147" customFormat="1" ht="28.5" customHeight="1">
      <c r="A24" s="139" t="s">
        <v>12</v>
      </c>
      <c r="B24" s="140" t="s">
        <v>585</v>
      </c>
      <c r="C24" s="141">
        <f t="shared" si="15"/>
        <v>47.5</v>
      </c>
      <c r="D24" s="142">
        <v>47.5</v>
      </c>
      <c r="E24" s="143"/>
      <c r="F24" s="143"/>
      <c r="G24" s="143"/>
      <c r="H24" s="141">
        <f t="shared" si="16"/>
        <v>0</v>
      </c>
      <c r="I24" s="143"/>
      <c r="J24" s="143"/>
      <c r="K24" s="141">
        <f t="shared" si="20"/>
        <v>47.5</v>
      </c>
      <c r="L24" s="141">
        <v>0</v>
      </c>
      <c r="M24" s="141"/>
      <c r="N24" s="141"/>
      <c r="O24" s="141"/>
      <c r="P24" s="141">
        <f t="shared" si="18"/>
        <v>0</v>
      </c>
      <c r="Q24" s="141"/>
      <c r="R24" s="141"/>
      <c r="S24" s="141">
        <f t="shared" si="19"/>
        <v>47.5</v>
      </c>
      <c r="T24" s="141">
        <v>47.5</v>
      </c>
      <c r="U24" s="141"/>
      <c r="V24" s="144"/>
      <c r="W24" s="144"/>
      <c r="X24" s="144"/>
      <c r="Y24" s="145"/>
      <c r="Z24" s="145"/>
      <c r="AA24" s="145"/>
      <c r="AB24" s="145"/>
      <c r="AC24" s="145"/>
      <c r="AD24" s="145"/>
      <c r="AE24" s="145"/>
      <c r="AF24" s="145"/>
      <c r="AG24" s="145"/>
      <c r="AH24" s="145"/>
      <c r="AI24" s="145"/>
      <c r="AJ24" s="145"/>
    </row>
    <row r="25" spans="1:36" s="147" customFormat="1" ht="28.5" customHeight="1">
      <c r="A25" s="139" t="s">
        <v>12</v>
      </c>
      <c r="B25" s="140" t="s">
        <v>588</v>
      </c>
      <c r="C25" s="141">
        <f t="shared" si="15"/>
        <v>120.89</v>
      </c>
      <c r="D25" s="142">
        <v>120.89</v>
      </c>
      <c r="E25" s="143"/>
      <c r="F25" s="143"/>
      <c r="G25" s="143"/>
      <c r="H25" s="141">
        <f t="shared" si="16"/>
        <v>0</v>
      </c>
      <c r="I25" s="143"/>
      <c r="J25" s="143"/>
      <c r="K25" s="141">
        <f t="shared" si="20"/>
        <v>120.89</v>
      </c>
      <c r="L25" s="141">
        <v>120.89</v>
      </c>
      <c r="M25" s="141"/>
      <c r="N25" s="141"/>
      <c r="O25" s="141"/>
      <c r="P25" s="141">
        <f t="shared" si="18"/>
        <v>0</v>
      </c>
      <c r="Q25" s="141"/>
      <c r="R25" s="141"/>
      <c r="S25" s="141">
        <f t="shared" si="19"/>
        <v>0</v>
      </c>
      <c r="T25" s="141">
        <v>0</v>
      </c>
      <c r="U25" s="141"/>
      <c r="V25" s="144"/>
      <c r="W25" s="144"/>
      <c r="X25" s="144"/>
      <c r="Y25" s="145"/>
      <c r="Z25" s="145"/>
      <c r="AA25" s="145"/>
      <c r="AB25" s="145"/>
      <c r="AC25" s="145"/>
      <c r="AD25" s="145"/>
      <c r="AE25" s="145"/>
      <c r="AF25" s="145"/>
      <c r="AG25" s="145"/>
      <c r="AH25" s="145"/>
      <c r="AI25" s="145"/>
      <c r="AJ25" s="145"/>
    </row>
    <row r="26" spans="1:36" s="147" customFormat="1" ht="30.75" customHeight="1">
      <c r="A26" s="139" t="s">
        <v>12</v>
      </c>
      <c r="B26" s="140" t="s">
        <v>586</v>
      </c>
      <c r="C26" s="141">
        <f t="shared" si="15"/>
        <v>49.939</v>
      </c>
      <c r="D26" s="142">
        <v>49.939</v>
      </c>
      <c r="E26" s="143"/>
      <c r="F26" s="143"/>
      <c r="G26" s="143"/>
      <c r="H26" s="141">
        <f t="shared" si="16"/>
        <v>0</v>
      </c>
      <c r="I26" s="143"/>
      <c r="J26" s="143"/>
      <c r="K26" s="141">
        <f t="shared" si="20"/>
        <v>49.939</v>
      </c>
      <c r="L26" s="141">
        <v>49.939</v>
      </c>
      <c r="M26" s="141"/>
      <c r="N26" s="141"/>
      <c r="O26" s="141"/>
      <c r="P26" s="141">
        <f t="shared" si="18"/>
        <v>0</v>
      </c>
      <c r="Q26" s="141"/>
      <c r="R26" s="141"/>
      <c r="S26" s="141">
        <f t="shared" si="19"/>
        <v>0</v>
      </c>
      <c r="T26" s="141">
        <v>0</v>
      </c>
      <c r="U26" s="141"/>
      <c r="V26" s="144"/>
      <c r="W26" s="144"/>
      <c r="X26" s="144"/>
      <c r="Y26" s="145"/>
      <c r="Z26" s="145"/>
      <c r="AA26" s="145"/>
      <c r="AB26" s="145"/>
      <c r="AC26" s="145"/>
      <c r="AD26" s="145"/>
      <c r="AE26" s="145"/>
      <c r="AF26" s="145"/>
      <c r="AG26" s="145"/>
      <c r="AH26" s="145"/>
      <c r="AI26" s="145"/>
      <c r="AJ26" s="145"/>
    </row>
    <row r="27" spans="1:36" s="147" customFormat="1" ht="18" customHeight="1">
      <c r="A27" s="139" t="s">
        <v>12</v>
      </c>
      <c r="B27" s="140" t="s">
        <v>573</v>
      </c>
      <c r="C27" s="141">
        <f t="shared" si="15"/>
        <v>299.95299999999997</v>
      </c>
      <c r="D27" s="142">
        <v>299.95299999999997</v>
      </c>
      <c r="E27" s="143"/>
      <c r="F27" s="143"/>
      <c r="G27" s="143"/>
      <c r="H27" s="141">
        <f t="shared" si="16"/>
        <v>0</v>
      </c>
      <c r="I27" s="143"/>
      <c r="J27" s="143"/>
      <c r="K27" s="141">
        <f t="shared" si="20"/>
        <v>299.95299999999997</v>
      </c>
      <c r="L27" s="141">
        <v>299.95299999999997</v>
      </c>
      <c r="M27" s="141"/>
      <c r="N27" s="141"/>
      <c r="O27" s="141"/>
      <c r="P27" s="141">
        <f t="shared" si="18"/>
        <v>0</v>
      </c>
      <c r="Q27" s="141"/>
      <c r="R27" s="141"/>
      <c r="S27" s="141">
        <f t="shared" si="19"/>
        <v>0</v>
      </c>
      <c r="T27" s="141">
        <v>0</v>
      </c>
      <c r="U27" s="141"/>
      <c r="V27" s="144"/>
      <c r="W27" s="144"/>
      <c r="X27" s="144"/>
      <c r="Y27" s="145"/>
      <c r="Z27" s="145"/>
      <c r="AA27" s="145"/>
      <c r="AB27" s="145"/>
      <c r="AC27" s="145"/>
      <c r="AD27" s="145"/>
      <c r="AE27" s="145"/>
      <c r="AF27" s="145"/>
      <c r="AG27" s="145"/>
      <c r="AH27" s="145"/>
      <c r="AI27" s="145"/>
      <c r="AJ27" s="145"/>
    </row>
    <row r="28" spans="1:36" s="114" customFormat="1" ht="19.5" customHeight="1">
      <c r="A28" s="121">
        <v>5</v>
      </c>
      <c r="B28" s="122" t="s">
        <v>626</v>
      </c>
      <c r="C28" s="131">
        <f t="shared" si="3"/>
        <v>19950.258999999998</v>
      </c>
      <c r="D28" s="123">
        <v>19950.258999999998</v>
      </c>
      <c r="E28" s="132"/>
      <c r="F28" s="132"/>
      <c r="G28" s="132"/>
      <c r="H28" s="131">
        <f t="shared" si="4"/>
        <v>0</v>
      </c>
      <c r="I28" s="132"/>
      <c r="J28" s="132"/>
      <c r="K28" s="131">
        <f t="shared" si="5"/>
        <v>19950.259000000002</v>
      </c>
      <c r="L28" s="131">
        <v>18688.648000000001</v>
      </c>
      <c r="M28" s="131"/>
      <c r="N28" s="131"/>
      <c r="O28" s="131"/>
      <c r="P28" s="131">
        <f t="shared" si="6"/>
        <v>0</v>
      </c>
      <c r="Q28" s="131"/>
      <c r="R28" s="131"/>
      <c r="S28" s="131">
        <f t="shared" si="7"/>
        <v>1261.6110000000001</v>
      </c>
      <c r="T28" s="131">
        <v>1261.6110000000001</v>
      </c>
      <c r="U28" s="131"/>
      <c r="V28" s="124"/>
      <c r="W28" s="124"/>
      <c r="X28" s="124"/>
      <c r="Y28" s="25"/>
      <c r="Z28" s="25"/>
      <c r="AA28" s="25"/>
      <c r="AB28" s="25"/>
      <c r="AC28" s="25"/>
      <c r="AD28" s="25"/>
      <c r="AE28" s="25"/>
      <c r="AF28" s="25"/>
      <c r="AG28" s="25"/>
      <c r="AH28" s="25"/>
      <c r="AI28" s="25"/>
      <c r="AJ28" s="25"/>
    </row>
    <row r="29" spans="1:36" s="113" customFormat="1" ht="19.5" customHeight="1">
      <c r="A29" s="121">
        <v>6</v>
      </c>
      <c r="B29" s="122" t="s">
        <v>627</v>
      </c>
      <c r="C29" s="131">
        <f t="shared" si="3"/>
        <v>500</v>
      </c>
      <c r="D29" s="123">
        <v>500</v>
      </c>
      <c r="E29" s="132"/>
      <c r="F29" s="132"/>
      <c r="G29" s="132"/>
      <c r="H29" s="131">
        <f t="shared" si="4"/>
        <v>0</v>
      </c>
      <c r="I29" s="132"/>
      <c r="J29" s="132"/>
      <c r="K29" s="131">
        <f t="shared" si="5"/>
        <v>500</v>
      </c>
      <c r="L29" s="131">
        <v>105.116</v>
      </c>
      <c r="M29" s="131"/>
      <c r="N29" s="131"/>
      <c r="O29" s="131"/>
      <c r="P29" s="131">
        <f t="shared" si="6"/>
        <v>0</v>
      </c>
      <c r="Q29" s="131"/>
      <c r="R29" s="131"/>
      <c r="S29" s="131">
        <f t="shared" si="7"/>
        <v>394.88400000000001</v>
      </c>
      <c r="T29" s="131">
        <v>394.88400000000001</v>
      </c>
      <c r="U29" s="131"/>
      <c r="V29" s="124"/>
      <c r="W29" s="124"/>
      <c r="X29" s="124"/>
      <c r="Y29" s="25"/>
      <c r="Z29" s="25"/>
      <c r="AA29" s="25"/>
      <c r="AB29" s="25"/>
      <c r="AC29" s="25"/>
      <c r="AD29" s="25"/>
      <c r="AE29" s="25"/>
      <c r="AF29" s="25"/>
      <c r="AG29" s="25"/>
      <c r="AH29" s="25"/>
      <c r="AI29" s="25"/>
      <c r="AJ29" s="25"/>
    </row>
    <row r="30" spans="1:36" s="113" customFormat="1" ht="21.75" customHeight="1">
      <c r="A30" s="121">
        <v>7</v>
      </c>
      <c r="B30" s="122" t="s">
        <v>628</v>
      </c>
      <c r="C30" s="131">
        <f t="shared" si="3"/>
        <v>7015.991</v>
      </c>
      <c r="D30" s="123">
        <v>7015.991</v>
      </c>
      <c r="E30" s="132"/>
      <c r="F30" s="132"/>
      <c r="G30" s="132"/>
      <c r="H30" s="131">
        <f t="shared" si="4"/>
        <v>0</v>
      </c>
      <c r="I30" s="132"/>
      <c r="J30" s="132"/>
      <c r="K30" s="131">
        <f t="shared" si="5"/>
        <v>7105.9910309999996</v>
      </c>
      <c r="L30" s="131">
        <v>70.802231000000006</v>
      </c>
      <c r="M30" s="131"/>
      <c r="N30" s="131"/>
      <c r="O30" s="131"/>
      <c r="P30" s="131">
        <f t="shared" si="6"/>
        <v>0</v>
      </c>
      <c r="Q30" s="131"/>
      <c r="R30" s="131"/>
      <c r="S30" s="131">
        <f t="shared" si="7"/>
        <v>7035.1887999999999</v>
      </c>
      <c r="T30" s="131">
        <v>7035.1887999999999</v>
      </c>
      <c r="U30" s="131"/>
      <c r="V30" s="124"/>
      <c r="W30" s="124"/>
      <c r="X30" s="124"/>
      <c r="Y30" s="25"/>
      <c r="Z30" s="25"/>
      <c r="AA30" s="25"/>
      <c r="AB30" s="25"/>
      <c r="AC30" s="25"/>
      <c r="AD30" s="25"/>
      <c r="AE30" s="25"/>
      <c r="AF30" s="25"/>
      <c r="AG30" s="25"/>
      <c r="AH30" s="25"/>
      <c r="AI30" s="25"/>
      <c r="AJ30" s="25"/>
    </row>
    <row r="31" spans="1:36" s="114" customFormat="1" ht="35.25" customHeight="1">
      <c r="A31" s="121">
        <v>8</v>
      </c>
      <c r="B31" s="122" t="s">
        <v>629</v>
      </c>
      <c r="C31" s="131">
        <f t="shared" si="3"/>
        <v>930.577</v>
      </c>
      <c r="D31" s="123">
        <v>930.577</v>
      </c>
      <c r="E31" s="132"/>
      <c r="F31" s="132"/>
      <c r="G31" s="132"/>
      <c r="H31" s="131">
        <f t="shared" si="4"/>
        <v>0</v>
      </c>
      <c r="I31" s="132"/>
      <c r="J31" s="132"/>
      <c r="K31" s="131">
        <f t="shared" si="5"/>
        <v>930.577</v>
      </c>
      <c r="L31" s="131">
        <v>930.577</v>
      </c>
      <c r="M31" s="131"/>
      <c r="N31" s="131"/>
      <c r="O31" s="131"/>
      <c r="P31" s="131">
        <f t="shared" si="6"/>
        <v>0</v>
      </c>
      <c r="Q31" s="131"/>
      <c r="R31" s="131"/>
      <c r="S31" s="131">
        <f t="shared" si="7"/>
        <v>0</v>
      </c>
      <c r="T31" s="131">
        <v>0</v>
      </c>
      <c r="U31" s="131"/>
      <c r="V31" s="124"/>
      <c r="W31" s="124"/>
      <c r="X31" s="124"/>
      <c r="Y31" s="25"/>
      <c r="Z31" s="25"/>
      <c r="AA31" s="25"/>
      <c r="AB31" s="25"/>
      <c r="AC31" s="25"/>
      <c r="AD31" s="25"/>
      <c r="AE31" s="25"/>
      <c r="AF31" s="25"/>
      <c r="AG31" s="25"/>
      <c r="AH31" s="25"/>
      <c r="AI31" s="25"/>
      <c r="AJ31" s="25"/>
    </row>
    <row r="32" spans="1:36" s="113" customFormat="1" ht="19.5" customHeight="1">
      <c r="A32" s="121">
        <v>9</v>
      </c>
      <c r="B32" s="122" t="s">
        <v>514</v>
      </c>
      <c r="C32" s="131">
        <f t="shared" si="3"/>
        <v>350</v>
      </c>
      <c r="D32" s="123">
        <v>350</v>
      </c>
      <c r="E32" s="132"/>
      <c r="F32" s="132"/>
      <c r="G32" s="132"/>
      <c r="H32" s="131">
        <f t="shared" si="4"/>
        <v>0</v>
      </c>
      <c r="I32" s="132"/>
      <c r="J32" s="132"/>
      <c r="K32" s="131">
        <f t="shared" si="5"/>
        <v>350.00004000000001</v>
      </c>
      <c r="L32" s="131">
        <v>345.01864</v>
      </c>
      <c r="M32" s="131"/>
      <c r="N32" s="131"/>
      <c r="O32" s="131"/>
      <c r="P32" s="131">
        <f t="shared" si="6"/>
        <v>0</v>
      </c>
      <c r="Q32" s="131"/>
      <c r="R32" s="131"/>
      <c r="S32" s="131">
        <f t="shared" si="7"/>
        <v>4.9813999999999998</v>
      </c>
      <c r="T32" s="131">
        <v>4.9813999999999998</v>
      </c>
      <c r="U32" s="131"/>
      <c r="V32" s="124"/>
      <c r="W32" s="124"/>
      <c r="X32" s="124"/>
      <c r="Y32" s="25"/>
      <c r="Z32" s="25"/>
      <c r="AA32" s="25"/>
      <c r="AB32" s="25"/>
      <c r="AC32" s="25"/>
      <c r="AD32" s="25"/>
      <c r="AE32" s="25"/>
      <c r="AF32" s="25"/>
      <c r="AG32" s="25"/>
      <c r="AH32" s="25"/>
      <c r="AI32" s="25"/>
      <c r="AJ32" s="25"/>
    </row>
    <row r="33" spans="1:36" s="113" customFormat="1" ht="21.75" customHeight="1">
      <c r="A33" s="121">
        <v>10</v>
      </c>
      <c r="B33" s="122" t="s">
        <v>630</v>
      </c>
      <c r="C33" s="131">
        <f t="shared" si="3"/>
        <v>3108.1334000000002</v>
      </c>
      <c r="D33" s="123">
        <v>3108.1334000000002</v>
      </c>
      <c r="E33" s="132"/>
      <c r="F33" s="132"/>
      <c r="G33" s="132"/>
      <c r="H33" s="131">
        <f t="shared" si="4"/>
        <v>0</v>
      </c>
      <c r="I33" s="132"/>
      <c r="J33" s="132"/>
      <c r="K33" s="131">
        <f t="shared" si="5"/>
        <v>3108.1334000000002</v>
      </c>
      <c r="L33" s="131">
        <v>3005.8700000000003</v>
      </c>
      <c r="M33" s="131"/>
      <c r="N33" s="131"/>
      <c r="O33" s="131"/>
      <c r="P33" s="131">
        <f t="shared" si="6"/>
        <v>0</v>
      </c>
      <c r="Q33" s="131"/>
      <c r="R33" s="131"/>
      <c r="S33" s="131">
        <f t="shared" si="7"/>
        <v>102.2634</v>
      </c>
      <c r="T33" s="131">
        <v>102.2634</v>
      </c>
      <c r="U33" s="131"/>
      <c r="V33" s="124"/>
      <c r="W33" s="124"/>
      <c r="X33" s="124"/>
      <c r="Y33" s="25"/>
      <c r="Z33" s="25"/>
      <c r="AA33" s="25"/>
      <c r="AB33" s="25"/>
      <c r="AC33" s="25"/>
      <c r="AD33" s="25"/>
      <c r="AE33" s="25"/>
      <c r="AF33" s="25"/>
      <c r="AG33" s="25"/>
      <c r="AH33" s="25"/>
      <c r="AI33" s="25"/>
      <c r="AJ33" s="25"/>
    </row>
    <row r="34" spans="1:36" s="113" customFormat="1" ht="20.25" customHeight="1">
      <c r="A34" s="121">
        <v>11</v>
      </c>
      <c r="B34" s="122" t="s">
        <v>631</v>
      </c>
      <c r="C34" s="131">
        <f t="shared" si="3"/>
        <v>31707.345000000001</v>
      </c>
      <c r="D34" s="123">
        <v>31707.345000000001</v>
      </c>
      <c r="E34" s="132"/>
      <c r="F34" s="132"/>
      <c r="G34" s="132"/>
      <c r="H34" s="131">
        <f t="shared" si="4"/>
        <v>0</v>
      </c>
      <c r="I34" s="132"/>
      <c r="J34" s="132"/>
      <c r="K34" s="131">
        <f t="shared" si="5"/>
        <v>29827.932801999999</v>
      </c>
      <c r="L34" s="131">
        <v>22894.323801999999</v>
      </c>
      <c r="M34" s="131"/>
      <c r="N34" s="131"/>
      <c r="O34" s="131"/>
      <c r="P34" s="131">
        <f t="shared" si="6"/>
        <v>0</v>
      </c>
      <c r="Q34" s="131"/>
      <c r="R34" s="131"/>
      <c r="S34" s="131">
        <f t="shared" si="7"/>
        <v>6933.6090000000004</v>
      </c>
      <c r="T34" s="131">
        <v>6933.6090000000004</v>
      </c>
      <c r="U34" s="131"/>
      <c r="V34" s="124"/>
      <c r="W34" s="124"/>
      <c r="X34" s="124"/>
      <c r="Y34" s="25"/>
      <c r="Z34" s="25"/>
      <c r="AA34" s="25"/>
      <c r="AB34" s="25"/>
      <c r="AC34" s="25"/>
      <c r="AD34" s="25"/>
      <c r="AE34" s="25"/>
      <c r="AF34" s="25"/>
      <c r="AG34" s="25"/>
      <c r="AH34" s="25"/>
      <c r="AI34" s="25"/>
      <c r="AJ34" s="25"/>
    </row>
    <row r="35" spans="1:36" s="113" customFormat="1" ht="20.25" customHeight="1">
      <c r="A35" s="121">
        <v>12</v>
      </c>
      <c r="B35" s="122" t="s">
        <v>632</v>
      </c>
      <c r="C35" s="131">
        <f t="shared" si="3"/>
        <v>103.381</v>
      </c>
      <c r="D35" s="123">
        <v>103.381</v>
      </c>
      <c r="E35" s="132"/>
      <c r="F35" s="132"/>
      <c r="G35" s="132"/>
      <c r="H35" s="131">
        <f t="shared" si="4"/>
        <v>0</v>
      </c>
      <c r="I35" s="132"/>
      <c r="J35" s="132"/>
      <c r="K35" s="131">
        <f t="shared" si="5"/>
        <v>103.381</v>
      </c>
      <c r="L35" s="131"/>
      <c r="M35" s="131"/>
      <c r="N35" s="131"/>
      <c r="O35" s="131"/>
      <c r="P35" s="131">
        <f t="shared" si="6"/>
        <v>0</v>
      </c>
      <c r="Q35" s="131"/>
      <c r="R35" s="131"/>
      <c r="S35" s="131">
        <f t="shared" si="7"/>
        <v>103.381</v>
      </c>
      <c r="T35" s="131">
        <v>103.381</v>
      </c>
      <c r="U35" s="131"/>
      <c r="V35" s="124"/>
      <c r="W35" s="124"/>
      <c r="X35" s="124"/>
      <c r="Y35" s="25"/>
      <c r="Z35" s="25"/>
      <c r="AA35" s="25"/>
      <c r="AB35" s="25"/>
      <c r="AC35" s="25"/>
      <c r="AD35" s="25"/>
      <c r="AE35" s="25"/>
      <c r="AF35" s="25"/>
      <c r="AG35" s="25"/>
      <c r="AH35" s="25"/>
      <c r="AI35" s="25"/>
      <c r="AJ35" s="25"/>
    </row>
    <row r="36" spans="1:36" s="114" customFormat="1" ht="21" customHeight="1">
      <c r="A36" s="121">
        <v>13</v>
      </c>
      <c r="B36" s="122" t="s">
        <v>569</v>
      </c>
      <c r="C36" s="131">
        <f t="shared" si="3"/>
        <v>19320.156999999999</v>
      </c>
      <c r="D36" s="123">
        <v>19320.156999999999</v>
      </c>
      <c r="E36" s="132"/>
      <c r="F36" s="132"/>
      <c r="G36" s="132"/>
      <c r="H36" s="131">
        <f t="shared" si="4"/>
        <v>0</v>
      </c>
      <c r="I36" s="132"/>
      <c r="J36" s="132"/>
      <c r="K36" s="131">
        <f t="shared" si="5"/>
        <v>19320.157000000003</v>
      </c>
      <c r="L36" s="131">
        <v>18059.707000000002</v>
      </c>
      <c r="M36" s="131"/>
      <c r="N36" s="131"/>
      <c r="O36" s="131"/>
      <c r="P36" s="131">
        <f t="shared" si="6"/>
        <v>0</v>
      </c>
      <c r="Q36" s="131"/>
      <c r="R36" s="131"/>
      <c r="S36" s="131">
        <f t="shared" si="7"/>
        <v>1260.45</v>
      </c>
      <c r="T36" s="131">
        <v>1260.45</v>
      </c>
      <c r="U36" s="131"/>
      <c r="V36" s="124"/>
      <c r="W36" s="124"/>
      <c r="X36" s="124"/>
      <c r="Y36" s="25"/>
      <c r="Z36" s="25"/>
      <c r="AA36" s="25"/>
      <c r="AB36" s="25"/>
      <c r="AC36" s="25"/>
      <c r="AD36" s="25"/>
      <c r="AE36" s="25"/>
      <c r="AF36" s="25"/>
      <c r="AG36" s="25"/>
      <c r="AH36" s="25"/>
      <c r="AI36" s="25"/>
      <c r="AJ36" s="25"/>
    </row>
    <row r="37" spans="1:36" s="114" customFormat="1" ht="19.5" customHeight="1">
      <c r="A37" s="121">
        <v>14</v>
      </c>
      <c r="B37" s="122" t="s">
        <v>570</v>
      </c>
      <c r="C37" s="131">
        <f t="shared" si="3"/>
        <v>5903.93</v>
      </c>
      <c r="D37" s="123">
        <v>5903.93</v>
      </c>
      <c r="E37" s="132"/>
      <c r="F37" s="132"/>
      <c r="G37" s="132"/>
      <c r="H37" s="131">
        <f t="shared" si="4"/>
        <v>0</v>
      </c>
      <c r="I37" s="132"/>
      <c r="J37" s="132"/>
      <c r="K37" s="131">
        <f t="shared" si="5"/>
        <v>5903.93</v>
      </c>
      <c r="L37" s="131">
        <v>5842.6109999999999</v>
      </c>
      <c r="M37" s="131"/>
      <c r="N37" s="131"/>
      <c r="O37" s="131"/>
      <c r="P37" s="131">
        <f t="shared" si="6"/>
        <v>0</v>
      </c>
      <c r="Q37" s="131"/>
      <c r="R37" s="131"/>
      <c r="S37" s="131">
        <f t="shared" si="7"/>
        <v>61.319000000000003</v>
      </c>
      <c r="T37" s="131">
        <v>61.319000000000003</v>
      </c>
      <c r="U37" s="131"/>
      <c r="V37" s="124"/>
      <c r="W37" s="124"/>
      <c r="X37" s="124"/>
      <c r="Y37" s="25"/>
      <c r="Z37" s="25"/>
      <c r="AA37" s="25"/>
      <c r="AB37" s="25"/>
      <c r="AC37" s="25"/>
      <c r="AD37" s="25"/>
      <c r="AE37" s="25"/>
      <c r="AF37" s="25"/>
      <c r="AG37" s="25"/>
      <c r="AH37" s="25"/>
      <c r="AI37" s="25"/>
      <c r="AJ37" s="25"/>
    </row>
    <row r="38" spans="1:36" s="114" customFormat="1" ht="21" customHeight="1">
      <c r="A38" s="121">
        <v>18</v>
      </c>
      <c r="B38" s="122" t="s">
        <v>574</v>
      </c>
      <c r="C38" s="131">
        <f t="shared" si="3"/>
        <v>12119.2</v>
      </c>
      <c r="D38" s="123">
        <v>12119.2</v>
      </c>
      <c r="E38" s="132"/>
      <c r="F38" s="132"/>
      <c r="G38" s="132"/>
      <c r="H38" s="131">
        <f t="shared" si="4"/>
        <v>0</v>
      </c>
      <c r="I38" s="132"/>
      <c r="J38" s="132"/>
      <c r="K38" s="131">
        <f t="shared" si="5"/>
        <v>12119.222032</v>
      </c>
      <c r="L38" s="131">
        <v>5373.0391319999999</v>
      </c>
      <c r="M38" s="131"/>
      <c r="N38" s="131"/>
      <c r="O38" s="131"/>
      <c r="P38" s="131">
        <f t="shared" si="6"/>
        <v>0</v>
      </c>
      <c r="Q38" s="131"/>
      <c r="R38" s="131"/>
      <c r="S38" s="131">
        <f t="shared" si="7"/>
        <v>6746.1828999999998</v>
      </c>
      <c r="T38" s="131">
        <v>6746.1828999999998</v>
      </c>
      <c r="U38" s="131"/>
      <c r="V38" s="124"/>
      <c r="W38" s="124"/>
      <c r="X38" s="124"/>
      <c r="Y38" s="25"/>
      <c r="Z38" s="25"/>
      <c r="AA38" s="25"/>
      <c r="AB38" s="25"/>
      <c r="AC38" s="25"/>
      <c r="AD38" s="25"/>
      <c r="AE38" s="25"/>
      <c r="AF38" s="25"/>
      <c r="AG38" s="25"/>
      <c r="AH38" s="25"/>
      <c r="AI38" s="25"/>
      <c r="AJ38" s="25"/>
    </row>
    <row r="39" spans="1:36" s="113" customFormat="1" ht="16.5" customHeight="1">
      <c r="A39" s="121">
        <v>19</v>
      </c>
      <c r="B39" s="122" t="s">
        <v>575</v>
      </c>
      <c r="C39" s="131">
        <f t="shared" si="3"/>
        <v>880</v>
      </c>
      <c r="D39" s="123">
        <v>880</v>
      </c>
      <c r="E39" s="132"/>
      <c r="F39" s="132"/>
      <c r="G39" s="132"/>
      <c r="H39" s="131">
        <f t="shared" si="4"/>
        <v>0</v>
      </c>
      <c r="I39" s="132"/>
      <c r="J39" s="132"/>
      <c r="K39" s="131">
        <f t="shared" si="5"/>
        <v>880</v>
      </c>
      <c r="L39" s="131">
        <v>879.13300000000004</v>
      </c>
      <c r="M39" s="131"/>
      <c r="N39" s="131"/>
      <c r="O39" s="131"/>
      <c r="P39" s="131">
        <f t="shared" si="6"/>
        <v>0</v>
      </c>
      <c r="Q39" s="131"/>
      <c r="R39" s="131"/>
      <c r="S39" s="131">
        <f t="shared" si="7"/>
        <v>0.86699999999999999</v>
      </c>
      <c r="T39" s="131">
        <v>0.86699999999999999</v>
      </c>
      <c r="U39" s="131"/>
      <c r="V39" s="124"/>
      <c r="W39" s="124"/>
      <c r="X39" s="124"/>
      <c r="Y39" s="25"/>
      <c r="Z39" s="25"/>
      <c r="AA39" s="25"/>
      <c r="AB39" s="25"/>
      <c r="AC39" s="25"/>
      <c r="AD39" s="25"/>
      <c r="AE39" s="25"/>
      <c r="AF39" s="25"/>
      <c r="AG39" s="25"/>
      <c r="AH39" s="25"/>
      <c r="AI39" s="25"/>
      <c r="AJ39" s="25"/>
    </row>
    <row r="40" spans="1:36" s="113" customFormat="1" ht="16.5" customHeight="1">
      <c r="A40" s="121">
        <v>21</v>
      </c>
      <c r="B40" s="122" t="s">
        <v>633</v>
      </c>
      <c r="C40" s="131">
        <f>C41+C42</f>
        <v>3800</v>
      </c>
      <c r="D40" s="131">
        <f t="shared" ref="D40:U40" si="21">D41+D42</f>
        <v>3800</v>
      </c>
      <c r="E40" s="131">
        <f t="shared" si="21"/>
        <v>0</v>
      </c>
      <c r="F40" s="131">
        <f t="shared" si="21"/>
        <v>0</v>
      </c>
      <c r="G40" s="131">
        <f t="shared" si="21"/>
        <v>0</v>
      </c>
      <c r="H40" s="131">
        <f t="shared" si="21"/>
        <v>0</v>
      </c>
      <c r="I40" s="131">
        <f t="shared" si="21"/>
        <v>0</v>
      </c>
      <c r="J40" s="131">
        <f t="shared" si="21"/>
        <v>0</v>
      </c>
      <c r="K40" s="131">
        <f t="shared" si="21"/>
        <v>3800</v>
      </c>
      <c r="L40" s="131">
        <f t="shared" si="21"/>
        <v>3800</v>
      </c>
      <c r="M40" s="131">
        <f t="shared" si="21"/>
        <v>0</v>
      </c>
      <c r="N40" s="131">
        <f t="shared" si="21"/>
        <v>0</v>
      </c>
      <c r="O40" s="131">
        <f t="shared" si="21"/>
        <v>0</v>
      </c>
      <c r="P40" s="131">
        <f t="shared" si="21"/>
        <v>0</v>
      </c>
      <c r="Q40" s="131">
        <f t="shared" si="21"/>
        <v>0</v>
      </c>
      <c r="R40" s="131">
        <f t="shared" si="21"/>
        <v>0</v>
      </c>
      <c r="S40" s="131">
        <f t="shared" si="21"/>
        <v>0</v>
      </c>
      <c r="T40" s="131">
        <f t="shared" si="21"/>
        <v>0</v>
      </c>
      <c r="U40" s="131">
        <f t="shared" si="21"/>
        <v>0</v>
      </c>
      <c r="V40" s="124"/>
      <c r="W40" s="124"/>
      <c r="X40" s="124"/>
      <c r="Y40" s="25"/>
      <c r="Z40" s="25"/>
      <c r="AA40" s="25"/>
      <c r="AB40" s="25"/>
      <c r="AC40" s="25"/>
      <c r="AD40" s="25"/>
      <c r="AE40" s="25"/>
      <c r="AF40" s="25"/>
      <c r="AG40" s="25"/>
      <c r="AH40" s="25"/>
      <c r="AI40" s="25"/>
      <c r="AJ40" s="25"/>
    </row>
    <row r="41" spans="1:36" s="147" customFormat="1" ht="16.5" customHeight="1">
      <c r="A41" s="139" t="s">
        <v>12</v>
      </c>
      <c r="B41" s="140" t="s">
        <v>474</v>
      </c>
      <c r="C41" s="141">
        <f t="shared" ref="C41" si="22">SUM(D41:H41)</f>
        <v>3740</v>
      </c>
      <c r="D41" s="142">
        <v>3740</v>
      </c>
      <c r="E41" s="143"/>
      <c r="F41" s="143"/>
      <c r="G41" s="143"/>
      <c r="H41" s="141">
        <f t="shared" ref="H41" si="23">I41+J41</f>
        <v>0</v>
      </c>
      <c r="I41" s="143"/>
      <c r="J41" s="143"/>
      <c r="K41" s="141">
        <f t="shared" ref="K41" si="24">SUM(L41:P41)+S41</f>
        <v>3740</v>
      </c>
      <c r="L41" s="141">
        <v>3740</v>
      </c>
      <c r="M41" s="141"/>
      <c r="N41" s="141"/>
      <c r="O41" s="141"/>
      <c r="P41" s="141">
        <f t="shared" ref="P41" si="25">Q41+R41</f>
        <v>0</v>
      </c>
      <c r="Q41" s="141"/>
      <c r="R41" s="141"/>
      <c r="S41" s="141">
        <f t="shared" ref="S41" si="26">T41+U41</f>
        <v>0</v>
      </c>
      <c r="T41" s="141">
        <v>0</v>
      </c>
      <c r="U41" s="141"/>
      <c r="V41" s="144"/>
      <c r="W41" s="144"/>
      <c r="X41" s="144"/>
      <c r="Y41" s="145"/>
      <c r="Z41" s="145"/>
      <c r="AA41" s="145"/>
      <c r="AB41" s="145"/>
      <c r="AC41" s="145"/>
      <c r="AD41" s="145"/>
      <c r="AE41" s="145"/>
      <c r="AF41" s="145"/>
      <c r="AG41" s="145"/>
      <c r="AH41" s="145"/>
      <c r="AI41" s="145"/>
      <c r="AJ41" s="145"/>
    </row>
    <row r="42" spans="1:36" s="147" customFormat="1" ht="16.5" customHeight="1">
      <c r="A42" s="139" t="s">
        <v>12</v>
      </c>
      <c r="B42" s="140" t="s">
        <v>576</v>
      </c>
      <c r="C42" s="141">
        <f>SUM(D42:H42)</f>
        <v>60</v>
      </c>
      <c r="D42" s="142">
        <v>60</v>
      </c>
      <c r="E42" s="143"/>
      <c r="F42" s="143"/>
      <c r="G42" s="143"/>
      <c r="H42" s="141">
        <f>I42+J42</f>
        <v>0</v>
      </c>
      <c r="I42" s="143"/>
      <c r="J42" s="143"/>
      <c r="K42" s="141">
        <f>SUM(L42:P42)+S42</f>
        <v>60</v>
      </c>
      <c r="L42" s="141">
        <v>60</v>
      </c>
      <c r="M42" s="141"/>
      <c r="N42" s="141"/>
      <c r="O42" s="141"/>
      <c r="P42" s="141">
        <f>Q42+R42</f>
        <v>0</v>
      </c>
      <c r="Q42" s="141"/>
      <c r="R42" s="141"/>
      <c r="S42" s="141">
        <f>T42+U42</f>
        <v>0</v>
      </c>
      <c r="T42" s="141">
        <v>0</v>
      </c>
      <c r="U42" s="141"/>
      <c r="V42" s="144"/>
      <c r="W42" s="144"/>
      <c r="X42" s="144"/>
      <c r="Y42" s="145"/>
      <c r="Z42" s="145"/>
      <c r="AA42" s="145"/>
      <c r="AB42" s="145"/>
      <c r="AC42" s="145"/>
      <c r="AD42" s="145"/>
      <c r="AE42" s="145"/>
      <c r="AF42" s="145"/>
      <c r="AG42" s="145"/>
      <c r="AH42" s="145"/>
      <c r="AI42" s="145"/>
      <c r="AJ42" s="145"/>
    </row>
    <row r="43" spans="1:36" s="114" customFormat="1" ht="19.5" customHeight="1">
      <c r="A43" s="121">
        <v>22</v>
      </c>
      <c r="B43" s="122" t="s">
        <v>577</v>
      </c>
      <c r="C43" s="131">
        <f t="shared" si="3"/>
        <v>13.307</v>
      </c>
      <c r="D43" s="123">
        <v>13.307</v>
      </c>
      <c r="E43" s="132"/>
      <c r="F43" s="132"/>
      <c r="G43" s="132"/>
      <c r="H43" s="131">
        <f t="shared" si="4"/>
        <v>0</v>
      </c>
      <c r="I43" s="132"/>
      <c r="J43" s="132"/>
      <c r="K43" s="131">
        <f t="shared" si="5"/>
        <v>13.307</v>
      </c>
      <c r="L43" s="131">
        <v>13.307</v>
      </c>
      <c r="M43" s="131"/>
      <c r="N43" s="131"/>
      <c r="O43" s="131"/>
      <c r="P43" s="131">
        <f t="shared" si="6"/>
        <v>0</v>
      </c>
      <c r="Q43" s="131"/>
      <c r="R43" s="131"/>
      <c r="S43" s="131">
        <f t="shared" si="7"/>
        <v>0</v>
      </c>
      <c r="T43" s="131">
        <v>0</v>
      </c>
      <c r="U43" s="131"/>
      <c r="V43" s="124"/>
      <c r="W43" s="124"/>
      <c r="X43" s="124"/>
      <c r="Y43" s="25"/>
      <c r="Z43" s="25"/>
      <c r="AA43" s="25"/>
      <c r="AB43" s="25"/>
      <c r="AC43" s="25"/>
      <c r="AD43" s="25"/>
      <c r="AE43" s="25"/>
      <c r="AF43" s="25"/>
      <c r="AG43" s="25"/>
      <c r="AH43" s="25"/>
      <c r="AI43" s="25"/>
      <c r="AJ43" s="25"/>
    </row>
    <row r="44" spans="1:36" s="113" customFormat="1" ht="20.25" customHeight="1">
      <c r="A44" s="121">
        <v>23</v>
      </c>
      <c r="B44" s="122" t="s">
        <v>578</v>
      </c>
      <c r="C44" s="131">
        <f t="shared" si="3"/>
        <v>27088.799999999999</v>
      </c>
      <c r="D44" s="123">
        <v>27088.799999999999</v>
      </c>
      <c r="E44" s="132"/>
      <c r="F44" s="132"/>
      <c r="G44" s="132"/>
      <c r="H44" s="131">
        <f t="shared" si="4"/>
        <v>0</v>
      </c>
      <c r="I44" s="132"/>
      <c r="J44" s="132"/>
      <c r="K44" s="131">
        <f t="shared" si="5"/>
        <v>27088.799999999999</v>
      </c>
      <c r="L44" s="131">
        <v>27088.799999999999</v>
      </c>
      <c r="M44" s="131"/>
      <c r="N44" s="131"/>
      <c r="O44" s="131"/>
      <c r="P44" s="131">
        <f t="shared" si="6"/>
        <v>0</v>
      </c>
      <c r="Q44" s="131"/>
      <c r="R44" s="131"/>
      <c r="S44" s="131">
        <f t="shared" si="7"/>
        <v>0</v>
      </c>
      <c r="T44" s="131">
        <v>0</v>
      </c>
      <c r="U44" s="131"/>
      <c r="V44" s="124"/>
      <c r="W44" s="124"/>
      <c r="X44" s="124"/>
      <c r="Y44" s="25"/>
      <c r="Z44" s="25"/>
      <c r="AA44" s="25"/>
      <c r="AB44" s="25"/>
      <c r="AC44" s="25"/>
      <c r="AD44" s="25"/>
      <c r="AE44" s="25"/>
      <c r="AF44" s="25"/>
      <c r="AG44" s="25"/>
      <c r="AH44" s="25"/>
      <c r="AI44" s="25"/>
      <c r="AJ44" s="25"/>
    </row>
    <row r="45" spans="1:36" s="114" customFormat="1" ht="20.25" customHeight="1">
      <c r="A45" s="121">
        <v>24</v>
      </c>
      <c r="B45" s="122" t="s">
        <v>579</v>
      </c>
      <c r="C45" s="131">
        <f t="shared" si="3"/>
        <v>295.67899999999997</v>
      </c>
      <c r="D45" s="123">
        <v>295.67899999999997</v>
      </c>
      <c r="E45" s="132"/>
      <c r="F45" s="132"/>
      <c r="G45" s="132"/>
      <c r="H45" s="131">
        <f t="shared" si="4"/>
        <v>0</v>
      </c>
      <c r="I45" s="132"/>
      <c r="J45" s="132"/>
      <c r="K45" s="131">
        <f t="shared" si="5"/>
        <v>295.67899999999997</v>
      </c>
      <c r="L45" s="131">
        <v>0</v>
      </c>
      <c r="M45" s="131"/>
      <c r="N45" s="131"/>
      <c r="O45" s="131"/>
      <c r="P45" s="131">
        <f t="shared" si="6"/>
        <v>0</v>
      </c>
      <c r="Q45" s="131"/>
      <c r="R45" s="131"/>
      <c r="S45" s="131">
        <f t="shared" si="7"/>
        <v>295.67899999999997</v>
      </c>
      <c r="T45" s="131">
        <v>295.67899999999997</v>
      </c>
      <c r="U45" s="131"/>
      <c r="V45" s="124"/>
      <c r="W45" s="124"/>
      <c r="X45" s="124"/>
      <c r="Y45" s="25"/>
      <c r="Z45" s="25"/>
      <c r="AA45" s="25"/>
      <c r="AB45" s="25"/>
      <c r="AC45" s="25"/>
      <c r="AD45" s="25"/>
      <c r="AE45" s="25"/>
      <c r="AF45" s="25"/>
      <c r="AG45" s="25"/>
      <c r="AH45" s="25"/>
      <c r="AI45" s="25"/>
      <c r="AJ45" s="25"/>
    </row>
    <row r="46" spans="1:36" s="114" customFormat="1" ht="30.75" customHeight="1">
      <c r="A46" s="121">
        <v>25</v>
      </c>
      <c r="B46" s="122" t="s">
        <v>580</v>
      </c>
      <c r="C46" s="131">
        <f t="shared" si="3"/>
        <v>900</v>
      </c>
      <c r="D46" s="123">
        <v>900</v>
      </c>
      <c r="E46" s="132"/>
      <c r="F46" s="132"/>
      <c r="G46" s="132"/>
      <c r="H46" s="131">
        <f t="shared" si="4"/>
        <v>0</v>
      </c>
      <c r="I46" s="132"/>
      <c r="J46" s="132"/>
      <c r="K46" s="131">
        <f t="shared" si="5"/>
        <v>900</v>
      </c>
      <c r="L46" s="131">
        <v>900</v>
      </c>
      <c r="M46" s="131"/>
      <c r="N46" s="131"/>
      <c r="O46" s="131"/>
      <c r="P46" s="131">
        <f t="shared" si="6"/>
        <v>0</v>
      </c>
      <c r="Q46" s="131"/>
      <c r="R46" s="131"/>
      <c r="S46" s="131">
        <f t="shared" si="7"/>
        <v>0</v>
      </c>
      <c r="T46" s="131">
        <v>0</v>
      </c>
      <c r="U46" s="131"/>
      <c r="V46" s="124"/>
      <c r="W46" s="124"/>
      <c r="X46" s="124"/>
      <c r="Y46" s="25"/>
      <c r="Z46" s="25"/>
      <c r="AA46" s="25"/>
      <c r="AB46" s="25"/>
      <c r="AC46" s="25"/>
      <c r="AD46" s="25"/>
      <c r="AE46" s="25"/>
      <c r="AF46" s="25"/>
      <c r="AG46" s="25"/>
      <c r="AH46" s="25"/>
      <c r="AI46" s="25"/>
      <c r="AJ46" s="25"/>
    </row>
    <row r="47" spans="1:36" s="113" customFormat="1" ht="20.25" customHeight="1">
      <c r="A47" s="121">
        <v>26</v>
      </c>
      <c r="B47" s="122" t="s">
        <v>477</v>
      </c>
      <c r="C47" s="131">
        <f t="shared" si="3"/>
        <v>43701.682999999997</v>
      </c>
      <c r="D47" s="123">
        <v>43701.682999999997</v>
      </c>
      <c r="E47" s="132"/>
      <c r="F47" s="132"/>
      <c r="G47" s="132"/>
      <c r="H47" s="131">
        <f t="shared" si="4"/>
        <v>0</v>
      </c>
      <c r="I47" s="132"/>
      <c r="J47" s="132"/>
      <c r="K47" s="131">
        <f t="shared" si="5"/>
        <v>43549.387254000001</v>
      </c>
      <c r="L47" s="131">
        <v>22669.094354000001</v>
      </c>
      <c r="M47" s="131"/>
      <c r="N47" s="131"/>
      <c r="O47" s="131"/>
      <c r="P47" s="131">
        <f t="shared" si="6"/>
        <v>0</v>
      </c>
      <c r="Q47" s="131"/>
      <c r="R47" s="131"/>
      <c r="S47" s="131">
        <f t="shared" si="7"/>
        <v>20880.2929</v>
      </c>
      <c r="T47" s="131">
        <v>20880.2929</v>
      </c>
      <c r="U47" s="131"/>
      <c r="V47" s="124"/>
      <c r="W47" s="124"/>
      <c r="X47" s="124"/>
      <c r="Y47" s="25"/>
      <c r="Z47" s="25"/>
      <c r="AA47" s="25"/>
      <c r="AB47" s="25"/>
      <c r="AC47" s="25"/>
      <c r="AD47" s="25"/>
      <c r="AE47" s="25"/>
      <c r="AF47" s="25"/>
      <c r="AG47" s="25"/>
      <c r="AH47" s="25"/>
      <c r="AI47" s="25"/>
      <c r="AJ47" s="25"/>
    </row>
    <row r="48" spans="1:36" s="114" customFormat="1" ht="21.75" customHeight="1">
      <c r="A48" s="121">
        <v>27</v>
      </c>
      <c r="B48" s="122" t="s">
        <v>581</v>
      </c>
      <c r="C48" s="131">
        <f t="shared" si="3"/>
        <v>188177.18898199999</v>
      </c>
      <c r="D48" s="123">
        <v>188177.18898199999</v>
      </c>
      <c r="E48" s="132"/>
      <c r="F48" s="132"/>
      <c r="G48" s="132"/>
      <c r="H48" s="131">
        <f t="shared" si="4"/>
        <v>0</v>
      </c>
      <c r="I48" s="132"/>
      <c r="J48" s="132"/>
      <c r="K48" s="131">
        <f t="shared" si="5"/>
        <v>188177.188972</v>
      </c>
      <c r="L48" s="131">
        <v>128727.333572</v>
      </c>
      <c r="M48" s="131"/>
      <c r="N48" s="131"/>
      <c r="O48" s="131"/>
      <c r="P48" s="131">
        <f t="shared" si="6"/>
        <v>0</v>
      </c>
      <c r="Q48" s="131"/>
      <c r="R48" s="131"/>
      <c r="S48" s="131">
        <f t="shared" si="7"/>
        <v>59449.8554</v>
      </c>
      <c r="T48" s="131">
        <v>59449.8554</v>
      </c>
      <c r="U48" s="131"/>
      <c r="V48" s="124"/>
      <c r="W48" s="124"/>
      <c r="X48" s="124"/>
      <c r="Y48" s="25"/>
      <c r="Z48" s="25"/>
      <c r="AA48" s="25"/>
      <c r="AB48" s="25"/>
      <c r="AC48" s="25"/>
      <c r="AD48" s="25"/>
      <c r="AE48" s="25"/>
      <c r="AF48" s="25"/>
      <c r="AG48" s="25"/>
      <c r="AH48" s="25"/>
      <c r="AI48" s="25"/>
      <c r="AJ48" s="25"/>
    </row>
    <row r="49" spans="1:37" s="114" customFormat="1" ht="21" customHeight="1">
      <c r="A49" s="121">
        <v>28</v>
      </c>
      <c r="B49" s="122" t="s">
        <v>181</v>
      </c>
      <c r="C49" s="131">
        <f t="shared" si="3"/>
        <v>12095.498</v>
      </c>
      <c r="D49" s="123">
        <v>12095.498</v>
      </c>
      <c r="E49" s="132"/>
      <c r="F49" s="132"/>
      <c r="G49" s="132"/>
      <c r="H49" s="131">
        <f t="shared" si="4"/>
        <v>0</v>
      </c>
      <c r="I49" s="132"/>
      <c r="J49" s="132"/>
      <c r="K49" s="131">
        <f t="shared" si="5"/>
        <v>12095.497977000001</v>
      </c>
      <c r="L49" s="131">
        <v>11982.451777</v>
      </c>
      <c r="M49" s="131"/>
      <c r="N49" s="131"/>
      <c r="O49" s="131"/>
      <c r="P49" s="131">
        <f t="shared" si="6"/>
        <v>0</v>
      </c>
      <c r="Q49" s="131"/>
      <c r="R49" s="131"/>
      <c r="S49" s="131">
        <f t="shared" si="7"/>
        <v>113.0462</v>
      </c>
      <c r="T49" s="131">
        <v>113.0462</v>
      </c>
      <c r="U49" s="131"/>
      <c r="V49" s="124"/>
      <c r="W49" s="124"/>
      <c r="X49" s="124"/>
      <c r="Y49" s="25"/>
      <c r="Z49" s="25"/>
      <c r="AA49" s="25"/>
      <c r="AB49" s="25"/>
      <c r="AC49" s="25"/>
      <c r="AD49" s="25"/>
      <c r="AE49" s="25"/>
      <c r="AF49" s="25"/>
      <c r="AG49" s="25"/>
      <c r="AH49" s="25"/>
      <c r="AI49" s="25"/>
      <c r="AJ49" s="25"/>
    </row>
    <row r="50" spans="1:37" s="114" customFormat="1" ht="32.25" customHeight="1">
      <c r="A50" s="121">
        <v>29</v>
      </c>
      <c r="B50" s="122" t="s">
        <v>582</v>
      </c>
      <c r="C50" s="131">
        <f t="shared" si="3"/>
        <v>80753.31</v>
      </c>
      <c r="D50" s="123">
        <v>80753.31</v>
      </c>
      <c r="E50" s="132"/>
      <c r="F50" s="132"/>
      <c r="G50" s="132"/>
      <c r="H50" s="131">
        <f t="shared" si="4"/>
        <v>0</v>
      </c>
      <c r="I50" s="132"/>
      <c r="J50" s="132"/>
      <c r="K50" s="131">
        <f t="shared" si="5"/>
        <v>80753.31</v>
      </c>
      <c r="L50" s="131">
        <v>73102.058999999994</v>
      </c>
      <c r="M50" s="131"/>
      <c r="N50" s="131"/>
      <c r="O50" s="131"/>
      <c r="P50" s="131">
        <f t="shared" si="6"/>
        <v>0</v>
      </c>
      <c r="Q50" s="131"/>
      <c r="R50" s="131"/>
      <c r="S50" s="131">
        <f t="shared" si="7"/>
        <v>7651.2510000000002</v>
      </c>
      <c r="T50" s="131">
        <v>7651.2510000000002</v>
      </c>
      <c r="U50" s="131"/>
      <c r="V50" s="124"/>
      <c r="W50" s="124"/>
      <c r="X50" s="124"/>
      <c r="Y50" s="25"/>
      <c r="Z50" s="25"/>
      <c r="AA50" s="25"/>
      <c r="AB50" s="25"/>
      <c r="AC50" s="25"/>
      <c r="AD50" s="25"/>
      <c r="AE50" s="25"/>
      <c r="AF50" s="25"/>
      <c r="AG50" s="25"/>
      <c r="AH50" s="25"/>
      <c r="AI50" s="25"/>
      <c r="AJ50" s="25"/>
    </row>
    <row r="51" spans="1:37" s="114" customFormat="1" ht="29.25" customHeight="1">
      <c r="A51" s="121">
        <v>30</v>
      </c>
      <c r="B51" s="122" t="s">
        <v>537</v>
      </c>
      <c r="C51" s="131">
        <f t="shared" si="3"/>
        <v>11497.009</v>
      </c>
      <c r="D51" s="123">
        <f>10553.009+944</f>
        <v>11497.009</v>
      </c>
      <c r="E51" s="132"/>
      <c r="F51" s="132"/>
      <c r="G51" s="132"/>
      <c r="H51" s="131">
        <f t="shared" si="4"/>
        <v>0</v>
      </c>
      <c r="I51" s="132"/>
      <c r="J51" s="132"/>
      <c r="K51" s="131">
        <f t="shared" si="5"/>
        <v>11497.009047</v>
      </c>
      <c r="L51" s="131">
        <v>3789.4887469999999</v>
      </c>
      <c r="M51" s="131"/>
      <c r="N51" s="131"/>
      <c r="O51" s="131"/>
      <c r="P51" s="131">
        <f t="shared" si="6"/>
        <v>0</v>
      </c>
      <c r="Q51" s="131"/>
      <c r="R51" s="131"/>
      <c r="S51" s="131">
        <f t="shared" si="7"/>
        <v>7707.5203000000001</v>
      </c>
      <c r="T51" s="131">
        <v>7707.5203000000001</v>
      </c>
      <c r="U51" s="131"/>
      <c r="V51" s="124"/>
      <c r="W51" s="124"/>
      <c r="X51" s="124"/>
      <c r="Y51" s="25"/>
      <c r="Z51" s="25"/>
      <c r="AA51" s="25"/>
      <c r="AB51" s="25"/>
      <c r="AC51" s="25"/>
      <c r="AD51" s="25"/>
      <c r="AE51" s="25"/>
      <c r="AF51" s="25"/>
      <c r="AG51" s="25"/>
      <c r="AH51" s="25"/>
      <c r="AI51" s="25"/>
      <c r="AJ51" s="25"/>
    </row>
    <row r="52" spans="1:37" s="114" customFormat="1" ht="38.25" customHeight="1">
      <c r="A52" s="121">
        <v>31</v>
      </c>
      <c r="B52" s="122" t="s">
        <v>583</v>
      </c>
      <c r="C52" s="131">
        <f t="shared" si="3"/>
        <v>1248</v>
      </c>
      <c r="D52" s="123">
        <v>1248</v>
      </c>
      <c r="E52" s="132"/>
      <c r="F52" s="132"/>
      <c r="G52" s="132"/>
      <c r="H52" s="131">
        <f t="shared" si="4"/>
        <v>0</v>
      </c>
      <c r="I52" s="132"/>
      <c r="J52" s="132"/>
      <c r="K52" s="131">
        <f t="shared" si="5"/>
        <v>1248.0000070000001</v>
      </c>
      <c r="L52" s="131">
        <v>527.75510699999995</v>
      </c>
      <c r="M52" s="131"/>
      <c r="N52" s="131"/>
      <c r="O52" s="131"/>
      <c r="P52" s="131">
        <f t="shared" si="6"/>
        <v>0</v>
      </c>
      <c r="Q52" s="131"/>
      <c r="R52" s="131"/>
      <c r="S52" s="131">
        <f t="shared" si="7"/>
        <v>720.24490000000003</v>
      </c>
      <c r="T52" s="131">
        <v>720.24490000000003</v>
      </c>
      <c r="U52" s="131"/>
      <c r="V52" s="124"/>
      <c r="W52" s="124"/>
      <c r="X52" s="124"/>
      <c r="Y52" s="25"/>
      <c r="Z52" s="25"/>
      <c r="AA52" s="25"/>
      <c r="AB52" s="25"/>
      <c r="AC52" s="25"/>
      <c r="AD52" s="25"/>
      <c r="AE52" s="25"/>
      <c r="AF52" s="25"/>
      <c r="AG52" s="25"/>
      <c r="AH52" s="25"/>
      <c r="AI52" s="25"/>
      <c r="AJ52" s="25"/>
    </row>
    <row r="53" spans="1:37" s="113" customFormat="1" ht="30" customHeight="1">
      <c r="A53" s="121">
        <v>35</v>
      </c>
      <c r="B53" s="122" t="s">
        <v>587</v>
      </c>
      <c r="C53" s="131">
        <f t="shared" si="3"/>
        <v>50</v>
      </c>
      <c r="D53" s="123">
        <v>50</v>
      </c>
      <c r="E53" s="132"/>
      <c r="F53" s="132"/>
      <c r="G53" s="132"/>
      <c r="H53" s="131">
        <f t="shared" si="4"/>
        <v>0</v>
      </c>
      <c r="I53" s="132"/>
      <c r="J53" s="132"/>
      <c r="K53" s="131">
        <f t="shared" si="5"/>
        <v>50</v>
      </c>
      <c r="L53" s="131">
        <v>50</v>
      </c>
      <c r="M53" s="131"/>
      <c r="N53" s="131"/>
      <c r="O53" s="131"/>
      <c r="P53" s="131">
        <f t="shared" si="6"/>
        <v>0</v>
      </c>
      <c r="Q53" s="131"/>
      <c r="R53" s="131"/>
      <c r="S53" s="131">
        <f t="shared" si="7"/>
        <v>0</v>
      </c>
      <c r="T53" s="131">
        <v>0</v>
      </c>
      <c r="U53" s="131"/>
      <c r="V53" s="124"/>
      <c r="W53" s="124"/>
      <c r="X53" s="124"/>
      <c r="Y53" s="25"/>
      <c r="Z53" s="25"/>
      <c r="AA53" s="25"/>
      <c r="AB53" s="25"/>
      <c r="AC53" s="25"/>
      <c r="AD53" s="25"/>
      <c r="AE53" s="25"/>
      <c r="AF53" s="25"/>
      <c r="AG53" s="25"/>
      <c r="AH53" s="25"/>
      <c r="AI53" s="25"/>
      <c r="AJ53" s="25"/>
    </row>
    <row r="54" spans="1:37" s="113" customFormat="1" ht="30" customHeight="1">
      <c r="A54" s="121">
        <v>37</v>
      </c>
      <c r="B54" s="122" t="s">
        <v>589</v>
      </c>
      <c r="C54" s="131">
        <f t="shared" si="3"/>
        <v>164.79900000000001</v>
      </c>
      <c r="D54" s="123">
        <v>164.79900000000001</v>
      </c>
      <c r="E54" s="132"/>
      <c r="F54" s="132"/>
      <c r="G54" s="132"/>
      <c r="H54" s="131">
        <f t="shared" si="4"/>
        <v>0</v>
      </c>
      <c r="I54" s="132"/>
      <c r="J54" s="132"/>
      <c r="K54" s="131">
        <f t="shared" si="5"/>
        <v>164.79900000000001</v>
      </c>
      <c r="L54" s="131">
        <v>164.79900000000001</v>
      </c>
      <c r="M54" s="131"/>
      <c r="N54" s="131"/>
      <c r="O54" s="131"/>
      <c r="P54" s="131">
        <f t="shared" si="6"/>
        <v>0</v>
      </c>
      <c r="Q54" s="131"/>
      <c r="R54" s="131"/>
      <c r="S54" s="131">
        <f t="shared" si="7"/>
        <v>0</v>
      </c>
      <c r="T54" s="131">
        <v>0</v>
      </c>
      <c r="U54" s="131"/>
      <c r="V54" s="124"/>
      <c r="W54" s="124"/>
      <c r="X54" s="124"/>
      <c r="Y54" s="25"/>
      <c r="Z54" s="25"/>
      <c r="AA54" s="25"/>
      <c r="AB54" s="25"/>
      <c r="AC54" s="25"/>
      <c r="AD54" s="25"/>
      <c r="AE54" s="25"/>
      <c r="AF54" s="25"/>
      <c r="AG54" s="25"/>
      <c r="AH54" s="25"/>
      <c r="AI54" s="25"/>
      <c r="AJ54" s="25"/>
    </row>
    <row r="55" spans="1:37" s="113" customFormat="1" ht="39" customHeight="1">
      <c r="A55" s="121">
        <v>38</v>
      </c>
      <c r="B55" s="122" t="s">
        <v>590</v>
      </c>
      <c r="C55" s="131">
        <f t="shared" si="3"/>
        <v>279.16899999999998</v>
      </c>
      <c r="D55" s="123">
        <v>279.16899999999998</v>
      </c>
      <c r="E55" s="132"/>
      <c r="F55" s="132"/>
      <c r="G55" s="132"/>
      <c r="H55" s="131">
        <f t="shared" si="4"/>
        <v>0</v>
      </c>
      <c r="I55" s="132"/>
      <c r="J55" s="132"/>
      <c r="K55" s="131">
        <f t="shared" si="5"/>
        <v>279.16899999999998</v>
      </c>
      <c r="L55" s="131">
        <v>279.16899999999998</v>
      </c>
      <c r="M55" s="131"/>
      <c r="N55" s="131"/>
      <c r="O55" s="131"/>
      <c r="P55" s="131">
        <f t="shared" si="6"/>
        <v>0</v>
      </c>
      <c r="Q55" s="131"/>
      <c r="R55" s="131"/>
      <c r="S55" s="131">
        <f t="shared" si="7"/>
        <v>0</v>
      </c>
      <c r="T55" s="131">
        <v>0</v>
      </c>
      <c r="U55" s="131"/>
      <c r="V55" s="124"/>
      <c r="W55" s="124"/>
      <c r="X55" s="124"/>
      <c r="Y55" s="25"/>
      <c r="Z55" s="25"/>
      <c r="AA55" s="25"/>
      <c r="AB55" s="25"/>
      <c r="AC55" s="25"/>
      <c r="AD55" s="25"/>
      <c r="AE55" s="25"/>
      <c r="AF55" s="25"/>
      <c r="AG55" s="25"/>
      <c r="AH55" s="25"/>
      <c r="AI55" s="25"/>
      <c r="AJ55" s="25"/>
    </row>
    <row r="56" spans="1:37" s="114" customFormat="1" ht="32.25" customHeight="1">
      <c r="A56" s="121">
        <v>39</v>
      </c>
      <c r="B56" s="122" t="s">
        <v>591</v>
      </c>
      <c r="C56" s="131">
        <f t="shared" si="3"/>
        <v>133.28399999999999</v>
      </c>
      <c r="D56" s="123">
        <v>133.28399999999999</v>
      </c>
      <c r="E56" s="132"/>
      <c r="F56" s="132"/>
      <c r="G56" s="132"/>
      <c r="H56" s="131">
        <f t="shared" si="4"/>
        <v>0</v>
      </c>
      <c r="I56" s="132"/>
      <c r="J56" s="132"/>
      <c r="K56" s="131">
        <f t="shared" si="5"/>
        <v>133.28399999999999</v>
      </c>
      <c r="L56" s="131">
        <v>133.28399999999999</v>
      </c>
      <c r="M56" s="131"/>
      <c r="N56" s="131"/>
      <c r="O56" s="131"/>
      <c r="P56" s="131">
        <f t="shared" si="6"/>
        <v>0</v>
      </c>
      <c r="Q56" s="131"/>
      <c r="R56" s="131"/>
      <c r="S56" s="131">
        <f t="shared" si="7"/>
        <v>0</v>
      </c>
      <c r="T56" s="131">
        <v>0</v>
      </c>
      <c r="U56" s="131"/>
      <c r="V56" s="124"/>
      <c r="W56" s="124"/>
      <c r="X56" s="124"/>
      <c r="Y56" s="25"/>
      <c r="Z56" s="25"/>
      <c r="AA56" s="25"/>
      <c r="AB56" s="25"/>
      <c r="AC56" s="25"/>
      <c r="AD56" s="25"/>
      <c r="AE56" s="25"/>
      <c r="AF56" s="25"/>
      <c r="AG56" s="25"/>
      <c r="AH56" s="25"/>
      <c r="AI56" s="25"/>
      <c r="AJ56" s="25"/>
    </row>
    <row r="57" spans="1:37" s="114" customFormat="1" ht="27" customHeight="1">
      <c r="A57" s="121">
        <v>40</v>
      </c>
      <c r="B57" s="122" t="s">
        <v>592</v>
      </c>
      <c r="C57" s="131">
        <f t="shared" si="3"/>
        <v>2527.5120000000002</v>
      </c>
      <c r="D57" s="123">
        <v>2527.5120000000002</v>
      </c>
      <c r="E57" s="132"/>
      <c r="F57" s="132"/>
      <c r="G57" s="132"/>
      <c r="H57" s="131">
        <f t="shared" si="4"/>
        <v>0</v>
      </c>
      <c r="I57" s="132"/>
      <c r="J57" s="132"/>
      <c r="K57" s="131">
        <f t="shared" si="5"/>
        <v>2323.4380000000001</v>
      </c>
      <c r="L57" s="131">
        <v>2323.4380000000001</v>
      </c>
      <c r="M57" s="131"/>
      <c r="N57" s="131"/>
      <c r="O57" s="131"/>
      <c r="P57" s="131">
        <f t="shared" si="6"/>
        <v>0</v>
      </c>
      <c r="Q57" s="131"/>
      <c r="R57" s="131"/>
      <c r="S57" s="131">
        <f t="shared" si="7"/>
        <v>0</v>
      </c>
      <c r="T57" s="131">
        <v>0</v>
      </c>
      <c r="U57" s="131"/>
      <c r="V57" s="124"/>
      <c r="W57" s="124"/>
      <c r="X57" s="124"/>
      <c r="Y57" s="25"/>
      <c r="Z57" s="25"/>
      <c r="AA57" s="25"/>
      <c r="AB57" s="25"/>
      <c r="AC57" s="25"/>
      <c r="AD57" s="25"/>
      <c r="AE57" s="25"/>
      <c r="AF57" s="25"/>
      <c r="AG57" s="25"/>
      <c r="AH57" s="25"/>
      <c r="AI57" s="25"/>
      <c r="AJ57" s="25"/>
      <c r="AK57" s="115"/>
    </row>
    <row r="58" spans="1:37" s="114" customFormat="1" ht="28.5" customHeight="1">
      <c r="A58" s="121">
        <v>41</v>
      </c>
      <c r="B58" s="122" t="s">
        <v>587</v>
      </c>
      <c r="C58" s="131">
        <f t="shared" si="3"/>
        <v>5734.741</v>
      </c>
      <c r="D58" s="123">
        <v>5734.741</v>
      </c>
      <c r="E58" s="132"/>
      <c r="F58" s="132"/>
      <c r="G58" s="132"/>
      <c r="H58" s="131">
        <f t="shared" si="4"/>
        <v>0</v>
      </c>
      <c r="I58" s="132"/>
      <c r="J58" s="132"/>
      <c r="K58" s="131">
        <f t="shared" si="5"/>
        <v>5734.741</v>
      </c>
      <c r="L58" s="131">
        <v>5734.741</v>
      </c>
      <c r="M58" s="131"/>
      <c r="N58" s="131"/>
      <c r="O58" s="131"/>
      <c r="P58" s="131">
        <f t="shared" si="6"/>
        <v>0</v>
      </c>
      <c r="Q58" s="131"/>
      <c r="R58" s="131"/>
      <c r="S58" s="131">
        <f t="shared" si="7"/>
        <v>0</v>
      </c>
      <c r="T58" s="131">
        <v>0</v>
      </c>
      <c r="U58" s="131"/>
      <c r="V58" s="124"/>
      <c r="W58" s="124"/>
      <c r="X58" s="124"/>
      <c r="Y58" s="25"/>
      <c r="Z58" s="25"/>
      <c r="AA58" s="25"/>
      <c r="AB58" s="25"/>
      <c r="AC58" s="25"/>
      <c r="AD58" s="25"/>
      <c r="AE58" s="25"/>
      <c r="AF58" s="25"/>
      <c r="AG58" s="25"/>
      <c r="AH58" s="25"/>
      <c r="AI58" s="25"/>
      <c r="AJ58" s="25"/>
    </row>
    <row r="59" spans="1:37" s="113" customFormat="1" ht="30.75" customHeight="1">
      <c r="A59" s="121">
        <v>42</v>
      </c>
      <c r="B59" s="122" t="s">
        <v>593</v>
      </c>
      <c r="C59" s="131">
        <f t="shared" si="3"/>
        <v>420</v>
      </c>
      <c r="D59" s="123">
        <v>420</v>
      </c>
      <c r="E59" s="132"/>
      <c r="F59" s="132"/>
      <c r="G59" s="132"/>
      <c r="H59" s="131">
        <f t="shared" si="4"/>
        <v>0</v>
      </c>
      <c r="I59" s="132"/>
      <c r="J59" s="132"/>
      <c r="K59" s="131">
        <f t="shared" si="5"/>
        <v>420</v>
      </c>
      <c r="L59" s="131">
        <v>420</v>
      </c>
      <c r="M59" s="131"/>
      <c r="N59" s="131"/>
      <c r="O59" s="131"/>
      <c r="P59" s="131">
        <f t="shared" si="6"/>
        <v>0</v>
      </c>
      <c r="Q59" s="131"/>
      <c r="R59" s="131"/>
      <c r="S59" s="131">
        <f t="shared" si="7"/>
        <v>0</v>
      </c>
      <c r="T59" s="131">
        <v>0</v>
      </c>
      <c r="U59" s="131"/>
      <c r="V59" s="124"/>
      <c r="W59" s="124"/>
      <c r="X59" s="124"/>
      <c r="Y59" s="25"/>
      <c r="Z59" s="25"/>
      <c r="AA59" s="25"/>
      <c r="AB59" s="25"/>
      <c r="AC59" s="25"/>
      <c r="AD59" s="25"/>
      <c r="AE59" s="25"/>
      <c r="AF59" s="25"/>
      <c r="AG59" s="25"/>
      <c r="AH59" s="25"/>
      <c r="AI59" s="25"/>
      <c r="AJ59" s="25"/>
    </row>
    <row r="60" spans="1:37" s="113" customFormat="1" ht="21" customHeight="1">
      <c r="A60" s="121">
        <v>43</v>
      </c>
      <c r="B60" s="122" t="s">
        <v>594</v>
      </c>
      <c r="C60" s="131">
        <f t="shared" si="3"/>
        <v>22.581</v>
      </c>
      <c r="D60" s="123">
        <v>22.581</v>
      </c>
      <c r="E60" s="132"/>
      <c r="F60" s="132"/>
      <c r="G60" s="132"/>
      <c r="H60" s="131">
        <f t="shared" si="4"/>
        <v>0</v>
      </c>
      <c r="I60" s="132"/>
      <c r="J60" s="132"/>
      <c r="K60" s="131">
        <f t="shared" si="5"/>
        <v>22.581026000000001</v>
      </c>
      <c r="L60" s="131">
        <v>9.7031259999999993</v>
      </c>
      <c r="M60" s="131"/>
      <c r="N60" s="131"/>
      <c r="O60" s="131"/>
      <c r="P60" s="131">
        <f t="shared" si="6"/>
        <v>0</v>
      </c>
      <c r="Q60" s="131"/>
      <c r="R60" s="131"/>
      <c r="S60" s="131">
        <f t="shared" si="7"/>
        <v>12.8779</v>
      </c>
      <c r="T60" s="131">
        <v>12.8779</v>
      </c>
      <c r="U60" s="131"/>
      <c r="V60" s="124"/>
      <c r="W60" s="124"/>
      <c r="X60" s="124"/>
      <c r="Y60" s="25"/>
      <c r="Z60" s="25"/>
      <c r="AA60" s="25"/>
      <c r="AB60" s="25"/>
      <c r="AC60" s="25"/>
      <c r="AD60" s="25"/>
      <c r="AE60" s="25"/>
      <c r="AF60" s="25"/>
      <c r="AG60" s="25"/>
      <c r="AH60" s="25"/>
      <c r="AI60" s="25"/>
      <c r="AJ60" s="25"/>
    </row>
    <row r="61" spans="1:37" s="113" customFormat="1" ht="25.5" customHeight="1">
      <c r="A61" s="121">
        <v>44</v>
      </c>
      <c r="B61" s="122" t="s">
        <v>595</v>
      </c>
      <c r="C61" s="131">
        <f t="shared" si="3"/>
        <v>939.43399999999997</v>
      </c>
      <c r="D61" s="123">
        <v>939.43399999999997</v>
      </c>
      <c r="E61" s="132"/>
      <c r="F61" s="132"/>
      <c r="G61" s="132"/>
      <c r="H61" s="131">
        <f t="shared" si="4"/>
        <v>0</v>
      </c>
      <c r="I61" s="132"/>
      <c r="J61" s="132"/>
      <c r="K61" s="131">
        <f t="shared" si="5"/>
        <v>939.43400000000008</v>
      </c>
      <c r="L61" s="131">
        <v>20.359000000000002</v>
      </c>
      <c r="M61" s="131"/>
      <c r="N61" s="131"/>
      <c r="O61" s="131"/>
      <c r="P61" s="131">
        <f t="shared" si="6"/>
        <v>0</v>
      </c>
      <c r="Q61" s="131"/>
      <c r="R61" s="131"/>
      <c r="S61" s="131">
        <f t="shared" si="7"/>
        <v>919.07500000000005</v>
      </c>
      <c r="T61" s="131">
        <v>919.07500000000005</v>
      </c>
      <c r="U61" s="131"/>
      <c r="V61" s="124"/>
      <c r="W61" s="124"/>
      <c r="X61" s="124"/>
      <c r="Y61" s="25"/>
      <c r="Z61" s="25"/>
      <c r="AA61" s="25"/>
      <c r="AB61" s="25"/>
      <c r="AC61" s="25"/>
      <c r="AD61" s="25"/>
      <c r="AE61" s="25"/>
      <c r="AF61" s="25"/>
      <c r="AG61" s="25"/>
      <c r="AH61" s="25"/>
      <c r="AI61" s="25"/>
      <c r="AJ61" s="25"/>
    </row>
    <row r="62" spans="1:37" s="113" customFormat="1" ht="35.25" customHeight="1">
      <c r="A62" s="121">
        <v>45</v>
      </c>
      <c r="B62" s="122" t="s">
        <v>596</v>
      </c>
      <c r="C62" s="131">
        <f t="shared" si="3"/>
        <v>34.392000000000003</v>
      </c>
      <c r="D62" s="123">
        <v>34.392000000000003</v>
      </c>
      <c r="E62" s="132"/>
      <c r="F62" s="132"/>
      <c r="G62" s="132"/>
      <c r="H62" s="131">
        <f t="shared" si="4"/>
        <v>0</v>
      </c>
      <c r="I62" s="132"/>
      <c r="J62" s="132"/>
      <c r="K62" s="131">
        <f t="shared" si="5"/>
        <v>34.392000000000003</v>
      </c>
      <c r="L62" s="131">
        <v>34.392000000000003</v>
      </c>
      <c r="M62" s="131"/>
      <c r="N62" s="131"/>
      <c r="O62" s="131"/>
      <c r="P62" s="131">
        <f t="shared" si="6"/>
        <v>0</v>
      </c>
      <c r="Q62" s="131"/>
      <c r="R62" s="131"/>
      <c r="S62" s="131">
        <f t="shared" si="7"/>
        <v>0</v>
      </c>
      <c r="T62" s="131">
        <v>0</v>
      </c>
      <c r="U62" s="131"/>
      <c r="V62" s="124"/>
      <c r="W62" s="124"/>
      <c r="X62" s="124"/>
      <c r="Y62" s="25"/>
      <c r="Z62" s="25"/>
      <c r="AA62" s="25"/>
      <c r="AB62" s="25"/>
      <c r="AC62" s="25"/>
      <c r="AD62" s="25"/>
      <c r="AE62" s="25"/>
      <c r="AF62" s="25"/>
      <c r="AG62" s="25"/>
      <c r="AH62" s="25"/>
      <c r="AI62" s="25"/>
      <c r="AJ62" s="25"/>
    </row>
    <row r="63" spans="1:37" s="113" customFormat="1" ht="19.5" customHeight="1">
      <c r="A63" s="121">
        <v>46</v>
      </c>
      <c r="B63" s="122" t="s">
        <v>634</v>
      </c>
      <c r="C63" s="131">
        <f t="shared" si="3"/>
        <v>7.5869999999999997</v>
      </c>
      <c r="D63" s="123">
        <v>7.5869999999999997</v>
      </c>
      <c r="E63" s="132"/>
      <c r="F63" s="132"/>
      <c r="G63" s="132"/>
      <c r="H63" s="131">
        <f t="shared" si="4"/>
        <v>0</v>
      </c>
      <c r="I63" s="132"/>
      <c r="J63" s="132"/>
      <c r="K63" s="131">
        <f t="shared" si="5"/>
        <v>7.5869999999999997</v>
      </c>
      <c r="L63" s="131">
        <v>7.5869999999999997</v>
      </c>
      <c r="M63" s="131"/>
      <c r="N63" s="131"/>
      <c r="O63" s="131"/>
      <c r="P63" s="131">
        <f t="shared" si="6"/>
        <v>0</v>
      </c>
      <c r="Q63" s="131"/>
      <c r="R63" s="131"/>
      <c r="S63" s="131">
        <f t="shared" si="7"/>
        <v>0</v>
      </c>
      <c r="T63" s="131">
        <v>0</v>
      </c>
      <c r="U63" s="131"/>
      <c r="V63" s="124"/>
      <c r="W63" s="124"/>
      <c r="X63" s="124"/>
      <c r="Y63" s="25"/>
      <c r="Z63" s="25"/>
      <c r="AA63" s="25"/>
      <c r="AB63" s="25"/>
      <c r="AC63" s="25"/>
      <c r="AD63" s="25"/>
      <c r="AE63" s="25"/>
      <c r="AF63" s="25"/>
      <c r="AG63" s="25"/>
      <c r="AH63" s="25"/>
      <c r="AI63" s="25"/>
      <c r="AJ63" s="25"/>
    </row>
    <row r="64" spans="1:37" s="114" customFormat="1" ht="38.25" customHeight="1">
      <c r="A64" s="121">
        <v>48</v>
      </c>
      <c r="B64" s="122" t="s">
        <v>598</v>
      </c>
      <c r="C64" s="131">
        <f t="shared" si="3"/>
        <v>19097</v>
      </c>
      <c r="D64" s="123">
        <v>19097</v>
      </c>
      <c r="E64" s="132"/>
      <c r="F64" s="132"/>
      <c r="G64" s="132"/>
      <c r="H64" s="131">
        <f t="shared" si="4"/>
        <v>0</v>
      </c>
      <c r="I64" s="132"/>
      <c r="J64" s="132"/>
      <c r="K64" s="131">
        <f t="shared" si="5"/>
        <v>19097.020638999998</v>
      </c>
      <c r="L64" s="131">
        <v>18299.061438999997</v>
      </c>
      <c r="M64" s="131"/>
      <c r="N64" s="131"/>
      <c r="O64" s="131"/>
      <c r="P64" s="131">
        <f t="shared" si="6"/>
        <v>0</v>
      </c>
      <c r="Q64" s="131"/>
      <c r="R64" s="131"/>
      <c r="S64" s="131">
        <f t="shared" si="7"/>
        <v>797.95920000000001</v>
      </c>
      <c r="T64" s="131">
        <v>797.95920000000001</v>
      </c>
      <c r="U64" s="131"/>
      <c r="V64" s="124"/>
      <c r="W64" s="124"/>
      <c r="X64" s="124"/>
      <c r="Y64" s="25"/>
      <c r="Z64" s="25"/>
      <c r="AA64" s="25"/>
      <c r="AB64" s="25"/>
      <c r="AC64" s="25"/>
      <c r="AD64" s="25"/>
      <c r="AE64" s="25"/>
      <c r="AF64" s="25"/>
      <c r="AG64" s="25"/>
      <c r="AH64" s="25"/>
      <c r="AI64" s="25"/>
      <c r="AJ64" s="25"/>
    </row>
    <row r="65" spans="1:38" s="114" customFormat="1" ht="39.75" customHeight="1">
      <c r="A65" s="121">
        <v>49</v>
      </c>
      <c r="B65" s="122" t="s">
        <v>599</v>
      </c>
      <c r="C65" s="131">
        <f t="shared" si="3"/>
        <v>13120</v>
      </c>
      <c r="D65" s="123">
        <v>13120</v>
      </c>
      <c r="E65" s="132"/>
      <c r="F65" s="132"/>
      <c r="G65" s="132"/>
      <c r="H65" s="131">
        <f t="shared" si="4"/>
        <v>0</v>
      </c>
      <c r="I65" s="132"/>
      <c r="J65" s="132"/>
      <c r="K65" s="131">
        <f t="shared" si="5"/>
        <v>13118.817486999993</v>
      </c>
      <c r="L65" s="131">
        <v>13109.198886999993</v>
      </c>
      <c r="M65" s="131"/>
      <c r="N65" s="131"/>
      <c r="O65" s="131"/>
      <c r="P65" s="131">
        <f t="shared" si="6"/>
        <v>0</v>
      </c>
      <c r="Q65" s="131"/>
      <c r="R65" s="131"/>
      <c r="S65" s="131">
        <f t="shared" si="7"/>
        <v>9.6186000000000007</v>
      </c>
      <c r="T65" s="131">
        <v>9.6186000000000007</v>
      </c>
      <c r="U65" s="131"/>
      <c r="V65" s="124"/>
      <c r="W65" s="124"/>
      <c r="X65" s="124"/>
      <c r="Y65" s="25"/>
      <c r="Z65" s="25"/>
      <c r="AA65" s="25"/>
      <c r="AB65" s="25"/>
      <c r="AC65" s="25"/>
      <c r="AD65" s="25"/>
      <c r="AE65" s="25"/>
      <c r="AF65" s="25"/>
      <c r="AG65" s="25"/>
      <c r="AH65" s="25"/>
      <c r="AI65" s="25"/>
      <c r="AJ65" s="25"/>
    </row>
    <row r="66" spans="1:38" s="114" customFormat="1" ht="44.25" customHeight="1">
      <c r="A66" s="121">
        <v>50</v>
      </c>
      <c r="B66" s="122" t="s">
        <v>600</v>
      </c>
      <c r="C66" s="131">
        <f t="shared" si="3"/>
        <v>15407</v>
      </c>
      <c r="D66" s="123">
        <v>15407</v>
      </c>
      <c r="E66" s="132"/>
      <c r="F66" s="132"/>
      <c r="G66" s="132"/>
      <c r="H66" s="131">
        <f t="shared" si="4"/>
        <v>0</v>
      </c>
      <c r="I66" s="132"/>
      <c r="J66" s="132"/>
      <c r="K66" s="131">
        <f t="shared" si="5"/>
        <v>15407.092070000001</v>
      </c>
      <c r="L66" s="131">
        <v>15374.14457</v>
      </c>
      <c r="M66" s="131"/>
      <c r="N66" s="131"/>
      <c r="O66" s="131"/>
      <c r="P66" s="131">
        <f t="shared" si="6"/>
        <v>0</v>
      </c>
      <c r="Q66" s="131"/>
      <c r="R66" s="131"/>
      <c r="S66" s="131">
        <f t="shared" si="7"/>
        <v>32.947499999999998</v>
      </c>
      <c r="T66" s="131">
        <v>32.947499999999998</v>
      </c>
      <c r="U66" s="131"/>
      <c r="V66" s="124"/>
      <c r="W66" s="124"/>
      <c r="X66" s="124"/>
      <c r="Y66" s="25"/>
      <c r="Z66" s="25"/>
      <c r="AA66" s="25"/>
      <c r="AB66" s="25"/>
      <c r="AC66" s="25"/>
      <c r="AD66" s="25"/>
      <c r="AE66" s="25"/>
      <c r="AF66" s="25"/>
      <c r="AG66" s="25"/>
      <c r="AH66" s="25"/>
      <c r="AI66" s="25"/>
      <c r="AJ66" s="25"/>
      <c r="AK66" s="115"/>
      <c r="AL66" s="115"/>
    </row>
    <row r="67" spans="1:38" s="114" customFormat="1" ht="39" customHeight="1">
      <c r="A67" s="121">
        <v>51</v>
      </c>
      <c r="B67" s="122" t="s">
        <v>601</v>
      </c>
      <c r="C67" s="131">
        <f t="shared" si="3"/>
        <v>22542</v>
      </c>
      <c r="D67" s="123">
        <v>22542</v>
      </c>
      <c r="E67" s="132"/>
      <c r="F67" s="132"/>
      <c r="G67" s="132"/>
      <c r="H67" s="131">
        <f t="shared" si="4"/>
        <v>0</v>
      </c>
      <c r="I67" s="132"/>
      <c r="J67" s="132"/>
      <c r="K67" s="131">
        <f t="shared" si="5"/>
        <v>22541.600078000003</v>
      </c>
      <c r="L67" s="131">
        <v>22521.882878000004</v>
      </c>
      <c r="M67" s="131"/>
      <c r="N67" s="131"/>
      <c r="O67" s="131"/>
      <c r="P67" s="131">
        <f t="shared" si="6"/>
        <v>0</v>
      </c>
      <c r="Q67" s="131"/>
      <c r="R67" s="131"/>
      <c r="S67" s="131">
        <f t="shared" si="7"/>
        <v>19.717199999999998</v>
      </c>
      <c r="T67" s="131">
        <v>19.717199999999998</v>
      </c>
      <c r="U67" s="131"/>
      <c r="V67" s="124"/>
      <c r="W67" s="124"/>
      <c r="X67" s="124"/>
      <c r="Y67" s="25"/>
      <c r="Z67" s="25"/>
      <c r="AA67" s="25"/>
      <c r="AB67" s="25"/>
      <c r="AC67" s="25"/>
      <c r="AD67" s="25"/>
      <c r="AE67" s="25"/>
      <c r="AF67" s="25"/>
      <c r="AG67" s="25"/>
      <c r="AH67" s="25"/>
      <c r="AI67" s="25"/>
      <c r="AJ67" s="25"/>
      <c r="AK67" s="115"/>
    </row>
    <row r="68" spans="1:38" s="114" customFormat="1" ht="40.5" customHeight="1">
      <c r="A68" s="121">
        <v>52</v>
      </c>
      <c r="B68" s="122" t="s">
        <v>602</v>
      </c>
      <c r="C68" s="131">
        <f t="shared" si="3"/>
        <v>17460</v>
      </c>
      <c r="D68" s="123">
        <v>17460</v>
      </c>
      <c r="E68" s="132"/>
      <c r="F68" s="132"/>
      <c r="G68" s="132"/>
      <c r="H68" s="131">
        <f t="shared" si="4"/>
        <v>0</v>
      </c>
      <c r="I68" s="132"/>
      <c r="J68" s="132"/>
      <c r="K68" s="131">
        <f t="shared" si="5"/>
        <v>17458.865385000005</v>
      </c>
      <c r="L68" s="131">
        <v>17425.902385000005</v>
      </c>
      <c r="M68" s="131"/>
      <c r="N68" s="131"/>
      <c r="O68" s="131"/>
      <c r="P68" s="131">
        <f t="shared" si="6"/>
        <v>0</v>
      </c>
      <c r="Q68" s="131"/>
      <c r="R68" s="131"/>
      <c r="S68" s="131">
        <f t="shared" si="7"/>
        <v>32.963000000000001</v>
      </c>
      <c r="T68" s="131">
        <v>32.963000000000001</v>
      </c>
      <c r="U68" s="131"/>
      <c r="V68" s="124"/>
      <c r="W68" s="124"/>
      <c r="X68" s="124"/>
      <c r="Y68" s="25"/>
      <c r="Z68" s="25"/>
      <c r="AA68" s="25"/>
      <c r="AB68" s="25"/>
      <c r="AC68" s="25"/>
      <c r="AD68" s="25"/>
      <c r="AE68" s="25"/>
      <c r="AF68" s="25"/>
      <c r="AG68" s="25"/>
      <c r="AH68" s="25"/>
      <c r="AI68" s="25"/>
      <c r="AJ68" s="25"/>
      <c r="AK68" s="115"/>
    </row>
    <row r="69" spans="1:38" s="114" customFormat="1" ht="38.25" customHeight="1">
      <c r="A69" s="121">
        <v>53</v>
      </c>
      <c r="B69" s="122" t="s">
        <v>603</v>
      </c>
      <c r="C69" s="131">
        <f t="shared" si="3"/>
        <v>26866</v>
      </c>
      <c r="D69" s="123">
        <v>26866</v>
      </c>
      <c r="E69" s="132"/>
      <c r="F69" s="132"/>
      <c r="G69" s="132"/>
      <c r="H69" s="131">
        <f t="shared" si="4"/>
        <v>0</v>
      </c>
      <c r="I69" s="132"/>
      <c r="J69" s="132"/>
      <c r="K69" s="131">
        <f t="shared" si="5"/>
        <v>25002.636709999984</v>
      </c>
      <c r="L69" s="131">
        <v>24999.789609999985</v>
      </c>
      <c r="M69" s="131"/>
      <c r="N69" s="131"/>
      <c r="O69" s="131"/>
      <c r="P69" s="131">
        <f t="shared" si="6"/>
        <v>0</v>
      </c>
      <c r="Q69" s="131"/>
      <c r="R69" s="131"/>
      <c r="S69" s="131">
        <f t="shared" si="7"/>
        <v>2.8471000000000002</v>
      </c>
      <c r="T69" s="131">
        <v>2.8471000000000002</v>
      </c>
      <c r="U69" s="131"/>
      <c r="V69" s="124"/>
      <c r="W69" s="124"/>
      <c r="X69" s="124"/>
      <c r="Y69" s="25"/>
      <c r="Z69" s="25"/>
      <c r="AA69" s="25"/>
      <c r="AB69" s="25"/>
      <c r="AC69" s="25"/>
      <c r="AD69" s="25"/>
      <c r="AE69" s="25"/>
      <c r="AF69" s="25"/>
      <c r="AG69" s="25"/>
      <c r="AH69" s="25"/>
      <c r="AI69" s="25"/>
      <c r="AJ69" s="25"/>
      <c r="AK69" s="115"/>
    </row>
    <row r="70" spans="1:38" s="114" customFormat="1" ht="39.75" customHeight="1">
      <c r="A70" s="121">
        <v>54</v>
      </c>
      <c r="B70" s="122" t="s">
        <v>604</v>
      </c>
      <c r="C70" s="131">
        <f t="shared" si="3"/>
        <v>29388.314224000002</v>
      </c>
      <c r="D70" s="123">
        <v>29388.314224000002</v>
      </c>
      <c r="E70" s="132"/>
      <c r="F70" s="132"/>
      <c r="G70" s="132"/>
      <c r="H70" s="131">
        <f t="shared" si="4"/>
        <v>0</v>
      </c>
      <c r="I70" s="132"/>
      <c r="J70" s="132"/>
      <c r="K70" s="131">
        <f t="shared" si="5"/>
        <v>27084.418929000003</v>
      </c>
      <c r="L70" s="131">
        <v>27083.927729000003</v>
      </c>
      <c r="M70" s="131"/>
      <c r="N70" s="131"/>
      <c r="O70" s="131"/>
      <c r="P70" s="131">
        <f t="shared" si="6"/>
        <v>0</v>
      </c>
      <c r="Q70" s="131"/>
      <c r="R70" s="131"/>
      <c r="S70" s="131">
        <f t="shared" si="7"/>
        <v>0.49120000000000003</v>
      </c>
      <c r="T70" s="131">
        <v>0.49120000000000003</v>
      </c>
      <c r="U70" s="131"/>
      <c r="V70" s="124"/>
      <c r="W70" s="124"/>
      <c r="X70" s="124"/>
      <c r="Y70" s="25"/>
      <c r="Z70" s="25"/>
      <c r="AA70" s="25"/>
      <c r="AB70" s="25"/>
      <c r="AC70" s="25"/>
      <c r="AD70" s="25"/>
      <c r="AE70" s="25"/>
      <c r="AF70" s="25"/>
      <c r="AG70" s="25"/>
      <c r="AH70" s="25"/>
      <c r="AI70" s="25"/>
      <c r="AJ70" s="25"/>
      <c r="AK70" s="115"/>
    </row>
    <row r="71" spans="1:38" s="114" customFormat="1" ht="40.5" customHeight="1">
      <c r="A71" s="121">
        <v>55</v>
      </c>
      <c r="B71" s="122" t="s">
        <v>605</v>
      </c>
      <c r="C71" s="131">
        <f t="shared" si="3"/>
        <v>900</v>
      </c>
      <c r="D71" s="123">
        <v>900</v>
      </c>
      <c r="E71" s="132"/>
      <c r="F71" s="132"/>
      <c r="G71" s="132"/>
      <c r="H71" s="131">
        <f t="shared" si="4"/>
        <v>0</v>
      </c>
      <c r="I71" s="132"/>
      <c r="J71" s="132"/>
      <c r="K71" s="131">
        <f t="shared" si="5"/>
        <v>900.000044</v>
      </c>
      <c r="L71" s="131">
        <v>868.66224399999999</v>
      </c>
      <c r="M71" s="131"/>
      <c r="N71" s="131"/>
      <c r="O71" s="131"/>
      <c r="P71" s="131">
        <f t="shared" si="6"/>
        <v>0</v>
      </c>
      <c r="Q71" s="131"/>
      <c r="R71" s="131"/>
      <c r="S71" s="131">
        <f t="shared" si="7"/>
        <v>31.337800000000001</v>
      </c>
      <c r="T71" s="131">
        <v>31.337800000000001</v>
      </c>
      <c r="U71" s="131"/>
      <c r="V71" s="124"/>
      <c r="W71" s="124"/>
      <c r="X71" s="124"/>
      <c r="Y71" s="25"/>
      <c r="Z71" s="25"/>
      <c r="AA71" s="25"/>
      <c r="AB71" s="25"/>
      <c r="AC71" s="25"/>
      <c r="AD71" s="25"/>
      <c r="AE71" s="25"/>
      <c r="AF71" s="25"/>
      <c r="AG71" s="25"/>
      <c r="AH71" s="25"/>
      <c r="AI71" s="25"/>
      <c r="AJ71" s="25"/>
    </row>
    <row r="72" spans="1:38" s="114" customFormat="1" ht="43.5" customHeight="1">
      <c r="A72" s="121">
        <v>56</v>
      </c>
      <c r="B72" s="122" t="s">
        <v>606</v>
      </c>
      <c r="C72" s="131">
        <f t="shared" si="3"/>
        <v>4158</v>
      </c>
      <c r="D72" s="123">
        <v>4158</v>
      </c>
      <c r="E72" s="132"/>
      <c r="F72" s="132"/>
      <c r="G72" s="132"/>
      <c r="H72" s="131">
        <f t="shared" si="4"/>
        <v>0</v>
      </c>
      <c r="I72" s="132"/>
      <c r="J72" s="132"/>
      <c r="K72" s="131">
        <f t="shared" si="5"/>
        <v>4157.9999850000004</v>
      </c>
      <c r="L72" s="131">
        <v>3809.2451850000002</v>
      </c>
      <c r="M72" s="131"/>
      <c r="N72" s="131"/>
      <c r="O72" s="131"/>
      <c r="P72" s="131">
        <f t="shared" si="6"/>
        <v>0</v>
      </c>
      <c r="Q72" s="131"/>
      <c r="R72" s="131"/>
      <c r="S72" s="131">
        <f t="shared" si="7"/>
        <v>348.75479999999999</v>
      </c>
      <c r="T72" s="131">
        <v>348.75479999999999</v>
      </c>
      <c r="U72" s="131"/>
      <c r="V72" s="124"/>
      <c r="W72" s="124"/>
      <c r="X72" s="124"/>
      <c r="Y72" s="25"/>
      <c r="Z72" s="25"/>
      <c r="AA72" s="25"/>
      <c r="AB72" s="25"/>
      <c r="AC72" s="25"/>
      <c r="AD72" s="25"/>
      <c r="AE72" s="25"/>
      <c r="AF72" s="25"/>
      <c r="AG72" s="25"/>
      <c r="AH72" s="25"/>
      <c r="AI72" s="25"/>
      <c r="AJ72" s="25"/>
    </row>
    <row r="73" spans="1:38" s="113" customFormat="1" ht="21" customHeight="1">
      <c r="A73" s="121">
        <v>57</v>
      </c>
      <c r="B73" s="122" t="s">
        <v>607</v>
      </c>
      <c r="C73" s="131">
        <f t="shared" si="3"/>
        <v>83.245999999999995</v>
      </c>
      <c r="D73" s="123">
        <v>83.245999999999995</v>
      </c>
      <c r="E73" s="132"/>
      <c r="F73" s="132"/>
      <c r="G73" s="132"/>
      <c r="H73" s="131">
        <f t="shared" si="4"/>
        <v>0</v>
      </c>
      <c r="I73" s="132"/>
      <c r="J73" s="132"/>
      <c r="K73" s="131">
        <f t="shared" si="5"/>
        <v>83.245999999999995</v>
      </c>
      <c r="L73" s="131">
        <v>83.245999999999995</v>
      </c>
      <c r="M73" s="131"/>
      <c r="N73" s="131"/>
      <c r="O73" s="131"/>
      <c r="P73" s="131">
        <f t="shared" si="6"/>
        <v>0</v>
      </c>
      <c r="Q73" s="131"/>
      <c r="R73" s="131"/>
      <c r="S73" s="131">
        <f t="shared" si="7"/>
        <v>0</v>
      </c>
      <c r="T73" s="131">
        <v>0</v>
      </c>
      <c r="U73" s="131"/>
      <c r="V73" s="124"/>
      <c r="W73" s="124"/>
      <c r="X73" s="124"/>
      <c r="Y73" s="25"/>
      <c r="Z73" s="25"/>
      <c r="AA73" s="25"/>
      <c r="AB73" s="25"/>
      <c r="AC73" s="25"/>
      <c r="AD73" s="25"/>
      <c r="AE73" s="25"/>
      <c r="AF73" s="25"/>
      <c r="AG73" s="25"/>
      <c r="AH73" s="25"/>
      <c r="AI73" s="25"/>
      <c r="AJ73" s="25"/>
    </row>
    <row r="75" spans="1:38" s="113" customFormat="1" ht="37.5" customHeight="1">
      <c r="A75" s="135" t="s">
        <v>29</v>
      </c>
      <c r="B75" s="136" t="s">
        <v>1463</v>
      </c>
      <c r="C75" s="130">
        <f>SUM(C76:C85)</f>
        <v>862982.02722500009</v>
      </c>
      <c r="D75" s="130">
        <f t="shared" ref="D75:U75" si="27">SUM(D76:D85)</f>
        <v>759244.47322499985</v>
      </c>
      <c r="E75" s="130">
        <f t="shared" si="27"/>
        <v>0</v>
      </c>
      <c r="F75" s="130">
        <f t="shared" si="27"/>
        <v>0</v>
      </c>
      <c r="G75" s="130">
        <f t="shared" si="27"/>
        <v>0</v>
      </c>
      <c r="H75" s="130">
        <f t="shared" si="27"/>
        <v>103737.554</v>
      </c>
      <c r="I75" s="130">
        <f>SUM(I76:I85)</f>
        <v>103737.554</v>
      </c>
      <c r="J75" s="130">
        <f t="shared" si="27"/>
        <v>0</v>
      </c>
      <c r="K75" s="131">
        <f t="shared" si="5"/>
        <v>862657.38878500008</v>
      </c>
      <c r="L75" s="130">
        <f t="shared" si="27"/>
        <v>593078.57078500011</v>
      </c>
      <c r="M75" s="130">
        <f t="shared" si="27"/>
        <v>0</v>
      </c>
      <c r="N75" s="130">
        <f t="shared" si="27"/>
        <v>0</v>
      </c>
      <c r="O75" s="130">
        <f t="shared" si="27"/>
        <v>0</v>
      </c>
      <c r="P75" s="130">
        <f t="shared" si="27"/>
        <v>77291.178</v>
      </c>
      <c r="Q75" s="130">
        <f t="shared" si="27"/>
        <v>77291.178</v>
      </c>
      <c r="R75" s="130">
        <f t="shared" si="27"/>
        <v>0</v>
      </c>
      <c r="S75" s="130">
        <f t="shared" si="27"/>
        <v>192287.64</v>
      </c>
      <c r="T75" s="130">
        <f t="shared" si="27"/>
        <v>192287.64</v>
      </c>
      <c r="U75" s="130">
        <f t="shared" si="27"/>
        <v>0</v>
      </c>
      <c r="V75" s="119"/>
      <c r="W75" s="119"/>
      <c r="X75" s="119"/>
      <c r="Y75" s="28"/>
      <c r="Z75" s="28"/>
      <c r="AA75" s="28"/>
      <c r="AB75" s="28"/>
      <c r="AC75" s="28"/>
      <c r="AD75" s="28"/>
      <c r="AE75" s="28"/>
      <c r="AF75" s="28"/>
      <c r="AG75" s="28"/>
      <c r="AH75" s="28"/>
      <c r="AI75" s="28"/>
      <c r="AJ75" s="28"/>
    </row>
    <row r="76" spans="1:38" s="114" customFormat="1" ht="19.5" customHeight="1">
      <c r="A76" s="121">
        <v>1</v>
      </c>
      <c r="B76" s="122" t="s">
        <v>609</v>
      </c>
      <c r="C76" s="131">
        <f t="shared" si="3"/>
        <v>99975.750396999996</v>
      </c>
      <c r="D76" s="123">
        <v>99975.750396999996</v>
      </c>
      <c r="E76" s="132"/>
      <c r="F76" s="132"/>
      <c r="G76" s="132"/>
      <c r="H76" s="131">
        <f t="shared" si="4"/>
        <v>0</v>
      </c>
      <c r="I76" s="132"/>
      <c r="J76" s="132"/>
      <c r="K76" s="131">
        <f t="shared" si="5"/>
        <v>99975.750365000014</v>
      </c>
      <c r="L76" s="131">
        <v>52660.312965000005</v>
      </c>
      <c r="M76" s="131"/>
      <c r="N76" s="131"/>
      <c r="O76" s="131"/>
      <c r="P76" s="131">
        <f t="shared" si="6"/>
        <v>0</v>
      </c>
      <c r="Q76" s="131"/>
      <c r="R76" s="131"/>
      <c r="S76" s="131">
        <f t="shared" si="7"/>
        <v>47315.437400000003</v>
      </c>
      <c r="T76" s="131">
        <v>47315.437400000003</v>
      </c>
      <c r="U76" s="131"/>
      <c r="V76" s="124"/>
      <c r="W76" s="124"/>
      <c r="X76" s="124"/>
      <c r="Y76" s="25"/>
      <c r="Z76" s="25"/>
      <c r="AA76" s="25"/>
      <c r="AB76" s="25"/>
      <c r="AC76" s="25"/>
      <c r="AD76" s="25"/>
      <c r="AE76" s="25"/>
      <c r="AF76" s="25"/>
      <c r="AG76" s="25"/>
      <c r="AH76" s="25"/>
      <c r="AI76" s="25"/>
      <c r="AJ76" s="25"/>
    </row>
    <row r="77" spans="1:38" s="114" customFormat="1" ht="19.5" customHeight="1">
      <c r="A77" s="121">
        <v>2</v>
      </c>
      <c r="B77" s="122" t="s">
        <v>610</v>
      </c>
      <c r="C77" s="131">
        <f t="shared" si="3"/>
        <v>37939.019999999997</v>
      </c>
      <c r="D77" s="123">
        <f>35950.02+1989</f>
        <v>37939.019999999997</v>
      </c>
      <c r="E77" s="132"/>
      <c r="F77" s="132"/>
      <c r="G77" s="132"/>
      <c r="H77" s="131">
        <f t="shared" si="4"/>
        <v>0</v>
      </c>
      <c r="I77" s="132"/>
      <c r="J77" s="132"/>
      <c r="K77" s="131">
        <f t="shared" si="5"/>
        <v>37939.020044000004</v>
      </c>
      <c r="L77" s="131">
        <v>26620.291644000001</v>
      </c>
      <c r="M77" s="131"/>
      <c r="N77" s="131"/>
      <c r="O77" s="131"/>
      <c r="P77" s="131">
        <f t="shared" si="6"/>
        <v>0</v>
      </c>
      <c r="Q77" s="131"/>
      <c r="R77" s="131"/>
      <c r="S77" s="131">
        <f t="shared" si="7"/>
        <v>11318.7284</v>
      </c>
      <c r="T77" s="131">
        <v>11318.7284</v>
      </c>
      <c r="U77" s="131"/>
      <c r="V77" s="124"/>
      <c r="W77" s="124"/>
      <c r="X77" s="124"/>
      <c r="Y77" s="25"/>
      <c r="Z77" s="25"/>
      <c r="AA77" s="25"/>
      <c r="AB77" s="25"/>
      <c r="AC77" s="25"/>
      <c r="AD77" s="25"/>
      <c r="AE77" s="25"/>
      <c r="AF77" s="25"/>
      <c r="AG77" s="25"/>
      <c r="AH77" s="25"/>
      <c r="AI77" s="25"/>
      <c r="AJ77" s="25"/>
    </row>
    <row r="78" spans="1:38" s="114" customFormat="1" ht="21.75" customHeight="1">
      <c r="A78" s="121">
        <v>3</v>
      </c>
      <c r="B78" s="122" t="s">
        <v>611</v>
      </c>
      <c r="C78" s="131">
        <f t="shared" si="3"/>
        <v>88292.622999999992</v>
      </c>
      <c r="D78" s="123">
        <v>66332.083999999988</v>
      </c>
      <c r="E78" s="132"/>
      <c r="F78" s="132"/>
      <c r="G78" s="132"/>
      <c r="H78" s="131">
        <f t="shared" si="4"/>
        <v>21960.539000000001</v>
      </c>
      <c r="I78" s="132">
        <v>21960.539000000001</v>
      </c>
      <c r="J78" s="132"/>
      <c r="K78" s="131">
        <f t="shared" si="5"/>
        <v>88292.623048999987</v>
      </c>
      <c r="L78" s="131">
        <v>62694.150648999996</v>
      </c>
      <c r="M78" s="131"/>
      <c r="N78" s="131"/>
      <c r="O78" s="131"/>
      <c r="P78" s="131">
        <f t="shared" si="6"/>
        <v>20329.944</v>
      </c>
      <c r="Q78" s="131">
        <v>20329.944</v>
      </c>
      <c r="R78" s="131"/>
      <c r="S78" s="131">
        <f t="shared" si="7"/>
        <v>5268.5284000000001</v>
      </c>
      <c r="T78" s="131">
        <v>5268.5284000000001</v>
      </c>
      <c r="U78" s="131"/>
      <c r="V78" s="124"/>
      <c r="W78" s="124"/>
      <c r="X78" s="124"/>
      <c r="Y78" s="25"/>
      <c r="Z78" s="25"/>
      <c r="AA78" s="25"/>
      <c r="AB78" s="25"/>
      <c r="AC78" s="25"/>
      <c r="AD78" s="25"/>
      <c r="AE78" s="25"/>
      <c r="AF78" s="25"/>
      <c r="AG78" s="25"/>
      <c r="AH78" s="25"/>
      <c r="AI78" s="25"/>
      <c r="AJ78" s="25"/>
    </row>
    <row r="79" spans="1:38" s="114" customFormat="1" ht="20.25" customHeight="1">
      <c r="A79" s="121">
        <v>4</v>
      </c>
      <c r="B79" s="122" t="s">
        <v>612</v>
      </c>
      <c r="C79" s="131">
        <f t="shared" si="3"/>
        <v>260824.91512999998</v>
      </c>
      <c r="D79" s="123">
        <v>239057.10812999998</v>
      </c>
      <c r="E79" s="132"/>
      <c r="F79" s="132"/>
      <c r="G79" s="132"/>
      <c r="H79" s="131">
        <f t="shared" si="4"/>
        <v>21767.807000000001</v>
      </c>
      <c r="I79" s="132">
        <v>21767.807000000001</v>
      </c>
      <c r="J79" s="132"/>
      <c r="K79" s="131">
        <f t="shared" si="5"/>
        <v>260817.8351</v>
      </c>
      <c r="L79" s="131">
        <v>221998.231</v>
      </c>
      <c r="M79" s="131"/>
      <c r="N79" s="131"/>
      <c r="O79" s="131"/>
      <c r="P79" s="131">
        <f t="shared" si="6"/>
        <v>18004.145</v>
      </c>
      <c r="Q79" s="131">
        <v>18004.145</v>
      </c>
      <c r="R79" s="131"/>
      <c r="S79" s="131">
        <f t="shared" si="7"/>
        <v>20815.4591</v>
      </c>
      <c r="T79" s="131">
        <v>20815.4591</v>
      </c>
      <c r="U79" s="131"/>
      <c r="V79" s="124"/>
      <c r="W79" s="124"/>
      <c r="X79" s="124"/>
      <c r="Y79" s="25"/>
      <c r="Z79" s="25"/>
      <c r="AA79" s="25"/>
      <c r="AB79" s="25"/>
      <c r="AC79" s="25"/>
      <c r="AD79" s="25"/>
      <c r="AE79" s="25"/>
      <c r="AF79" s="25"/>
      <c r="AG79" s="25"/>
      <c r="AH79" s="25"/>
      <c r="AI79" s="25"/>
      <c r="AJ79" s="25"/>
    </row>
    <row r="80" spans="1:38" s="114" customFormat="1" ht="19.5" customHeight="1">
      <c r="A80" s="121">
        <v>5</v>
      </c>
      <c r="B80" s="122" t="s">
        <v>613</v>
      </c>
      <c r="C80" s="131">
        <f t="shared" si="3"/>
        <v>26248.606818</v>
      </c>
      <c r="D80" s="123">
        <v>26248.606818</v>
      </c>
      <c r="E80" s="132"/>
      <c r="F80" s="132"/>
      <c r="G80" s="132"/>
      <c r="H80" s="131">
        <f t="shared" si="4"/>
        <v>0</v>
      </c>
      <c r="I80" s="132">
        <v>0</v>
      </c>
      <c r="J80" s="132"/>
      <c r="K80" s="131">
        <f t="shared" si="5"/>
        <v>26228.104409000003</v>
      </c>
      <c r="L80" s="131">
        <v>16927.077309000004</v>
      </c>
      <c r="M80" s="131"/>
      <c r="N80" s="131"/>
      <c r="O80" s="131"/>
      <c r="P80" s="131">
        <f t="shared" si="6"/>
        <v>0</v>
      </c>
      <c r="Q80" s="131">
        <v>0</v>
      </c>
      <c r="R80" s="131"/>
      <c r="S80" s="131">
        <f t="shared" si="7"/>
        <v>9301.0270999999993</v>
      </c>
      <c r="T80" s="131">
        <v>9301.0270999999993</v>
      </c>
      <c r="U80" s="131"/>
      <c r="V80" s="124"/>
      <c r="W80" s="124"/>
      <c r="X80" s="124"/>
      <c r="Y80" s="25"/>
      <c r="Z80" s="25"/>
      <c r="AA80" s="25"/>
      <c r="AB80" s="25"/>
      <c r="AC80" s="25"/>
      <c r="AD80" s="25"/>
      <c r="AE80" s="25"/>
      <c r="AF80" s="25"/>
      <c r="AG80" s="25"/>
      <c r="AH80" s="25"/>
      <c r="AI80" s="25"/>
      <c r="AJ80" s="25"/>
    </row>
    <row r="81" spans="1:36" s="114" customFormat="1" ht="22.5" customHeight="1">
      <c r="A81" s="121">
        <v>6</v>
      </c>
      <c r="B81" s="122" t="s">
        <v>614</v>
      </c>
      <c r="C81" s="131">
        <f t="shared" si="3"/>
        <v>65008.117357999996</v>
      </c>
      <c r="D81" s="123">
        <v>47528.941357999996</v>
      </c>
      <c r="E81" s="132"/>
      <c r="F81" s="132"/>
      <c r="G81" s="132"/>
      <c r="H81" s="131">
        <f t="shared" si="4"/>
        <v>17479.175999999999</v>
      </c>
      <c r="I81" s="132">
        <v>17479.175999999999</v>
      </c>
      <c r="J81" s="132"/>
      <c r="K81" s="131">
        <f t="shared" si="5"/>
        <v>65008.117312999995</v>
      </c>
      <c r="L81" s="131">
        <v>42001.155113000001</v>
      </c>
      <c r="M81" s="131"/>
      <c r="N81" s="131"/>
      <c r="O81" s="131"/>
      <c r="P81" s="131">
        <f t="shared" si="6"/>
        <v>15759.31</v>
      </c>
      <c r="Q81" s="131">
        <v>15759.31</v>
      </c>
      <c r="R81" s="131"/>
      <c r="S81" s="131">
        <f t="shared" si="7"/>
        <v>7247.6522000000004</v>
      </c>
      <c r="T81" s="131">
        <v>7247.6522000000004</v>
      </c>
      <c r="U81" s="131"/>
      <c r="V81" s="124"/>
      <c r="W81" s="124"/>
      <c r="X81" s="124"/>
      <c r="Y81" s="25"/>
      <c r="Z81" s="25"/>
      <c r="AA81" s="25"/>
      <c r="AB81" s="25"/>
      <c r="AC81" s="25"/>
      <c r="AD81" s="25"/>
      <c r="AE81" s="25"/>
      <c r="AF81" s="25"/>
      <c r="AG81" s="25"/>
      <c r="AH81" s="25"/>
      <c r="AI81" s="25"/>
      <c r="AJ81" s="25"/>
    </row>
    <row r="82" spans="1:36" s="114" customFormat="1" ht="18.75" customHeight="1">
      <c r="A82" s="121">
        <v>7</v>
      </c>
      <c r="B82" s="122" t="s">
        <v>615</v>
      </c>
      <c r="C82" s="131">
        <f t="shared" si="3"/>
        <v>72647.298999999999</v>
      </c>
      <c r="D82" s="123">
        <v>72647.298999999999</v>
      </c>
      <c r="E82" s="132"/>
      <c r="F82" s="132"/>
      <c r="G82" s="132"/>
      <c r="H82" s="131">
        <f t="shared" si="4"/>
        <v>0</v>
      </c>
      <c r="I82" s="132">
        <v>0</v>
      </c>
      <c r="J82" s="132"/>
      <c r="K82" s="131">
        <f t="shared" ref="K82:K91" si="28">SUM(L82:P82)+S82</f>
        <v>72647.298999999999</v>
      </c>
      <c r="L82" s="131">
        <v>59448.428</v>
      </c>
      <c r="M82" s="131"/>
      <c r="N82" s="131"/>
      <c r="O82" s="131"/>
      <c r="P82" s="131">
        <f t="shared" si="6"/>
        <v>0</v>
      </c>
      <c r="Q82" s="131">
        <v>0</v>
      </c>
      <c r="R82" s="131"/>
      <c r="S82" s="131">
        <f t="shared" si="7"/>
        <v>13198.870999999999</v>
      </c>
      <c r="T82" s="131">
        <v>13198.870999999999</v>
      </c>
      <c r="U82" s="131"/>
      <c r="V82" s="124"/>
      <c r="W82" s="124"/>
      <c r="X82" s="124"/>
      <c r="Y82" s="25"/>
      <c r="Z82" s="25"/>
      <c r="AA82" s="25"/>
      <c r="AB82" s="25"/>
      <c r="AC82" s="25"/>
      <c r="AD82" s="25"/>
      <c r="AE82" s="25"/>
      <c r="AF82" s="25"/>
      <c r="AG82" s="25"/>
      <c r="AH82" s="25"/>
      <c r="AI82" s="25"/>
      <c r="AJ82" s="25"/>
    </row>
    <row r="83" spans="1:36" s="114" customFormat="1" ht="19.5" customHeight="1">
      <c r="A83" s="121">
        <v>8</v>
      </c>
      <c r="B83" s="122" t="s">
        <v>616</v>
      </c>
      <c r="C83" s="131">
        <f t="shared" ref="C83:C91" si="29">SUM(D83:H83)</f>
        <v>39131.521999999997</v>
      </c>
      <c r="D83" s="123">
        <f>27787.91+1992+300</f>
        <v>30079.91</v>
      </c>
      <c r="E83" s="132"/>
      <c r="F83" s="132"/>
      <c r="G83" s="132"/>
      <c r="H83" s="131">
        <f t="shared" ref="H83:H91" si="30">I83+J83</f>
        <v>9051.6119999999992</v>
      </c>
      <c r="I83" s="132">
        <v>9051.6119999999992</v>
      </c>
      <c r="J83" s="132"/>
      <c r="K83" s="131">
        <f t="shared" si="28"/>
        <v>38834.466031000004</v>
      </c>
      <c r="L83" s="131">
        <v>25020.281631000002</v>
      </c>
      <c r="M83" s="131"/>
      <c r="N83" s="131"/>
      <c r="O83" s="131"/>
      <c r="P83" s="131">
        <f t="shared" ref="P83:P91" si="31">Q83+R83</f>
        <v>8043.6169999999993</v>
      </c>
      <c r="Q83" s="131">
        <v>8043.6169999999993</v>
      </c>
      <c r="R83" s="131"/>
      <c r="S83" s="131">
        <f t="shared" ref="S83:S91" si="32">T83+U83</f>
        <v>5770.5673999999999</v>
      </c>
      <c r="T83" s="131">
        <v>5770.5673999999999</v>
      </c>
      <c r="U83" s="131"/>
      <c r="V83" s="124"/>
      <c r="W83" s="124"/>
      <c r="X83" s="124"/>
      <c r="Y83" s="25"/>
      <c r="Z83" s="25"/>
      <c r="AA83" s="25"/>
      <c r="AB83" s="25"/>
      <c r="AC83" s="25"/>
      <c r="AD83" s="25"/>
      <c r="AE83" s="25"/>
      <c r="AF83" s="25"/>
      <c r="AG83" s="25"/>
      <c r="AH83" s="25"/>
      <c r="AI83" s="25"/>
      <c r="AJ83" s="25"/>
    </row>
    <row r="84" spans="1:36" s="114" customFormat="1" ht="18.75" customHeight="1">
      <c r="A84" s="121">
        <v>9</v>
      </c>
      <c r="B84" s="122" t="s">
        <v>617</v>
      </c>
      <c r="C84" s="131">
        <f t="shared" si="29"/>
        <v>55795.1086</v>
      </c>
      <c r="D84" s="123">
        <f>20487.6886+1829</f>
        <v>22316.688600000001</v>
      </c>
      <c r="E84" s="132"/>
      <c r="F84" s="132"/>
      <c r="G84" s="132"/>
      <c r="H84" s="131">
        <f t="shared" si="30"/>
        <v>33478.42</v>
      </c>
      <c r="I84" s="132">
        <v>33478.42</v>
      </c>
      <c r="J84" s="132"/>
      <c r="K84" s="131">
        <f t="shared" si="28"/>
        <v>55795.108600000007</v>
      </c>
      <c r="L84" s="131">
        <v>17565.800600000002</v>
      </c>
      <c r="M84" s="131"/>
      <c r="N84" s="131"/>
      <c r="O84" s="131"/>
      <c r="P84" s="131">
        <f t="shared" si="31"/>
        <v>15154.162</v>
      </c>
      <c r="Q84" s="131">
        <v>15154.162</v>
      </c>
      <c r="R84" s="131"/>
      <c r="S84" s="131">
        <f t="shared" si="32"/>
        <v>23075.146000000001</v>
      </c>
      <c r="T84" s="131">
        <v>23075.146000000001</v>
      </c>
      <c r="U84" s="131"/>
      <c r="V84" s="124"/>
      <c r="W84" s="124"/>
      <c r="X84" s="124"/>
      <c r="Y84" s="25"/>
      <c r="Z84" s="25"/>
      <c r="AA84" s="25"/>
      <c r="AB84" s="25"/>
      <c r="AC84" s="25"/>
      <c r="AD84" s="25"/>
      <c r="AE84" s="25"/>
      <c r="AF84" s="25"/>
      <c r="AG84" s="25"/>
      <c r="AH84" s="25"/>
      <c r="AI84" s="25"/>
      <c r="AJ84" s="25"/>
    </row>
    <row r="85" spans="1:36" s="114" customFormat="1" ht="16.5" customHeight="1">
      <c r="A85" s="121">
        <v>10</v>
      </c>
      <c r="B85" s="122" t="s">
        <v>618</v>
      </c>
      <c r="C85" s="131">
        <f t="shared" si="29"/>
        <v>117119.06492199999</v>
      </c>
      <c r="D85" s="123">
        <v>117119.06492199999</v>
      </c>
      <c r="E85" s="132"/>
      <c r="F85" s="132"/>
      <c r="G85" s="132"/>
      <c r="H85" s="131">
        <f t="shared" si="30"/>
        <v>0</v>
      </c>
      <c r="I85" s="132"/>
      <c r="J85" s="132"/>
      <c r="K85" s="131">
        <f t="shared" si="28"/>
        <v>117119.06487400002</v>
      </c>
      <c r="L85" s="131">
        <v>68142.84187400002</v>
      </c>
      <c r="M85" s="131"/>
      <c r="N85" s="131"/>
      <c r="O85" s="131"/>
      <c r="P85" s="131">
        <f t="shared" si="31"/>
        <v>0</v>
      </c>
      <c r="Q85" s="131"/>
      <c r="R85" s="131"/>
      <c r="S85" s="131">
        <f t="shared" si="32"/>
        <v>48976.222999999998</v>
      </c>
      <c r="T85" s="131">
        <v>48976.222999999998</v>
      </c>
      <c r="U85" s="131"/>
      <c r="V85" s="124"/>
      <c r="W85" s="124"/>
      <c r="X85" s="124"/>
      <c r="Y85" s="25"/>
      <c r="Z85" s="25"/>
      <c r="AA85" s="25"/>
      <c r="AB85" s="25"/>
      <c r="AC85" s="25"/>
      <c r="AD85" s="25"/>
      <c r="AE85" s="25"/>
      <c r="AF85" s="25"/>
      <c r="AG85" s="25"/>
      <c r="AH85" s="25"/>
      <c r="AI85" s="25"/>
      <c r="AJ85" s="25"/>
    </row>
    <row r="86" spans="1:36" s="28" customFormat="1" ht="28.8">
      <c r="A86" s="119" t="s">
        <v>29</v>
      </c>
      <c r="B86" s="120" t="s">
        <v>130</v>
      </c>
      <c r="C86" s="130">
        <f t="shared" si="29"/>
        <v>0</v>
      </c>
      <c r="D86" s="129"/>
      <c r="E86" s="129"/>
      <c r="F86" s="129"/>
      <c r="G86" s="129"/>
      <c r="H86" s="130">
        <f t="shared" si="30"/>
        <v>0</v>
      </c>
      <c r="I86" s="129"/>
      <c r="J86" s="129"/>
      <c r="K86" s="130">
        <f t="shared" si="28"/>
        <v>0</v>
      </c>
      <c r="L86" s="130"/>
      <c r="M86" s="130"/>
      <c r="N86" s="130"/>
      <c r="O86" s="130"/>
      <c r="P86" s="130">
        <f t="shared" si="31"/>
        <v>0</v>
      </c>
      <c r="Q86" s="130"/>
      <c r="R86" s="130"/>
      <c r="S86" s="130">
        <f t="shared" si="32"/>
        <v>0</v>
      </c>
      <c r="T86" s="130"/>
      <c r="U86" s="130"/>
      <c r="V86" s="119"/>
      <c r="W86" s="119"/>
      <c r="X86" s="119"/>
    </row>
    <row r="87" spans="1:36" s="28" customFormat="1">
      <c r="A87" s="119" t="s">
        <v>33</v>
      </c>
      <c r="B87" s="120" t="s">
        <v>131</v>
      </c>
      <c r="C87" s="130">
        <f t="shared" si="29"/>
        <v>1000</v>
      </c>
      <c r="D87" s="129"/>
      <c r="E87" s="129"/>
      <c r="F87" s="129"/>
      <c r="G87" s="129">
        <v>1000</v>
      </c>
      <c r="H87" s="130">
        <f t="shared" si="30"/>
        <v>0</v>
      </c>
      <c r="I87" s="129"/>
      <c r="J87" s="129"/>
      <c r="K87" s="130">
        <f t="shared" si="28"/>
        <v>0</v>
      </c>
      <c r="L87" s="130"/>
      <c r="M87" s="130"/>
      <c r="N87" s="130"/>
      <c r="O87" s="130"/>
      <c r="P87" s="130">
        <f t="shared" si="31"/>
        <v>0</v>
      </c>
      <c r="Q87" s="130"/>
      <c r="R87" s="130"/>
      <c r="S87" s="130">
        <f t="shared" si="32"/>
        <v>0</v>
      </c>
      <c r="T87" s="130"/>
      <c r="U87" s="130"/>
      <c r="V87" s="119"/>
      <c r="W87" s="119"/>
      <c r="X87" s="119"/>
    </row>
    <row r="88" spans="1:36" s="28" customFormat="1">
      <c r="A88" s="119" t="s">
        <v>71</v>
      </c>
      <c r="B88" s="120" t="s">
        <v>139</v>
      </c>
      <c r="C88" s="130">
        <f t="shared" si="29"/>
        <v>42020</v>
      </c>
      <c r="D88" s="129"/>
      <c r="E88" s="129"/>
      <c r="F88" s="129"/>
      <c r="G88" s="129">
        <v>42020</v>
      </c>
      <c r="H88" s="130">
        <f t="shared" si="30"/>
        <v>0</v>
      </c>
      <c r="I88" s="129"/>
      <c r="J88" s="129"/>
      <c r="K88" s="130">
        <f t="shared" si="28"/>
        <v>0</v>
      </c>
      <c r="L88" s="130"/>
      <c r="M88" s="130"/>
      <c r="N88" s="130"/>
      <c r="O88" s="130"/>
      <c r="P88" s="130">
        <f t="shared" si="31"/>
        <v>0</v>
      </c>
      <c r="Q88" s="130"/>
      <c r="R88" s="130"/>
      <c r="S88" s="130">
        <f t="shared" si="32"/>
        <v>0</v>
      </c>
      <c r="T88" s="130"/>
      <c r="U88" s="130"/>
      <c r="V88" s="119"/>
      <c r="W88" s="119"/>
      <c r="X88" s="119"/>
    </row>
    <row r="89" spans="1:36" s="28" customFormat="1">
      <c r="A89" s="119" t="s">
        <v>96</v>
      </c>
      <c r="B89" s="120" t="s">
        <v>140</v>
      </c>
      <c r="C89" s="130">
        <f t="shared" si="29"/>
        <v>7000</v>
      </c>
      <c r="D89" s="129"/>
      <c r="E89" s="129"/>
      <c r="F89" s="129"/>
      <c r="G89" s="129">
        <v>7000</v>
      </c>
      <c r="H89" s="130">
        <f t="shared" si="30"/>
        <v>0</v>
      </c>
      <c r="I89" s="129"/>
      <c r="J89" s="129"/>
      <c r="K89" s="130">
        <f t="shared" si="28"/>
        <v>0</v>
      </c>
      <c r="L89" s="130"/>
      <c r="M89" s="130"/>
      <c r="N89" s="130"/>
      <c r="O89" s="130"/>
      <c r="P89" s="130">
        <f t="shared" si="31"/>
        <v>0</v>
      </c>
      <c r="Q89" s="130"/>
      <c r="R89" s="130"/>
      <c r="S89" s="130">
        <f t="shared" si="32"/>
        <v>0</v>
      </c>
      <c r="T89" s="130"/>
      <c r="U89" s="130"/>
      <c r="V89" s="119"/>
      <c r="W89" s="119"/>
      <c r="X89" s="119"/>
    </row>
    <row r="90" spans="1:36" s="28" customFormat="1">
      <c r="A90" s="119" t="s">
        <v>97</v>
      </c>
      <c r="B90" s="120" t="s">
        <v>141</v>
      </c>
      <c r="C90" s="130">
        <f t="shared" si="29"/>
        <v>1996264</v>
      </c>
      <c r="D90" s="129"/>
      <c r="E90" s="129"/>
      <c r="F90" s="129"/>
      <c r="G90" s="129">
        <v>1996264</v>
      </c>
      <c r="H90" s="130">
        <f t="shared" si="30"/>
        <v>0</v>
      </c>
      <c r="I90" s="129"/>
      <c r="J90" s="129"/>
      <c r="K90" s="130">
        <f t="shared" si="28"/>
        <v>0</v>
      </c>
      <c r="L90" s="130"/>
      <c r="M90" s="130"/>
      <c r="N90" s="130"/>
      <c r="O90" s="130"/>
      <c r="P90" s="130">
        <f t="shared" si="31"/>
        <v>0</v>
      </c>
      <c r="Q90" s="130"/>
      <c r="R90" s="130"/>
      <c r="S90" s="130">
        <f t="shared" si="32"/>
        <v>0</v>
      </c>
      <c r="T90" s="130"/>
      <c r="U90" s="130"/>
      <c r="V90" s="119"/>
      <c r="W90" s="119"/>
      <c r="X90" s="119"/>
    </row>
    <row r="91" spans="1:36" s="28" customFormat="1">
      <c r="A91" s="126" t="s">
        <v>142</v>
      </c>
      <c r="B91" s="127" t="s">
        <v>133</v>
      </c>
      <c r="C91" s="134">
        <f t="shared" si="29"/>
        <v>0</v>
      </c>
      <c r="D91" s="133"/>
      <c r="E91" s="133"/>
      <c r="F91" s="133"/>
      <c r="G91" s="133">
        <v>0</v>
      </c>
      <c r="H91" s="134">
        <f t="shared" si="30"/>
        <v>0</v>
      </c>
      <c r="I91" s="133"/>
      <c r="J91" s="133"/>
      <c r="K91" s="130">
        <f t="shared" si="28"/>
        <v>0</v>
      </c>
      <c r="L91" s="134"/>
      <c r="M91" s="134"/>
      <c r="N91" s="134"/>
      <c r="O91" s="134"/>
      <c r="P91" s="134">
        <f t="shared" si="31"/>
        <v>0</v>
      </c>
      <c r="Q91" s="134"/>
      <c r="R91" s="134"/>
      <c r="S91" s="134">
        <f t="shared" si="32"/>
        <v>0</v>
      </c>
      <c r="T91" s="134"/>
      <c r="U91" s="134"/>
      <c r="V91" s="126"/>
      <c r="W91" s="126"/>
      <c r="X91" s="126"/>
    </row>
    <row r="92" spans="1:36" s="25" customFormat="1">
      <c r="A92" s="116"/>
      <c r="C92" s="29"/>
      <c r="D92" s="29"/>
      <c r="E92" s="29"/>
      <c r="F92" s="29"/>
      <c r="G92" s="29"/>
      <c r="H92" s="29"/>
      <c r="I92" s="29"/>
      <c r="J92" s="29"/>
      <c r="K92" s="109"/>
      <c r="L92" s="109"/>
      <c r="M92" s="109"/>
      <c r="N92" s="109"/>
      <c r="O92" s="109"/>
      <c r="P92" s="109"/>
      <c r="Q92" s="109"/>
      <c r="R92" s="109"/>
      <c r="S92" s="109"/>
      <c r="T92" s="109"/>
      <c r="U92" s="109"/>
    </row>
    <row r="93" spans="1:36" s="25" customFormat="1">
      <c r="C93" s="29"/>
      <c r="D93" s="29"/>
      <c r="E93" s="29"/>
      <c r="F93" s="29"/>
      <c r="G93" s="29"/>
      <c r="H93" s="29"/>
      <c r="I93" s="29"/>
      <c r="J93" s="29"/>
      <c r="K93" s="109"/>
      <c r="L93" s="109"/>
      <c r="M93" s="109"/>
      <c r="N93" s="109"/>
      <c r="O93" s="109"/>
      <c r="P93" s="109"/>
      <c r="Q93" s="109"/>
      <c r="R93" s="109"/>
      <c r="S93" s="109"/>
      <c r="T93" s="109"/>
      <c r="U93" s="109"/>
    </row>
    <row r="94" spans="1:36" s="25" customFormat="1">
      <c r="K94" s="103"/>
      <c r="L94" s="103"/>
      <c r="M94" s="103"/>
      <c r="N94" s="103"/>
      <c r="O94" s="103"/>
      <c r="P94" s="103"/>
      <c r="Q94" s="103"/>
      <c r="R94" s="103"/>
      <c r="S94" s="103"/>
      <c r="T94" s="103"/>
      <c r="U94" s="103"/>
    </row>
    <row r="95" spans="1:36" s="25" customFormat="1">
      <c r="K95" s="103"/>
      <c r="L95" s="103"/>
      <c r="M95" s="103"/>
      <c r="N95" s="103"/>
      <c r="O95" s="103"/>
      <c r="P95" s="103"/>
      <c r="Q95" s="103"/>
      <c r="R95" s="103"/>
      <c r="S95" s="103"/>
      <c r="T95" s="103"/>
      <c r="U95" s="103"/>
    </row>
    <row r="96" spans="1:36" s="25" customFormat="1">
      <c r="K96" s="103"/>
      <c r="L96" s="103"/>
      <c r="M96" s="103"/>
      <c r="N96" s="103"/>
      <c r="O96" s="103"/>
      <c r="P96" s="103"/>
      <c r="Q96" s="103"/>
      <c r="R96" s="103"/>
      <c r="S96" s="103"/>
      <c r="T96" s="103"/>
      <c r="U96" s="103"/>
    </row>
    <row r="97" spans="11:21" s="25" customFormat="1">
      <c r="K97" s="103"/>
      <c r="L97" s="103"/>
      <c r="M97" s="103"/>
      <c r="N97" s="103"/>
      <c r="O97" s="103"/>
      <c r="P97" s="103"/>
      <c r="Q97" s="103"/>
      <c r="R97" s="103"/>
      <c r="S97" s="103"/>
      <c r="T97" s="103"/>
      <c r="U97" s="103"/>
    </row>
    <row r="98" spans="11:21" s="25" customFormat="1">
      <c r="K98" s="103"/>
      <c r="L98" s="103"/>
      <c r="M98" s="103"/>
      <c r="N98" s="103"/>
      <c r="O98" s="103"/>
      <c r="P98" s="103"/>
      <c r="Q98" s="103"/>
      <c r="R98" s="103"/>
      <c r="S98" s="103"/>
      <c r="T98" s="103"/>
      <c r="U98" s="103"/>
    </row>
    <row r="99" spans="11:21" s="25" customFormat="1">
      <c r="K99" s="103"/>
      <c r="L99" s="103"/>
      <c r="M99" s="103"/>
      <c r="N99" s="103"/>
      <c r="O99" s="103"/>
      <c r="P99" s="103"/>
      <c r="Q99" s="103"/>
      <c r="R99" s="103"/>
      <c r="S99" s="103"/>
      <c r="T99" s="103"/>
      <c r="U99" s="103"/>
    </row>
    <row r="100" spans="11:21" s="25" customFormat="1">
      <c r="K100" s="103"/>
      <c r="L100" s="103"/>
      <c r="M100" s="103"/>
      <c r="N100" s="103"/>
      <c r="O100" s="103"/>
      <c r="P100" s="103"/>
      <c r="Q100" s="103"/>
      <c r="R100" s="103"/>
      <c r="S100" s="103"/>
      <c r="T100" s="103"/>
      <c r="U100" s="103"/>
    </row>
    <row r="101" spans="11:21" s="25" customFormat="1">
      <c r="K101" s="103"/>
      <c r="L101" s="103"/>
      <c r="M101" s="103"/>
      <c r="N101" s="103"/>
      <c r="O101" s="103"/>
      <c r="P101" s="103"/>
      <c r="Q101" s="103"/>
      <c r="R101" s="103"/>
      <c r="S101" s="103"/>
      <c r="T101" s="103"/>
      <c r="U101" s="103"/>
    </row>
    <row r="102" spans="11:21" s="25" customFormat="1">
      <c r="K102" s="103"/>
      <c r="L102" s="103"/>
      <c r="M102" s="103"/>
      <c r="N102" s="103"/>
      <c r="O102" s="103"/>
      <c r="P102" s="103"/>
      <c r="Q102" s="103"/>
      <c r="R102" s="103"/>
      <c r="S102" s="103"/>
      <c r="T102" s="103"/>
      <c r="U102" s="103"/>
    </row>
    <row r="103" spans="11:21" s="25" customFormat="1">
      <c r="K103" s="103"/>
      <c r="L103" s="103"/>
      <c r="M103" s="103"/>
      <c r="N103" s="103"/>
      <c r="O103" s="103"/>
      <c r="P103" s="103"/>
      <c r="Q103" s="103"/>
      <c r="R103" s="103"/>
      <c r="S103" s="103"/>
      <c r="T103" s="103"/>
      <c r="U103" s="103"/>
    </row>
    <row r="104" spans="11:21" s="25" customFormat="1">
      <c r="K104" s="103"/>
      <c r="L104" s="103"/>
      <c r="M104" s="103"/>
      <c r="N104" s="103"/>
      <c r="O104" s="103"/>
      <c r="P104" s="103"/>
      <c r="Q104" s="103"/>
      <c r="R104" s="103"/>
      <c r="S104" s="103"/>
      <c r="T104" s="103"/>
      <c r="U104" s="103"/>
    </row>
    <row r="105" spans="11:21" s="25" customFormat="1">
      <c r="K105" s="103"/>
      <c r="L105" s="103"/>
      <c r="M105" s="103"/>
      <c r="N105" s="103"/>
      <c r="O105" s="103"/>
      <c r="P105" s="103"/>
      <c r="Q105" s="103"/>
      <c r="R105" s="103"/>
      <c r="S105" s="103"/>
      <c r="T105" s="103"/>
      <c r="U105" s="103"/>
    </row>
    <row r="106" spans="11:21" s="25" customFormat="1">
      <c r="K106" s="103"/>
      <c r="L106" s="103"/>
      <c r="M106" s="103"/>
      <c r="N106" s="103"/>
      <c r="O106" s="103"/>
      <c r="P106" s="103"/>
      <c r="Q106" s="103"/>
      <c r="R106" s="103"/>
      <c r="S106" s="103"/>
      <c r="T106" s="103"/>
      <c r="U106" s="103"/>
    </row>
    <row r="107" spans="11:21" s="25" customFormat="1">
      <c r="K107" s="103"/>
      <c r="L107" s="103"/>
      <c r="M107" s="103"/>
      <c r="N107" s="103"/>
      <c r="O107" s="103"/>
      <c r="P107" s="103"/>
      <c r="Q107" s="103"/>
      <c r="R107" s="103"/>
      <c r="S107" s="103"/>
      <c r="T107" s="103"/>
      <c r="U107" s="103"/>
    </row>
    <row r="108" spans="11:21" s="25" customFormat="1">
      <c r="K108" s="103"/>
      <c r="L108" s="103"/>
      <c r="M108" s="103"/>
      <c r="N108" s="103"/>
      <c r="O108" s="103"/>
      <c r="P108" s="103"/>
      <c r="Q108" s="103"/>
      <c r="R108" s="103"/>
      <c r="S108" s="103"/>
      <c r="T108" s="103"/>
      <c r="U108" s="103"/>
    </row>
    <row r="109" spans="11:21" s="25" customFormat="1">
      <c r="K109" s="103"/>
      <c r="L109" s="103"/>
      <c r="M109" s="103"/>
      <c r="N109" s="103"/>
      <c r="O109" s="103"/>
      <c r="P109" s="103"/>
      <c r="Q109" s="103"/>
      <c r="R109" s="103"/>
      <c r="S109" s="103"/>
      <c r="T109" s="103"/>
      <c r="U109" s="103"/>
    </row>
    <row r="110" spans="11:21" s="25" customFormat="1">
      <c r="K110" s="103"/>
      <c r="L110" s="103"/>
      <c r="M110" s="103"/>
      <c r="N110" s="103"/>
      <c r="O110" s="103"/>
      <c r="P110" s="103"/>
      <c r="Q110" s="103"/>
      <c r="R110" s="103"/>
      <c r="S110" s="103"/>
      <c r="T110" s="103"/>
      <c r="U110" s="103"/>
    </row>
    <row r="111" spans="11:21" s="25" customFormat="1">
      <c r="K111" s="103"/>
      <c r="L111" s="103"/>
      <c r="M111" s="103"/>
      <c r="N111" s="103"/>
      <c r="O111" s="103"/>
      <c r="P111" s="103"/>
      <c r="Q111" s="103"/>
      <c r="R111" s="103"/>
      <c r="S111" s="103"/>
      <c r="T111" s="103"/>
      <c r="U111" s="103"/>
    </row>
    <row r="112" spans="11:21" s="25" customFormat="1">
      <c r="K112" s="103"/>
      <c r="L112" s="103"/>
      <c r="M112" s="103"/>
      <c r="N112" s="103"/>
      <c r="O112" s="103"/>
      <c r="P112" s="103"/>
      <c r="Q112" s="103"/>
      <c r="R112" s="103"/>
      <c r="S112" s="103"/>
      <c r="T112" s="103"/>
      <c r="U112" s="103"/>
    </row>
    <row r="113" spans="11:21" s="25" customFormat="1">
      <c r="K113" s="103"/>
      <c r="L113" s="103"/>
      <c r="M113" s="103"/>
      <c r="N113" s="103"/>
      <c r="O113" s="103"/>
      <c r="P113" s="103"/>
      <c r="Q113" s="103"/>
      <c r="R113" s="103"/>
      <c r="S113" s="103"/>
      <c r="T113" s="103"/>
      <c r="U113" s="103"/>
    </row>
  </sheetData>
  <mergeCells count="24">
    <mergeCell ref="M7:M8"/>
    <mergeCell ref="A3:X3"/>
    <mergeCell ref="A4:X4"/>
    <mergeCell ref="A6:A8"/>
    <mergeCell ref="B6:B8"/>
    <mergeCell ref="C6:J6"/>
    <mergeCell ref="K6:U6"/>
    <mergeCell ref="V6:X6"/>
    <mergeCell ref="C7:C8"/>
    <mergeCell ref="D7:D8"/>
    <mergeCell ref="E7:E8"/>
    <mergeCell ref="F7:F8"/>
    <mergeCell ref="G7:G8"/>
    <mergeCell ref="H7:J7"/>
    <mergeCell ref="K7:K8"/>
    <mergeCell ref="L7:L8"/>
    <mergeCell ref="W7:W8"/>
    <mergeCell ref="X7:X8"/>
    <mergeCell ref="N7:N8"/>
    <mergeCell ref="O7:O8"/>
    <mergeCell ref="P7:R7"/>
    <mergeCell ref="S7:S8"/>
    <mergeCell ref="T7:U7"/>
    <mergeCell ref="V7:V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28"/>
  <sheetViews>
    <sheetView topLeftCell="A13" zoomScale="110" zoomScaleNormal="110" workbookViewId="0">
      <pane xSplit="4" ySplit="6" topLeftCell="E190" activePane="bottomRight" state="frozen"/>
      <selection activeCell="A13" sqref="A13"/>
      <selection pane="topRight" activeCell="E13" sqref="E13"/>
      <selection pane="bottomLeft" activeCell="A19" sqref="A19"/>
      <selection pane="bottomRight" activeCell="D199" sqref="D199"/>
    </sheetView>
  </sheetViews>
  <sheetFormatPr defaultColWidth="9.109375" defaultRowHeight="13.2" outlineLevelRow="1" outlineLevelCol="1"/>
  <cols>
    <col min="1" max="1" width="9.109375" style="190"/>
    <col min="2" max="2" width="31.33203125" style="149" hidden="1" customWidth="1" outlineLevel="1"/>
    <col min="3" max="3" width="10.33203125" style="149" hidden="1" customWidth="1" outlineLevel="1"/>
    <col min="4" max="4" width="46.6640625" style="149" customWidth="1" collapsed="1"/>
    <col min="5" max="7" width="9.109375" style="190"/>
    <col min="8" max="8" width="9.109375" style="208"/>
    <col min="9" max="9" width="18.5546875" style="149" customWidth="1"/>
    <col min="10" max="10" width="15" style="149" customWidth="1" outlineLevel="1"/>
    <col min="11" max="11" width="17.6640625" style="149" customWidth="1" outlineLevel="1"/>
    <col min="12" max="12" width="16" style="150" customWidth="1" outlineLevel="1"/>
    <col min="13" max="13" width="18.33203125" style="150" customWidth="1"/>
    <col min="14" max="14" width="16" style="150" customWidth="1"/>
    <col min="15" max="17" width="17.6640625" style="149" customWidth="1"/>
    <col min="18" max="18" width="9.109375" style="149"/>
    <col min="19" max="20" width="10.5546875" style="149" bestFit="1" customWidth="1"/>
    <col min="21" max="21" width="8" style="149" customWidth="1"/>
    <col min="22" max="23" width="10.5546875" style="149" bestFit="1" customWidth="1"/>
    <col min="24" max="24" width="6.88671875" style="149" customWidth="1"/>
    <col min="25" max="16384" width="9.109375" style="149"/>
  </cols>
  <sheetData>
    <row r="1" spans="1:24" hidden="1" outlineLevel="1">
      <c r="A1" s="189" t="s">
        <v>635</v>
      </c>
    </row>
    <row r="2" spans="1:24" hidden="1" outlineLevel="1">
      <c r="A2" s="189" t="s">
        <v>636</v>
      </c>
    </row>
    <row r="3" spans="1:24" hidden="1" outlineLevel="1"/>
    <row r="4" spans="1:24" hidden="1" outlineLevel="1">
      <c r="A4" s="189" t="s">
        <v>637</v>
      </c>
    </row>
    <row r="5" spans="1:24" hidden="1" outlineLevel="1">
      <c r="A5" s="189" t="s">
        <v>638</v>
      </c>
    </row>
    <row r="6" spans="1:24" hidden="1" outlineLevel="1">
      <c r="A6" s="189" t="s">
        <v>639</v>
      </c>
    </row>
    <row r="7" spans="1:24" hidden="1" outlineLevel="1">
      <c r="A7" s="189" t="s">
        <v>640</v>
      </c>
    </row>
    <row r="8" spans="1:24" hidden="1" outlineLevel="1"/>
    <row r="9" spans="1:24" hidden="1" outlineLevel="1">
      <c r="A9" s="189" t="s">
        <v>641</v>
      </c>
    </row>
    <row r="10" spans="1:24" hidden="1" outlineLevel="1">
      <c r="A10" s="189" t="s">
        <v>642</v>
      </c>
    </row>
    <row r="11" spans="1:24" hidden="1" outlineLevel="1"/>
    <row r="12" spans="1:24" hidden="1" outlineLevel="1">
      <c r="A12" s="189" t="s">
        <v>643</v>
      </c>
    </row>
    <row r="13" spans="1:24" ht="18.75" customHeight="1" collapsed="1">
      <c r="F13" s="216">
        <f t="shared" ref="F13:H13" si="0">F22-F19</f>
        <v>0</v>
      </c>
      <c r="G13" s="216">
        <f t="shared" si="0"/>
        <v>0</v>
      </c>
      <c r="H13" s="216">
        <f t="shared" si="0"/>
        <v>0</v>
      </c>
      <c r="I13" s="216">
        <f>I22-I19</f>
        <v>0</v>
      </c>
      <c r="J13" s="216">
        <f t="shared" ref="J13:N13" si="1">J22-J19</f>
        <v>0</v>
      </c>
      <c r="K13" s="216">
        <f t="shared" si="1"/>
        <v>0</v>
      </c>
      <c r="L13" s="216">
        <f t="shared" si="1"/>
        <v>0</v>
      </c>
      <c r="M13" s="216">
        <f t="shared" si="1"/>
        <v>1356067046973</v>
      </c>
      <c r="N13" s="216">
        <f t="shared" si="1"/>
        <v>11049920000</v>
      </c>
      <c r="O13" s="216">
        <f>O22-O19</f>
        <v>0</v>
      </c>
      <c r="W13" s="149" t="s">
        <v>1439</v>
      </c>
    </row>
    <row r="14" spans="1:24" s="197" customFormat="1" ht="15" customHeight="1">
      <c r="A14" s="846" t="s">
        <v>644</v>
      </c>
      <c r="B14" s="846" t="s">
        <v>645</v>
      </c>
      <c r="C14" s="848" t="s">
        <v>1433</v>
      </c>
      <c r="D14" s="847" t="s">
        <v>1434</v>
      </c>
      <c r="E14" s="840" t="s">
        <v>646</v>
      </c>
      <c r="F14" s="840" t="s">
        <v>647</v>
      </c>
      <c r="G14" s="840" t="s">
        <v>648</v>
      </c>
      <c r="H14" s="843" t="s">
        <v>649</v>
      </c>
      <c r="I14" s="854" t="s">
        <v>1438</v>
      </c>
      <c r="J14" s="854"/>
      <c r="K14" s="854"/>
      <c r="L14" s="854"/>
      <c r="M14" s="854"/>
      <c r="N14" s="854"/>
      <c r="O14" s="849" t="s">
        <v>1435</v>
      </c>
      <c r="P14" s="850" t="s">
        <v>162</v>
      </c>
      <c r="Q14" s="851"/>
      <c r="S14" s="854" t="s">
        <v>1438</v>
      </c>
      <c r="T14" s="854"/>
      <c r="U14" s="854"/>
      <c r="V14" s="849" t="s">
        <v>1435</v>
      </c>
      <c r="W14" s="850" t="s">
        <v>162</v>
      </c>
      <c r="X14" s="851"/>
    </row>
    <row r="15" spans="1:24" s="197" customFormat="1">
      <c r="A15" s="846"/>
      <c r="B15" s="846"/>
      <c r="C15" s="848"/>
      <c r="D15" s="847"/>
      <c r="E15" s="841"/>
      <c r="F15" s="841"/>
      <c r="G15" s="841"/>
      <c r="H15" s="844"/>
      <c r="I15" s="855" t="s">
        <v>650</v>
      </c>
      <c r="J15" s="855" t="s">
        <v>651</v>
      </c>
      <c r="K15" s="855"/>
      <c r="L15" s="855"/>
      <c r="M15" s="850" t="s">
        <v>162</v>
      </c>
      <c r="N15" s="851"/>
      <c r="O15" s="849"/>
      <c r="P15" s="852" t="s">
        <v>1436</v>
      </c>
      <c r="Q15" s="853" t="s">
        <v>1437</v>
      </c>
      <c r="S15" s="855" t="s">
        <v>650</v>
      </c>
      <c r="T15" s="850" t="s">
        <v>162</v>
      </c>
      <c r="U15" s="851"/>
      <c r="V15" s="849"/>
      <c r="W15" s="852" t="s">
        <v>1436</v>
      </c>
      <c r="X15" s="853" t="s">
        <v>1437</v>
      </c>
    </row>
    <row r="16" spans="1:24" s="197" customFormat="1" ht="12.75" customHeight="1">
      <c r="A16" s="846"/>
      <c r="B16" s="846"/>
      <c r="C16" s="848"/>
      <c r="D16" s="847"/>
      <c r="E16" s="841"/>
      <c r="F16" s="841"/>
      <c r="G16" s="841"/>
      <c r="H16" s="844"/>
      <c r="I16" s="846"/>
      <c r="J16" s="856" t="s">
        <v>652</v>
      </c>
      <c r="K16" s="856" t="s">
        <v>653</v>
      </c>
      <c r="L16" s="857" t="s">
        <v>654</v>
      </c>
      <c r="M16" s="843" t="s">
        <v>1436</v>
      </c>
      <c r="N16" s="843" t="s">
        <v>1437</v>
      </c>
      <c r="O16" s="849"/>
      <c r="P16" s="852"/>
      <c r="Q16" s="853"/>
      <c r="S16" s="846"/>
      <c r="T16" s="843" t="s">
        <v>1436</v>
      </c>
      <c r="U16" s="843" t="s">
        <v>1437</v>
      </c>
      <c r="V16" s="849"/>
      <c r="W16" s="852"/>
      <c r="X16" s="853"/>
    </row>
    <row r="17" spans="1:24" s="197" customFormat="1" ht="59.25" customHeight="1">
      <c r="A17" s="846"/>
      <c r="B17" s="846"/>
      <c r="C17" s="848"/>
      <c r="D17" s="847"/>
      <c r="E17" s="842"/>
      <c r="F17" s="842"/>
      <c r="G17" s="842"/>
      <c r="H17" s="845"/>
      <c r="I17" s="846"/>
      <c r="J17" s="856"/>
      <c r="K17" s="856"/>
      <c r="L17" s="857"/>
      <c r="M17" s="844"/>
      <c r="N17" s="845"/>
      <c r="O17" s="849"/>
      <c r="P17" s="852"/>
      <c r="Q17" s="853"/>
      <c r="S17" s="846"/>
      <c r="T17" s="844"/>
      <c r="U17" s="845"/>
      <c r="V17" s="849"/>
      <c r="W17" s="852"/>
      <c r="X17" s="853"/>
    </row>
    <row r="18" spans="1:24">
      <c r="A18" s="151" t="s">
        <v>655</v>
      </c>
      <c r="B18" s="151" t="s">
        <v>656</v>
      </c>
      <c r="C18" s="151"/>
      <c r="D18" s="151"/>
      <c r="E18" s="151" t="s">
        <v>657</v>
      </c>
      <c r="F18" s="151" t="s">
        <v>658</v>
      </c>
      <c r="G18" s="151" t="s">
        <v>659</v>
      </c>
      <c r="H18" s="209" t="s">
        <v>660</v>
      </c>
      <c r="I18" s="152" t="s">
        <v>661</v>
      </c>
      <c r="J18" s="151" t="s">
        <v>662</v>
      </c>
      <c r="K18" s="151" t="s">
        <v>663</v>
      </c>
      <c r="L18" s="198" t="s">
        <v>664</v>
      </c>
      <c r="M18" s="200"/>
      <c r="N18" s="200"/>
      <c r="O18" s="199" t="s">
        <v>665</v>
      </c>
      <c r="P18" s="151"/>
      <c r="Q18" s="151"/>
      <c r="S18" s="152" t="s">
        <v>661</v>
      </c>
      <c r="T18" s="200"/>
      <c r="U18" s="200"/>
      <c r="V18" s="199" t="s">
        <v>665</v>
      </c>
      <c r="W18" s="151"/>
      <c r="X18" s="151"/>
    </row>
    <row r="19" spans="1:24" s="153" customFormat="1" hidden="1" outlineLevel="1">
      <c r="A19" s="104"/>
      <c r="B19" s="154" t="s">
        <v>148</v>
      </c>
      <c r="C19" s="181"/>
      <c r="D19" s="181"/>
      <c r="E19" s="202"/>
      <c r="F19" s="202"/>
      <c r="G19" s="202"/>
      <c r="H19" s="203"/>
      <c r="I19" s="155">
        <v>1367116966973</v>
      </c>
      <c r="J19" s="155">
        <v>92332580561</v>
      </c>
      <c r="K19" s="156">
        <v>1064982786772</v>
      </c>
      <c r="L19" s="157">
        <v>209801599640</v>
      </c>
      <c r="M19" s="157"/>
      <c r="N19" s="157"/>
      <c r="O19" s="158">
        <v>1245405587745</v>
      </c>
      <c r="P19" s="158"/>
      <c r="Q19" s="158"/>
    </row>
    <row r="20" spans="1:24" s="153" customFormat="1" hidden="1" outlineLevel="1">
      <c r="A20" s="191"/>
      <c r="B20" s="159"/>
      <c r="C20" s="159"/>
      <c r="D20" s="185" t="s">
        <v>670</v>
      </c>
      <c r="E20" s="204"/>
      <c r="F20" s="204"/>
      <c r="G20" s="204"/>
      <c r="H20" s="205"/>
      <c r="I20" s="160">
        <v>1271860559373</v>
      </c>
      <c r="J20" s="160">
        <v>72903660561</v>
      </c>
      <c r="K20" s="161">
        <v>1064212496772</v>
      </c>
      <c r="L20" s="162">
        <v>134744402040</v>
      </c>
      <c r="M20" s="162"/>
      <c r="N20" s="162"/>
      <c r="O20" s="160">
        <v>1195665138417</v>
      </c>
      <c r="P20" s="160"/>
      <c r="Q20" s="160"/>
    </row>
    <row r="21" spans="1:24" s="153" customFormat="1" hidden="1" outlineLevel="1">
      <c r="A21" s="191"/>
      <c r="B21" s="159"/>
      <c r="C21" s="159"/>
      <c r="D21" s="185" t="s">
        <v>671</v>
      </c>
      <c r="E21" s="204"/>
      <c r="F21" s="204"/>
      <c r="G21" s="204"/>
      <c r="H21" s="205"/>
      <c r="I21" s="163">
        <v>95256407600</v>
      </c>
      <c r="J21" s="160">
        <v>19428920000</v>
      </c>
      <c r="K21" s="160">
        <v>770290000</v>
      </c>
      <c r="L21" s="162">
        <v>75057197600</v>
      </c>
      <c r="M21" s="162"/>
      <c r="N21" s="162"/>
      <c r="O21" s="160">
        <v>49740449328</v>
      </c>
      <c r="P21" s="160"/>
      <c r="Q21" s="160"/>
    </row>
    <row r="22" spans="1:24" s="153" customFormat="1" collapsed="1">
      <c r="A22" s="191"/>
      <c r="B22" s="159"/>
      <c r="C22" s="159"/>
      <c r="D22" s="191" t="s">
        <v>126</v>
      </c>
      <c r="E22" s="204"/>
      <c r="F22" s="204"/>
      <c r="G22" s="204"/>
      <c r="H22" s="205"/>
      <c r="I22" s="163">
        <f>SUM(I23:I228)</f>
        <v>1367116966973</v>
      </c>
      <c r="J22" s="163">
        <f t="shared" ref="J22:X22" si="2">SUM(J23:J228)</f>
        <v>92332580561</v>
      </c>
      <c r="K22" s="163">
        <f t="shared" si="2"/>
        <v>1064982786772</v>
      </c>
      <c r="L22" s="163">
        <f t="shared" si="2"/>
        <v>209801599640</v>
      </c>
      <c r="M22" s="163">
        <f t="shared" si="2"/>
        <v>1356067046973</v>
      </c>
      <c r="N22" s="163">
        <f t="shared" si="2"/>
        <v>11049920000</v>
      </c>
      <c r="O22" s="163">
        <f t="shared" si="2"/>
        <v>1245405587745</v>
      </c>
      <c r="P22" s="163">
        <f t="shared" si="2"/>
        <v>1236961817455</v>
      </c>
      <c r="Q22" s="163">
        <f t="shared" si="2"/>
        <v>8443770290</v>
      </c>
      <c r="R22" s="163">
        <f t="shared" si="2"/>
        <v>0</v>
      </c>
      <c r="S22" s="163">
        <f t="shared" si="2"/>
        <v>1367116.9669729997</v>
      </c>
      <c r="T22" s="163">
        <f t="shared" si="2"/>
        <v>1356067.046973</v>
      </c>
      <c r="U22" s="163">
        <f t="shared" si="2"/>
        <v>11049.92</v>
      </c>
      <c r="V22" s="163">
        <f t="shared" si="2"/>
        <v>1245405.5877449992</v>
      </c>
      <c r="W22" s="163">
        <f t="shared" si="2"/>
        <v>1236961.8174549995</v>
      </c>
      <c r="X22" s="163">
        <f t="shared" si="2"/>
        <v>8443.7702900000004</v>
      </c>
    </row>
    <row r="23" spans="1:24" s="169" customFormat="1" ht="39.6">
      <c r="A23" s="192">
        <v>1</v>
      </c>
      <c r="B23" s="165" t="s">
        <v>1340</v>
      </c>
      <c r="C23" s="183" t="str">
        <f t="shared" ref="C23:C86" si="3">IF(B23&lt;&gt;"",IF(AND(LEFT(B23,1)&gt;="0",LEFT(B23,1)&lt;="9"),LEFT(B23,7),""),"")</f>
        <v>1115161</v>
      </c>
      <c r="D23" s="182" t="s">
        <v>1664</v>
      </c>
      <c r="E23" s="206"/>
      <c r="F23" s="192">
        <v>422</v>
      </c>
      <c r="G23" s="207"/>
      <c r="H23" s="205"/>
      <c r="I23" s="167">
        <v>25040000000</v>
      </c>
      <c r="J23" s="166"/>
      <c r="K23" s="167">
        <v>5775000000</v>
      </c>
      <c r="L23" s="168">
        <v>19265000000</v>
      </c>
      <c r="M23" s="168">
        <v>25040000000</v>
      </c>
      <c r="N23" s="168"/>
      <c r="O23" s="167">
        <v>24072585000</v>
      </c>
      <c r="P23" s="167">
        <v>24072585000</v>
      </c>
      <c r="Q23" s="168"/>
      <c r="S23" s="201">
        <f>I23/1000000</f>
        <v>25040</v>
      </c>
      <c r="T23" s="201">
        <f>M23/1000000</f>
        <v>25040</v>
      </c>
      <c r="U23" s="201">
        <f>N23/1000000</f>
        <v>0</v>
      </c>
      <c r="V23" s="201">
        <f>O23/1000000</f>
        <v>24072.584999999999</v>
      </c>
      <c r="W23" s="201">
        <f t="shared" ref="W23:X23" si="4">P23/1000000</f>
        <v>24072.584999999999</v>
      </c>
      <c r="X23" s="201">
        <f t="shared" si="4"/>
        <v>0</v>
      </c>
    </row>
    <row r="24" spans="1:24" s="169" customFormat="1" ht="13.8">
      <c r="A24" s="192">
        <v>2</v>
      </c>
      <c r="B24" s="164" t="s">
        <v>1044</v>
      </c>
      <c r="C24" s="183" t="str">
        <f t="shared" si="3"/>
        <v>1048179</v>
      </c>
      <c r="D24" s="182" t="s">
        <v>1492</v>
      </c>
      <c r="E24" s="206"/>
      <c r="F24" s="192">
        <v>421</v>
      </c>
      <c r="G24" s="207"/>
      <c r="H24" s="205"/>
      <c r="I24" s="167">
        <v>814390476</v>
      </c>
      <c r="J24" s="167">
        <v>51390476</v>
      </c>
      <c r="K24" s="167">
        <v>343000000</v>
      </c>
      <c r="L24" s="168">
        <v>420000000</v>
      </c>
      <c r="M24" s="168">
        <v>814390476</v>
      </c>
      <c r="N24" s="168"/>
      <c r="O24" s="167">
        <v>662961630</v>
      </c>
      <c r="P24" s="167">
        <v>662961630</v>
      </c>
      <c r="Q24" s="168"/>
      <c r="S24" s="201">
        <f t="shared" ref="S24:S30" si="5">I24/1000000</f>
        <v>814.39047600000004</v>
      </c>
      <c r="T24" s="201">
        <f t="shared" ref="T24:T30" si="6">M24/1000000</f>
        <v>814.39047600000004</v>
      </c>
      <c r="U24" s="201">
        <f t="shared" ref="U24:U30" si="7">N24/1000000</f>
        <v>0</v>
      </c>
      <c r="V24" s="201">
        <f t="shared" ref="V24:V30" si="8">O24/1000000</f>
        <v>662.96163000000001</v>
      </c>
      <c r="W24" s="201">
        <f t="shared" ref="W24:W30" si="9">P24/1000000</f>
        <v>662.96163000000001</v>
      </c>
      <c r="X24" s="201">
        <f t="shared" ref="X24:X30" si="10">Q24/1000000</f>
        <v>0</v>
      </c>
    </row>
    <row r="25" spans="1:24" s="169" customFormat="1" ht="26.4">
      <c r="A25" s="192">
        <v>3</v>
      </c>
      <c r="B25" s="176" t="s">
        <v>966</v>
      </c>
      <c r="C25" s="183" t="str">
        <f t="shared" si="3"/>
        <v>1047747</v>
      </c>
      <c r="D25" s="182" t="s">
        <v>1886</v>
      </c>
      <c r="E25" s="206"/>
      <c r="F25" s="192">
        <v>509</v>
      </c>
      <c r="G25" s="207"/>
      <c r="H25" s="205"/>
      <c r="I25" s="167">
        <v>4034583000</v>
      </c>
      <c r="J25" s="166"/>
      <c r="K25" s="167">
        <v>4023500000</v>
      </c>
      <c r="L25" s="168">
        <v>11083000</v>
      </c>
      <c r="M25" s="168">
        <v>4034583000</v>
      </c>
      <c r="N25" s="168"/>
      <c r="O25" s="167">
        <v>3914583000</v>
      </c>
      <c r="P25" s="167">
        <v>3914583000</v>
      </c>
      <c r="Q25" s="168"/>
      <c r="S25" s="201">
        <f t="shared" si="5"/>
        <v>4034.5830000000001</v>
      </c>
      <c r="T25" s="201">
        <f t="shared" si="6"/>
        <v>4034.5830000000001</v>
      </c>
      <c r="U25" s="201">
        <f t="shared" si="7"/>
        <v>0</v>
      </c>
      <c r="V25" s="201">
        <f t="shared" si="8"/>
        <v>3914.5830000000001</v>
      </c>
      <c r="W25" s="201">
        <f t="shared" si="9"/>
        <v>3914.5830000000001</v>
      </c>
      <c r="X25" s="201">
        <f t="shared" si="10"/>
        <v>0</v>
      </c>
    </row>
    <row r="26" spans="1:24" s="236" customFormat="1" ht="39.6">
      <c r="A26" s="227">
        <v>4</v>
      </c>
      <c r="B26" s="248" t="s">
        <v>1887</v>
      </c>
      <c r="C26" s="229" t="str">
        <f t="shared" si="3"/>
        <v>1030058</v>
      </c>
      <c r="D26" s="230" t="s">
        <v>1888</v>
      </c>
      <c r="E26" s="231"/>
      <c r="F26" s="227">
        <v>411</v>
      </c>
      <c r="G26" s="232"/>
      <c r="H26" s="233"/>
      <c r="I26" s="226">
        <v>2387542157</v>
      </c>
      <c r="J26" s="226">
        <v>2387542157</v>
      </c>
      <c r="K26" s="234"/>
      <c r="L26" s="249"/>
      <c r="M26" s="235">
        <v>2387542157</v>
      </c>
      <c r="N26" s="249"/>
      <c r="O26" s="226">
        <v>1130765675</v>
      </c>
      <c r="P26" s="226">
        <v>1130765675</v>
      </c>
      <c r="Q26" s="249"/>
      <c r="S26" s="237">
        <f t="shared" si="5"/>
        <v>2387.5421569999999</v>
      </c>
      <c r="T26" s="237">
        <f t="shared" si="6"/>
        <v>2387.5421569999999</v>
      </c>
      <c r="U26" s="237">
        <f t="shared" si="7"/>
        <v>0</v>
      </c>
      <c r="V26" s="237">
        <f t="shared" si="8"/>
        <v>1130.7656750000001</v>
      </c>
      <c r="W26" s="237">
        <f t="shared" si="9"/>
        <v>1130.7656750000001</v>
      </c>
      <c r="X26" s="237">
        <f t="shared" si="10"/>
        <v>0</v>
      </c>
    </row>
    <row r="27" spans="1:24" s="236" customFormat="1" ht="39.6">
      <c r="A27" s="227">
        <v>5</v>
      </c>
      <c r="B27" s="228" t="s">
        <v>1331</v>
      </c>
      <c r="C27" s="229" t="str">
        <f t="shared" si="3"/>
        <v>1114113</v>
      </c>
      <c r="D27" s="230" t="s">
        <v>1662</v>
      </c>
      <c r="E27" s="231"/>
      <c r="F27" s="232">
        <v>411</v>
      </c>
      <c r="G27" s="232"/>
      <c r="H27" s="233"/>
      <c r="I27" s="226">
        <v>33874205973</v>
      </c>
      <c r="J27" s="226">
        <v>18819205973</v>
      </c>
      <c r="K27" s="226">
        <v>15055000000</v>
      </c>
      <c r="L27" s="249"/>
      <c r="M27" s="235">
        <v>33874205973</v>
      </c>
      <c r="N27" s="249"/>
      <c r="O27" s="226">
        <v>33874205973</v>
      </c>
      <c r="P27" s="226">
        <v>33874205973</v>
      </c>
      <c r="Q27" s="249"/>
      <c r="S27" s="237">
        <f t="shared" si="5"/>
        <v>33874.205972999996</v>
      </c>
      <c r="T27" s="237">
        <f t="shared" si="6"/>
        <v>33874.205972999996</v>
      </c>
      <c r="U27" s="237">
        <f t="shared" si="7"/>
        <v>0</v>
      </c>
      <c r="V27" s="237">
        <f t="shared" si="8"/>
        <v>33874.205972999996</v>
      </c>
      <c r="W27" s="237">
        <f t="shared" si="9"/>
        <v>33874.205972999996</v>
      </c>
      <c r="X27" s="237">
        <f t="shared" si="10"/>
        <v>0</v>
      </c>
    </row>
    <row r="28" spans="1:24" s="169" customFormat="1" ht="39.6">
      <c r="A28" s="192">
        <v>6</v>
      </c>
      <c r="B28" s="165" t="s">
        <v>755</v>
      </c>
      <c r="C28" s="183" t="str">
        <f t="shared" si="3"/>
        <v>1026899</v>
      </c>
      <c r="D28" s="182" t="s">
        <v>1559</v>
      </c>
      <c r="E28" s="206"/>
      <c r="F28" s="207">
        <v>412</v>
      </c>
      <c r="G28" s="207"/>
      <c r="H28" s="205"/>
      <c r="I28" s="167">
        <v>430700000</v>
      </c>
      <c r="J28" s="167">
        <v>63000000</v>
      </c>
      <c r="K28" s="167">
        <v>362000000</v>
      </c>
      <c r="L28" s="168">
        <v>5700000</v>
      </c>
      <c r="M28" s="168">
        <v>430700000</v>
      </c>
      <c r="N28" s="168"/>
      <c r="O28" s="167">
        <v>430700000</v>
      </c>
      <c r="P28" s="167">
        <v>430700000</v>
      </c>
      <c r="Q28" s="168"/>
      <c r="S28" s="201">
        <f t="shared" si="5"/>
        <v>430.7</v>
      </c>
      <c r="T28" s="201">
        <f t="shared" si="6"/>
        <v>430.7</v>
      </c>
      <c r="U28" s="201">
        <f t="shared" si="7"/>
        <v>0</v>
      </c>
      <c r="V28" s="201">
        <f t="shared" si="8"/>
        <v>430.7</v>
      </c>
      <c r="W28" s="201">
        <f t="shared" si="9"/>
        <v>430.7</v>
      </c>
      <c r="X28" s="201">
        <f t="shared" si="10"/>
        <v>0</v>
      </c>
    </row>
    <row r="29" spans="1:24" s="169" customFormat="1" ht="26.4">
      <c r="A29" s="192">
        <v>7</v>
      </c>
      <c r="B29" s="165" t="s">
        <v>1418</v>
      </c>
      <c r="C29" s="183" t="str">
        <f t="shared" si="3"/>
        <v>3017052</v>
      </c>
      <c r="D29" s="182" t="s">
        <v>1673</v>
      </c>
      <c r="E29" s="206"/>
      <c r="F29" s="207">
        <v>533</v>
      </c>
      <c r="G29" s="207"/>
      <c r="H29" s="205"/>
      <c r="I29" s="167">
        <v>729700000</v>
      </c>
      <c r="J29" s="166"/>
      <c r="K29" s="167">
        <v>632000000</v>
      </c>
      <c r="L29" s="168">
        <v>97700000</v>
      </c>
      <c r="M29" s="168">
        <v>729700000</v>
      </c>
      <c r="N29" s="168"/>
      <c r="O29" s="167">
        <v>729700000</v>
      </c>
      <c r="P29" s="167">
        <v>729700000</v>
      </c>
      <c r="Q29" s="168"/>
      <c r="S29" s="201">
        <f t="shared" si="5"/>
        <v>729.7</v>
      </c>
      <c r="T29" s="201">
        <f t="shared" si="6"/>
        <v>729.7</v>
      </c>
      <c r="U29" s="201">
        <f t="shared" si="7"/>
        <v>0</v>
      </c>
      <c r="V29" s="201">
        <f t="shared" si="8"/>
        <v>729.7</v>
      </c>
      <c r="W29" s="201">
        <f t="shared" si="9"/>
        <v>729.7</v>
      </c>
      <c r="X29" s="201">
        <f t="shared" si="10"/>
        <v>0</v>
      </c>
    </row>
    <row r="30" spans="1:24" s="169" customFormat="1" ht="13.8">
      <c r="A30" s="192">
        <v>8</v>
      </c>
      <c r="B30" s="170" t="s">
        <v>846</v>
      </c>
      <c r="C30" s="183" t="str">
        <f t="shared" si="3"/>
        <v>1037479</v>
      </c>
      <c r="D30" s="182" t="s">
        <v>181</v>
      </c>
      <c r="E30" s="206"/>
      <c r="F30" s="207">
        <v>483</v>
      </c>
      <c r="G30" s="207"/>
      <c r="H30" s="205"/>
      <c r="I30" s="167">
        <v>7518100000</v>
      </c>
      <c r="J30" s="166"/>
      <c r="K30" s="167">
        <v>4447000000</v>
      </c>
      <c r="L30" s="168">
        <v>3071100000</v>
      </c>
      <c r="M30" s="168">
        <v>5819100000</v>
      </c>
      <c r="N30" s="168">
        <v>1699000000</v>
      </c>
      <c r="O30" s="167">
        <v>7042240864</v>
      </c>
      <c r="P30" s="167">
        <v>5620952864</v>
      </c>
      <c r="Q30" s="168">
        <v>1421288000</v>
      </c>
      <c r="S30" s="201">
        <f t="shared" si="5"/>
        <v>7518.1</v>
      </c>
      <c r="T30" s="201">
        <f t="shared" si="6"/>
        <v>5819.1</v>
      </c>
      <c r="U30" s="201">
        <f t="shared" si="7"/>
        <v>1699</v>
      </c>
      <c r="V30" s="201">
        <f t="shared" si="8"/>
        <v>7042.2408640000003</v>
      </c>
      <c r="W30" s="201">
        <f t="shared" si="9"/>
        <v>5620.9528639999999</v>
      </c>
      <c r="X30" s="201">
        <f t="shared" si="10"/>
        <v>1421.288</v>
      </c>
    </row>
    <row r="31" spans="1:24" s="169" customFormat="1" ht="13.8">
      <c r="A31" s="192">
        <v>9</v>
      </c>
      <c r="B31" s="170" t="s">
        <v>1240</v>
      </c>
      <c r="C31" s="183" t="str">
        <f t="shared" si="3"/>
        <v>1093795</v>
      </c>
      <c r="D31" s="182" t="s">
        <v>1646</v>
      </c>
      <c r="E31" s="206"/>
      <c r="F31" s="207">
        <v>599</v>
      </c>
      <c r="G31" s="207"/>
      <c r="H31" s="205"/>
      <c r="I31" s="167">
        <v>246000000</v>
      </c>
      <c r="J31" s="166"/>
      <c r="K31" s="167">
        <v>158000000</v>
      </c>
      <c r="L31" s="168">
        <v>88000000</v>
      </c>
      <c r="M31" s="168">
        <v>246000000</v>
      </c>
      <c r="N31" s="168"/>
      <c r="O31" s="167">
        <v>246000000</v>
      </c>
      <c r="P31" s="167">
        <v>246000000</v>
      </c>
      <c r="Q31" s="168"/>
      <c r="S31" s="201">
        <f t="shared" ref="S31:S38" si="11">I31/1000000</f>
        <v>246</v>
      </c>
      <c r="T31" s="201">
        <f t="shared" ref="T31:T38" si="12">M31/1000000</f>
        <v>246</v>
      </c>
      <c r="U31" s="201">
        <f t="shared" ref="U31:U38" si="13">N31/1000000</f>
        <v>0</v>
      </c>
      <c r="V31" s="201">
        <f t="shared" ref="V31:V38" si="14">O31/1000000</f>
        <v>246</v>
      </c>
      <c r="W31" s="201">
        <f t="shared" ref="W31:W38" si="15">P31/1000000</f>
        <v>246</v>
      </c>
      <c r="X31" s="201">
        <f t="shared" ref="X31:X38" si="16">Q31/1000000</f>
        <v>0</v>
      </c>
    </row>
    <row r="32" spans="1:24" s="169" customFormat="1" ht="13.8">
      <c r="A32" s="192">
        <v>10</v>
      </c>
      <c r="B32" s="164" t="s">
        <v>1296</v>
      </c>
      <c r="C32" s="183" t="str">
        <f t="shared" si="3"/>
        <v>1104765</v>
      </c>
      <c r="D32" s="182" t="s">
        <v>1526</v>
      </c>
      <c r="E32" s="206"/>
      <c r="F32" s="207">
        <v>425</v>
      </c>
      <c r="G32" s="207"/>
      <c r="H32" s="205"/>
      <c r="I32" s="167">
        <v>1452900000</v>
      </c>
      <c r="J32" s="166"/>
      <c r="K32" s="167">
        <v>1430900000</v>
      </c>
      <c r="L32" s="168">
        <v>22000000</v>
      </c>
      <c r="M32" s="168">
        <v>1452900000</v>
      </c>
      <c r="N32" s="168"/>
      <c r="O32" s="167">
        <v>1452900000</v>
      </c>
      <c r="P32" s="167">
        <v>1452900000</v>
      </c>
      <c r="Q32" s="168"/>
      <c r="S32" s="201">
        <f t="shared" si="11"/>
        <v>1452.9</v>
      </c>
      <c r="T32" s="201">
        <f t="shared" si="12"/>
        <v>1452.9</v>
      </c>
      <c r="U32" s="201">
        <f t="shared" si="13"/>
        <v>0</v>
      </c>
      <c r="V32" s="201">
        <f t="shared" si="14"/>
        <v>1452.9</v>
      </c>
      <c r="W32" s="201">
        <f t="shared" si="15"/>
        <v>1452.9</v>
      </c>
      <c r="X32" s="201">
        <f t="shared" si="16"/>
        <v>0</v>
      </c>
    </row>
    <row r="33" spans="1:24" s="169" customFormat="1" ht="39.6">
      <c r="A33" s="192">
        <v>11</v>
      </c>
      <c r="B33" s="165" t="s">
        <v>1431</v>
      </c>
      <c r="C33" s="183" t="str">
        <f t="shared" si="3"/>
        <v>3027473</v>
      </c>
      <c r="D33" s="182" t="s">
        <v>1605</v>
      </c>
      <c r="E33" s="206"/>
      <c r="F33" s="207">
        <v>423</v>
      </c>
      <c r="G33" s="207"/>
      <c r="H33" s="205"/>
      <c r="I33" s="167">
        <v>130000000</v>
      </c>
      <c r="J33" s="166"/>
      <c r="K33" s="167">
        <v>130000000</v>
      </c>
      <c r="L33" s="171"/>
      <c r="M33" s="168">
        <v>130000000</v>
      </c>
      <c r="N33" s="171"/>
      <c r="O33" s="167">
        <v>130000000</v>
      </c>
      <c r="P33" s="167">
        <v>130000000</v>
      </c>
      <c r="Q33" s="171"/>
      <c r="S33" s="201">
        <f t="shared" si="11"/>
        <v>130</v>
      </c>
      <c r="T33" s="201">
        <f t="shared" si="12"/>
        <v>130</v>
      </c>
      <c r="U33" s="201">
        <f t="shared" si="13"/>
        <v>0</v>
      </c>
      <c r="V33" s="201">
        <f t="shared" si="14"/>
        <v>130</v>
      </c>
      <c r="W33" s="201">
        <f t="shared" si="15"/>
        <v>130</v>
      </c>
      <c r="X33" s="201">
        <f t="shared" si="16"/>
        <v>0</v>
      </c>
    </row>
    <row r="34" spans="1:24" s="169" customFormat="1" ht="39.6">
      <c r="A34" s="192">
        <v>12</v>
      </c>
      <c r="B34" s="165" t="s">
        <v>1425</v>
      </c>
      <c r="C34" s="183" t="str">
        <f t="shared" si="3"/>
        <v>3023385</v>
      </c>
      <c r="D34" s="182" t="s">
        <v>1534</v>
      </c>
      <c r="E34" s="206"/>
      <c r="F34" s="207">
        <v>423</v>
      </c>
      <c r="G34" s="207"/>
      <c r="H34" s="205"/>
      <c r="I34" s="167">
        <v>700000000</v>
      </c>
      <c r="J34" s="166"/>
      <c r="K34" s="167">
        <v>700000000</v>
      </c>
      <c r="L34" s="171"/>
      <c r="M34" s="168">
        <v>700000000</v>
      </c>
      <c r="N34" s="171"/>
      <c r="O34" s="167">
        <v>700000000</v>
      </c>
      <c r="P34" s="167">
        <v>700000000</v>
      </c>
      <c r="Q34" s="171"/>
      <c r="S34" s="201">
        <f t="shared" si="11"/>
        <v>700</v>
      </c>
      <c r="T34" s="201">
        <f t="shared" si="12"/>
        <v>700</v>
      </c>
      <c r="U34" s="201">
        <f t="shared" si="13"/>
        <v>0</v>
      </c>
      <c r="V34" s="201">
        <f t="shared" si="14"/>
        <v>700</v>
      </c>
      <c r="W34" s="201">
        <f t="shared" si="15"/>
        <v>700</v>
      </c>
      <c r="X34" s="201">
        <f t="shared" si="16"/>
        <v>0</v>
      </c>
    </row>
    <row r="35" spans="1:24" s="169" customFormat="1" ht="52.8">
      <c r="A35" s="192">
        <v>13</v>
      </c>
      <c r="B35" s="165" t="s">
        <v>1380</v>
      </c>
      <c r="C35" s="183" t="str">
        <f t="shared" si="3"/>
        <v>1124841</v>
      </c>
      <c r="D35" s="182" t="s">
        <v>1669</v>
      </c>
      <c r="E35" s="206"/>
      <c r="F35" s="207">
        <v>599</v>
      </c>
      <c r="G35" s="207"/>
      <c r="H35" s="205"/>
      <c r="I35" s="167">
        <v>720000000</v>
      </c>
      <c r="J35" s="166"/>
      <c r="K35" s="166"/>
      <c r="L35" s="168">
        <v>720000000</v>
      </c>
      <c r="M35" s="168">
        <v>720000000</v>
      </c>
      <c r="N35" s="168"/>
      <c r="O35" s="167">
        <v>505704737</v>
      </c>
      <c r="P35" s="167">
        <v>505704737</v>
      </c>
      <c r="Q35" s="168"/>
      <c r="S35" s="201">
        <f t="shared" si="11"/>
        <v>720</v>
      </c>
      <c r="T35" s="201">
        <f t="shared" si="12"/>
        <v>720</v>
      </c>
      <c r="U35" s="201">
        <f t="shared" si="13"/>
        <v>0</v>
      </c>
      <c r="V35" s="201">
        <f t="shared" si="14"/>
        <v>505.70473700000002</v>
      </c>
      <c r="W35" s="201">
        <f t="shared" si="15"/>
        <v>505.70473700000002</v>
      </c>
      <c r="X35" s="201">
        <f t="shared" si="16"/>
        <v>0</v>
      </c>
    </row>
    <row r="36" spans="1:24" s="169" customFormat="1" ht="39.6">
      <c r="A36" s="192">
        <v>14</v>
      </c>
      <c r="B36" s="176" t="s">
        <v>1293</v>
      </c>
      <c r="C36" s="183" t="str">
        <f t="shared" si="3"/>
        <v>1103882</v>
      </c>
      <c r="D36" s="182" t="s">
        <v>1655</v>
      </c>
      <c r="E36" s="206"/>
      <c r="F36" s="207">
        <v>599</v>
      </c>
      <c r="G36" s="207"/>
      <c r="H36" s="205"/>
      <c r="I36" s="167">
        <v>1429280000</v>
      </c>
      <c r="J36" s="166"/>
      <c r="K36" s="167">
        <v>1429280000</v>
      </c>
      <c r="L36" s="171"/>
      <c r="M36" s="168">
        <v>1429280000</v>
      </c>
      <c r="N36" s="171"/>
      <c r="O36" s="167">
        <v>842956000</v>
      </c>
      <c r="P36" s="167">
        <v>842956000</v>
      </c>
      <c r="Q36" s="171"/>
      <c r="S36" s="201">
        <f t="shared" si="11"/>
        <v>1429.28</v>
      </c>
      <c r="T36" s="201">
        <f t="shared" si="12"/>
        <v>1429.28</v>
      </c>
      <c r="U36" s="201">
        <f t="shared" si="13"/>
        <v>0</v>
      </c>
      <c r="V36" s="201">
        <f t="shared" si="14"/>
        <v>842.95600000000002</v>
      </c>
      <c r="W36" s="201">
        <f t="shared" si="15"/>
        <v>842.95600000000002</v>
      </c>
      <c r="X36" s="201">
        <f t="shared" si="16"/>
        <v>0</v>
      </c>
    </row>
    <row r="37" spans="1:24" s="169" customFormat="1" ht="26.4">
      <c r="A37" s="192">
        <v>15</v>
      </c>
      <c r="B37" s="176" t="s">
        <v>1325</v>
      </c>
      <c r="C37" s="183" t="str">
        <f t="shared" si="3"/>
        <v>1112480</v>
      </c>
      <c r="D37" s="182" t="s">
        <v>1548</v>
      </c>
      <c r="E37" s="206"/>
      <c r="F37" s="207">
        <v>599</v>
      </c>
      <c r="G37" s="207"/>
      <c r="H37" s="205"/>
      <c r="I37" s="167">
        <v>32864412505</v>
      </c>
      <c r="J37" s="167">
        <v>320412505</v>
      </c>
      <c r="K37" s="167">
        <v>21947000000</v>
      </c>
      <c r="L37" s="168">
        <v>10597000000</v>
      </c>
      <c r="M37" s="168">
        <v>32864412505</v>
      </c>
      <c r="N37" s="168"/>
      <c r="O37" s="167">
        <v>31124412502</v>
      </c>
      <c r="P37" s="167">
        <v>31124412502</v>
      </c>
      <c r="Q37" s="168"/>
      <c r="S37" s="201">
        <f t="shared" si="11"/>
        <v>32864.412505</v>
      </c>
      <c r="T37" s="201">
        <f t="shared" si="12"/>
        <v>32864.412505</v>
      </c>
      <c r="U37" s="201">
        <f t="shared" si="13"/>
        <v>0</v>
      </c>
      <c r="V37" s="201">
        <f t="shared" si="14"/>
        <v>31124.412501999999</v>
      </c>
      <c r="W37" s="201">
        <f t="shared" si="15"/>
        <v>31124.412501999999</v>
      </c>
      <c r="X37" s="201">
        <f t="shared" si="16"/>
        <v>0</v>
      </c>
    </row>
    <row r="38" spans="1:24" s="169" customFormat="1" ht="26.4">
      <c r="A38" s="192">
        <v>16</v>
      </c>
      <c r="B38" s="176" t="s">
        <v>1289</v>
      </c>
      <c r="C38" s="183" t="str">
        <f t="shared" si="3"/>
        <v>1102860</v>
      </c>
      <c r="D38" s="182" t="s">
        <v>1654</v>
      </c>
      <c r="E38" s="206"/>
      <c r="F38" s="207">
        <v>599</v>
      </c>
      <c r="G38" s="207"/>
      <c r="H38" s="205"/>
      <c r="I38" s="167">
        <v>12023335321</v>
      </c>
      <c r="J38" s="167">
        <v>814797654</v>
      </c>
      <c r="K38" s="167">
        <v>10300720000</v>
      </c>
      <c r="L38" s="168">
        <v>907817667</v>
      </c>
      <c r="M38" s="168">
        <v>12023335321</v>
      </c>
      <c r="N38" s="168"/>
      <c r="O38" s="167">
        <v>11873335321</v>
      </c>
      <c r="P38" s="167">
        <v>11873335321</v>
      </c>
      <c r="Q38" s="168"/>
      <c r="S38" s="201">
        <f t="shared" si="11"/>
        <v>12023.335321</v>
      </c>
      <c r="T38" s="201">
        <f t="shared" si="12"/>
        <v>12023.335321</v>
      </c>
      <c r="U38" s="201">
        <f t="shared" si="13"/>
        <v>0</v>
      </c>
      <c r="V38" s="201">
        <f t="shared" si="14"/>
        <v>11873.335321</v>
      </c>
      <c r="W38" s="201">
        <f t="shared" si="15"/>
        <v>11873.335321</v>
      </c>
      <c r="X38" s="201">
        <f t="shared" si="16"/>
        <v>0</v>
      </c>
    </row>
    <row r="39" spans="1:24" s="169" customFormat="1" ht="39.6">
      <c r="A39" s="192">
        <v>17</v>
      </c>
      <c r="B39" s="176" t="s">
        <v>1402</v>
      </c>
      <c r="C39" s="183" t="str">
        <f t="shared" si="3"/>
        <v>1125325</v>
      </c>
      <c r="D39" s="182" t="s">
        <v>1506</v>
      </c>
      <c r="E39" s="206"/>
      <c r="F39" s="207">
        <v>509</v>
      </c>
      <c r="G39" s="207"/>
      <c r="H39" s="205"/>
      <c r="I39" s="167">
        <v>702501790</v>
      </c>
      <c r="J39" s="166"/>
      <c r="K39" s="167">
        <v>678411790</v>
      </c>
      <c r="L39" s="168">
        <v>24090000</v>
      </c>
      <c r="M39" s="168">
        <v>702501790</v>
      </c>
      <c r="N39" s="168"/>
      <c r="O39" s="167">
        <v>702501790</v>
      </c>
      <c r="P39" s="167">
        <v>702501790</v>
      </c>
      <c r="Q39" s="168"/>
      <c r="S39" s="201">
        <f t="shared" ref="S39:S45" si="17">I39/1000000</f>
        <v>702.50179000000003</v>
      </c>
      <c r="T39" s="201">
        <f t="shared" ref="T39:T45" si="18">M39/1000000</f>
        <v>702.50179000000003</v>
      </c>
      <c r="U39" s="201">
        <f t="shared" ref="U39:U45" si="19">N39/1000000</f>
        <v>0</v>
      </c>
      <c r="V39" s="201">
        <f t="shared" ref="V39:V45" si="20">O39/1000000</f>
        <v>702.50179000000003</v>
      </c>
      <c r="W39" s="201">
        <f t="shared" ref="W39:W45" si="21">P39/1000000</f>
        <v>702.50179000000003</v>
      </c>
      <c r="X39" s="201">
        <f t="shared" ref="X39:X45" si="22">Q39/1000000</f>
        <v>0</v>
      </c>
    </row>
    <row r="40" spans="1:24" s="169" customFormat="1" ht="39.6">
      <c r="A40" s="192">
        <v>18</v>
      </c>
      <c r="B40" s="176" t="s">
        <v>1375</v>
      </c>
      <c r="C40" s="183" t="str">
        <f t="shared" si="3"/>
        <v>1124495</v>
      </c>
      <c r="D40" s="182" t="s">
        <v>1503</v>
      </c>
      <c r="E40" s="206"/>
      <c r="F40" s="207">
        <v>559</v>
      </c>
      <c r="G40" s="207"/>
      <c r="H40" s="205"/>
      <c r="I40" s="167">
        <v>776475243</v>
      </c>
      <c r="J40" s="166"/>
      <c r="K40" s="167">
        <v>776475243</v>
      </c>
      <c r="L40" s="171"/>
      <c r="M40" s="168">
        <v>776475243</v>
      </c>
      <c r="N40" s="171"/>
      <c r="O40" s="167">
        <v>776475243</v>
      </c>
      <c r="P40" s="167">
        <v>776475243</v>
      </c>
      <c r="Q40" s="171"/>
      <c r="S40" s="201">
        <f t="shared" si="17"/>
        <v>776.47524299999998</v>
      </c>
      <c r="T40" s="201">
        <f t="shared" si="18"/>
        <v>776.47524299999998</v>
      </c>
      <c r="U40" s="201">
        <f t="shared" si="19"/>
        <v>0</v>
      </c>
      <c r="V40" s="201">
        <f t="shared" si="20"/>
        <v>776.47524299999998</v>
      </c>
      <c r="W40" s="201">
        <f t="shared" si="21"/>
        <v>776.47524299999998</v>
      </c>
      <c r="X40" s="201">
        <f t="shared" si="22"/>
        <v>0</v>
      </c>
    </row>
    <row r="41" spans="1:24" s="169" customFormat="1" ht="26.4">
      <c r="A41" s="192">
        <v>19</v>
      </c>
      <c r="B41" s="165" t="s">
        <v>877</v>
      </c>
      <c r="C41" s="183" t="str">
        <f t="shared" si="3"/>
        <v>1037489</v>
      </c>
      <c r="D41" s="182" t="s">
        <v>1582</v>
      </c>
      <c r="E41" s="206"/>
      <c r="F41" s="207">
        <v>412</v>
      </c>
      <c r="G41" s="207"/>
      <c r="H41" s="205"/>
      <c r="I41" s="167">
        <v>2727826087</v>
      </c>
      <c r="J41" s="167">
        <v>32926087</v>
      </c>
      <c r="K41" s="167">
        <v>2201000000</v>
      </c>
      <c r="L41" s="168">
        <v>493900000</v>
      </c>
      <c r="M41" s="168">
        <v>2727826087</v>
      </c>
      <c r="N41" s="168"/>
      <c r="O41" s="167">
        <v>2036520601</v>
      </c>
      <c r="P41" s="167">
        <v>2036520601</v>
      </c>
      <c r="Q41" s="168"/>
      <c r="S41" s="201">
        <f t="shared" si="17"/>
        <v>2727.8260869999999</v>
      </c>
      <c r="T41" s="201">
        <f t="shared" si="18"/>
        <v>2727.8260869999999</v>
      </c>
      <c r="U41" s="201">
        <f t="shared" si="19"/>
        <v>0</v>
      </c>
      <c r="V41" s="201">
        <f t="shared" si="20"/>
        <v>2036.5206009999999</v>
      </c>
      <c r="W41" s="201">
        <f t="shared" si="21"/>
        <v>2036.5206009999999</v>
      </c>
      <c r="X41" s="201">
        <f t="shared" si="22"/>
        <v>0</v>
      </c>
    </row>
    <row r="42" spans="1:24" s="169" customFormat="1" ht="26.4">
      <c r="A42" s="192">
        <v>20</v>
      </c>
      <c r="B42" s="165" t="s">
        <v>1134</v>
      </c>
      <c r="C42" s="183" t="str">
        <f t="shared" si="3"/>
        <v>1063790</v>
      </c>
      <c r="D42" s="182" t="s">
        <v>1496</v>
      </c>
      <c r="E42" s="206"/>
      <c r="F42" s="207">
        <v>412</v>
      </c>
      <c r="G42" s="207"/>
      <c r="H42" s="205"/>
      <c r="I42" s="167">
        <v>1899200000</v>
      </c>
      <c r="J42" s="166"/>
      <c r="K42" s="167">
        <v>1341000000</v>
      </c>
      <c r="L42" s="168">
        <v>558200000</v>
      </c>
      <c r="M42" s="168">
        <v>1899200000</v>
      </c>
      <c r="N42" s="168"/>
      <c r="O42" s="167">
        <v>1898200000</v>
      </c>
      <c r="P42" s="167">
        <v>1898200000</v>
      </c>
      <c r="Q42" s="168"/>
      <c r="S42" s="201">
        <f t="shared" si="17"/>
        <v>1899.2</v>
      </c>
      <c r="T42" s="201">
        <f t="shared" si="18"/>
        <v>1899.2</v>
      </c>
      <c r="U42" s="201">
        <f t="shared" si="19"/>
        <v>0</v>
      </c>
      <c r="V42" s="201">
        <f t="shared" si="20"/>
        <v>1898.2</v>
      </c>
      <c r="W42" s="201">
        <f t="shared" si="21"/>
        <v>1898.2</v>
      </c>
      <c r="X42" s="201">
        <f t="shared" si="22"/>
        <v>0</v>
      </c>
    </row>
    <row r="43" spans="1:24" s="169" customFormat="1" ht="26.4">
      <c r="A43" s="192">
        <v>21</v>
      </c>
      <c r="B43" s="176" t="s">
        <v>1230</v>
      </c>
      <c r="C43" s="183" t="str">
        <f t="shared" si="3"/>
        <v>1093133</v>
      </c>
      <c r="D43" s="182" t="s">
        <v>1645</v>
      </c>
      <c r="E43" s="206"/>
      <c r="F43" s="207">
        <v>412</v>
      </c>
      <c r="G43" s="207"/>
      <c r="H43" s="205"/>
      <c r="I43" s="167">
        <v>3787000000</v>
      </c>
      <c r="J43" s="166"/>
      <c r="K43" s="167">
        <v>2330000000</v>
      </c>
      <c r="L43" s="168">
        <v>1457000000</v>
      </c>
      <c r="M43" s="168">
        <v>3787000000</v>
      </c>
      <c r="N43" s="168"/>
      <c r="O43" s="167">
        <v>3785094000</v>
      </c>
      <c r="P43" s="167">
        <v>3785094000</v>
      </c>
      <c r="Q43" s="168"/>
      <c r="S43" s="201">
        <f t="shared" si="17"/>
        <v>3787</v>
      </c>
      <c r="T43" s="201">
        <f t="shared" si="18"/>
        <v>3787</v>
      </c>
      <c r="U43" s="201">
        <f t="shared" si="19"/>
        <v>0</v>
      </c>
      <c r="V43" s="201">
        <f t="shared" si="20"/>
        <v>3785.0940000000001</v>
      </c>
      <c r="W43" s="201">
        <f t="shared" si="21"/>
        <v>3785.0940000000001</v>
      </c>
      <c r="X43" s="201">
        <f t="shared" si="22"/>
        <v>0</v>
      </c>
    </row>
    <row r="44" spans="1:24" s="169" customFormat="1" ht="27.6">
      <c r="A44" s="192">
        <v>22</v>
      </c>
      <c r="B44" s="176" t="s">
        <v>1366</v>
      </c>
      <c r="C44" s="183" t="str">
        <f t="shared" si="3"/>
        <v>1123107</v>
      </c>
      <c r="D44" s="182" t="s">
        <v>1631</v>
      </c>
      <c r="E44" s="206"/>
      <c r="F44" s="207">
        <v>435</v>
      </c>
      <c r="G44" s="207"/>
      <c r="H44" s="205"/>
      <c r="I44" s="167">
        <v>4124230000</v>
      </c>
      <c r="J44" s="167">
        <v>9830000</v>
      </c>
      <c r="K44" s="167">
        <v>4032000000</v>
      </c>
      <c r="L44" s="168">
        <v>82400000</v>
      </c>
      <c r="M44" s="168">
        <v>4124230000</v>
      </c>
      <c r="N44" s="168"/>
      <c r="O44" s="167">
        <v>3689429986</v>
      </c>
      <c r="P44" s="167">
        <v>3689429986</v>
      </c>
      <c r="Q44" s="168"/>
      <c r="S44" s="201">
        <f t="shared" si="17"/>
        <v>4124.2299999999996</v>
      </c>
      <c r="T44" s="201">
        <f t="shared" si="18"/>
        <v>4124.2299999999996</v>
      </c>
      <c r="U44" s="201">
        <f t="shared" si="19"/>
        <v>0</v>
      </c>
      <c r="V44" s="201">
        <f t="shared" si="20"/>
        <v>3689.4299860000001</v>
      </c>
      <c r="W44" s="201">
        <f t="shared" si="21"/>
        <v>3689.4299860000001</v>
      </c>
      <c r="X44" s="201">
        <f t="shared" si="22"/>
        <v>0</v>
      </c>
    </row>
    <row r="45" spans="1:24" s="169" customFormat="1" ht="26.4">
      <c r="A45" s="192">
        <v>23</v>
      </c>
      <c r="B45" s="176" t="s">
        <v>1369</v>
      </c>
      <c r="C45" s="183" t="str">
        <f t="shared" si="3"/>
        <v>1123126</v>
      </c>
      <c r="D45" s="182" t="s">
        <v>1632</v>
      </c>
      <c r="E45" s="206"/>
      <c r="F45" s="207">
        <v>435</v>
      </c>
      <c r="G45" s="207"/>
      <c r="H45" s="205"/>
      <c r="I45" s="167">
        <v>2425340000</v>
      </c>
      <c r="J45" s="167">
        <v>37040000</v>
      </c>
      <c r="K45" s="167">
        <v>2017000000</v>
      </c>
      <c r="L45" s="168">
        <v>371300000</v>
      </c>
      <c r="M45" s="168">
        <v>2425340000</v>
      </c>
      <c r="N45" s="168"/>
      <c r="O45" s="167">
        <v>2314881159</v>
      </c>
      <c r="P45" s="167">
        <v>2314881159</v>
      </c>
      <c r="Q45" s="168"/>
      <c r="S45" s="201">
        <f t="shared" si="17"/>
        <v>2425.34</v>
      </c>
      <c r="T45" s="201">
        <f t="shared" si="18"/>
        <v>2425.34</v>
      </c>
      <c r="U45" s="201">
        <f t="shared" si="19"/>
        <v>0</v>
      </c>
      <c r="V45" s="201">
        <f t="shared" si="20"/>
        <v>2314.881159</v>
      </c>
      <c r="W45" s="201">
        <f t="shared" si="21"/>
        <v>2314.881159</v>
      </c>
      <c r="X45" s="201">
        <f t="shared" si="22"/>
        <v>0</v>
      </c>
    </row>
    <row r="46" spans="1:24" s="169" customFormat="1" ht="26.4">
      <c r="A46" s="192">
        <v>24</v>
      </c>
      <c r="B46" s="165" t="s">
        <v>908</v>
      </c>
      <c r="C46" s="183" t="str">
        <f t="shared" si="3"/>
        <v>1037579</v>
      </c>
      <c r="D46" s="182" t="s">
        <v>1513</v>
      </c>
      <c r="E46" s="206"/>
      <c r="F46" s="207">
        <v>425</v>
      </c>
      <c r="G46" s="207"/>
      <c r="H46" s="205"/>
      <c r="I46" s="167">
        <v>3409029000</v>
      </c>
      <c r="J46" s="167">
        <v>100000000</v>
      </c>
      <c r="K46" s="167">
        <v>3132000000</v>
      </c>
      <c r="L46" s="168">
        <v>177029000</v>
      </c>
      <c r="M46" s="168">
        <v>3409029000</v>
      </c>
      <c r="N46" s="168"/>
      <c r="O46" s="167">
        <v>3404029000</v>
      </c>
      <c r="P46" s="167">
        <v>3404029000</v>
      </c>
      <c r="Q46" s="168"/>
      <c r="S46" s="201">
        <f t="shared" ref="S46:S53" si="23">I46/1000000</f>
        <v>3409.029</v>
      </c>
      <c r="T46" s="201">
        <f t="shared" ref="T46:T53" si="24">M46/1000000</f>
        <v>3409.029</v>
      </c>
      <c r="U46" s="201">
        <f t="shared" ref="U46:U53" si="25">N46/1000000</f>
        <v>0</v>
      </c>
      <c r="V46" s="201">
        <f t="shared" ref="V46:V53" si="26">O46/1000000</f>
        <v>3404.029</v>
      </c>
      <c r="W46" s="201">
        <f t="shared" ref="W46:W53" si="27">P46/1000000</f>
        <v>3404.029</v>
      </c>
      <c r="X46" s="201">
        <f t="shared" ref="X46:X53" si="28">Q46/1000000</f>
        <v>0</v>
      </c>
    </row>
    <row r="47" spans="1:24" s="169" customFormat="1" ht="26.4">
      <c r="A47" s="192">
        <v>25</v>
      </c>
      <c r="B47" s="176" t="s">
        <v>1220</v>
      </c>
      <c r="C47" s="183" t="str">
        <f t="shared" si="3"/>
        <v>1083231</v>
      </c>
      <c r="D47" s="182" t="s">
        <v>1501</v>
      </c>
      <c r="E47" s="206"/>
      <c r="F47" s="207">
        <v>423</v>
      </c>
      <c r="G47" s="207"/>
      <c r="H47" s="205"/>
      <c r="I47" s="167">
        <v>6442360000</v>
      </c>
      <c r="J47" s="166"/>
      <c r="K47" s="167">
        <v>6244360000</v>
      </c>
      <c r="L47" s="168">
        <v>198000000</v>
      </c>
      <c r="M47" s="168">
        <v>6442360000</v>
      </c>
      <c r="N47" s="168"/>
      <c r="O47" s="167">
        <v>5354498909</v>
      </c>
      <c r="P47" s="167">
        <v>5354498909</v>
      </c>
      <c r="Q47" s="168"/>
      <c r="S47" s="201">
        <f t="shared" si="23"/>
        <v>6442.36</v>
      </c>
      <c r="T47" s="201">
        <f t="shared" si="24"/>
        <v>6442.36</v>
      </c>
      <c r="U47" s="201">
        <f t="shared" si="25"/>
        <v>0</v>
      </c>
      <c r="V47" s="201">
        <f t="shared" si="26"/>
        <v>5354.4989089999999</v>
      </c>
      <c r="W47" s="201">
        <f t="shared" si="27"/>
        <v>5354.4989089999999</v>
      </c>
      <c r="X47" s="201">
        <f t="shared" si="28"/>
        <v>0</v>
      </c>
    </row>
    <row r="48" spans="1:24" s="169" customFormat="1" ht="26.4">
      <c r="A48" s="192">
        <v>26</v>
      </c>
      <c r="B48" s="165" t="s">
        <v>974</v>
      </c>
      <c r="C48" s="183" t="str">
        <f t="shared" si="3"/>
        <v>1047842</v>
      </c>
      <c r="D48" s="182" t="s">
        <v>1516</v>
      </c>
      <c r="E48" s="206"/>
      <c r="F48" s="207">
        <v>423</v>
      </c>
      <c r="G48" s="207"/>
      <c r="H48" s="205"/>
      <c r="I48" s="167">
        <v>36502437000</v>
      </c>
      <c r="J48" s="166"/>
      <c r="K48" s="167">
        <v>35377000000</v>
      </c>
      <c r="L48" s="168">
        <v>1125437000</v>
      </c>
      <c r="M48" s="168">
        <v>36502437000</v>
      </c>
      <c r="N48" s="168"/>
      <c r="O48" s="167">
        <v>36502437000</v>
      </c>
      <c r="P48" s="167">
        <v>36502437000</v>
      </c>
      <c r="Q48" s="168"/>
      <c r="S48" s="201">
        <f t="shared" si="23"/>
        <v>36502.436999999998</v>
      </c>
      <c r="T48" s="201">
        <f t="shared" si="24"/>
        <v>36502.436999999998</v>
      </c>
      <c r="U48" s="201">
        <f t="shared" si="25"/>
        <v>0</v>
      </c>
      <c r="V48" s="201">
        <f t="shared" si="26"/>
        <v>36502.436999999998</v>
      </c>
      <c r="W48" s="201">
        <f t="shared" si="27"/>
        <v>36502.436999999998</v>
      </c>
      <c r="X48" s="201">
        <f t="shared" si="28"/>
        <v>0</v>
      </c>
    </row>
    <row r="49" spans="1:24" s="169" customFormat="1" ht="26.4">
      <c r="A49" s="192">
        <v>27</v>
      </c>
      <c r="B49" s="165" t="s">
        <v>994</v>
      </c>
      <c r="C49" s="183" t="str">
        <f t="shared" si="3"/>
        <v>1047955</v>
      </c>
      <c r="D49" s="182" t="s">
        <v>1491</v>
      </c>
      <c r="E49" s="206"/>
      <c r="F49" s="207">
        <v>423</v>
      </c>
      <c r="G49" s="207"/>
      <c r="H49" s="205"/>
      <c r="I49" s="167">
        <v>3972095500</v>
      </c>
      <c r="J49" s="166"/>
      <c r="K49" s="167">
        <v>4291530000</v>
      </c>
      <c r="L49" s="168">
        <v>-319434500</v>
      </c>
      <c r="M49" s="168">
        <v>3972095500</v>
      </c>
      <c r="N49" s="168"/>
      <c r="O49" s="167">
        <v>3856859095</v>
      </c>
      <c r="P49" s="167">
        <v>3856859095</v>
      </c>
      <c r="Q49" s="168"/>
      <c r="S49" s="201">
        <f t="shared" si="23"/>
        <v>3972.0954999999999</v>
      </c>
      <c r="T49" s="201">
        <f t="shared" si="24"/>
        <v>3972.0954999999999</v>
      </c>
      <c r="U49" s="201">
        <f t="shared" si="25"/>
        <v>0</v>
      </c>
      <c r="V49" s="201">
        <f t="shared" si="26"/>
        <v>3856.8590949999998</v>
      </c>
      <c r="W49" s="201">
        <f t="shared" si="27"/>
        <v>3856.8590949999998</v>
      </c>
      <c r="X49" s="201">
        <f t="shared" si="28"/>
        <v>0</v>
      </c>
    </row>
    <row r="50" spans="1:24" s="169" customFormat="1" ht="26.4">
      <c r="A50" s="192">
        <v>28</v>
      </c>
      <c r="B50" s="165" t="s">
        <v>1334</v>
      </c>
      <c r="C50" s="183" t="str">
        <f t="shared" si="3"/>
        <v>1114511</v>
      </c>
      <c r="D50" s="182" t="s">
        <v>1663</v>
      </c>
      <c r="E50" s="206"/>
      <c r="F50" s="207">
        <v>423</v>
      </c>
      <c r="G50" s="207"/>
      <c r="H50" s="205"/>
      <c r="I50" s="167">
        <v>3210000000</v>
      </c>
      <c r="J50" s="166"/>
      <c r="K50" s="167">
        <v>3664950000</v>
      </c>
      <c r="L50" s="168">
        <v>-454950000</v>
      </c>
      <c r="M50" s="168">
        <v>3210000000</v>
      </c>
      <c r="N50" s="168"/>
      <c r="O50" s="167">
        <v>3210000000</v>
      </c>
      <c r="P50" s="167">
        <v>3210000000</v>
      </c>
      <c r="Q50" s="168"/>
      <c r="S50" s="201">
        <f t="shared" si="23"/>
        <v>3210</v>
      </c>
      <c r="T50" s="201">
        <f t="shared" si="24"/>
        <v>3210</v>
      </c>
      <c r="U50" s="201">
        <f t="shared" si="25"/>
        <v>0</v>
      </c>
      <c r="V50" s="201">
        <f t="shared" si="26"/>
        <v>3210</v>
      </c>
      <c r="W50" s="201">
        <f t="shared" si="27"/>
        <v>3210</v>
      </c>
      <c r="X50" s="201">
        <f t="shared" si="28"/>
        <v>0</v>
      </c>
    </row>
    <row r="51" spans="1:24" s="169" customFormat="1" ht="13.8">
      <c r="A51" s="192">
        <v>29</v>
      </c>
      <c r="B51" s="218" t="s">
        <v>1474</v>
      </c>
      <c r="C51" s="183" t="str">
        <f t="shared" si="3"/>
        <v>1053630</v>
      </c>
      <c r="D51" s="182" t="s">
        <v>570</v>
      </c>
      <c r="E51" s="206"/>
      <c r="F51" s="207">
        <v>599</v>
      </c>
      <c r="G51" s="207"/>
      <c r="H51" s="205"/>
      <c r="I51" s="167">
        <v>43322000000</v>
      </c>
      <c r="J51" s="166"/>
      <c r="K51" s="167">
        <v>41545000000</v>
      </c>
      <c r="L51" s="168">
        <v>1777000000</v>
      </c>
      <c r="M51" s="168">
        <v>43322000000</v>
      </c>
      <c r="N51" s="168"/>
      <c r="O51" s="167">
        <v>43322000000</v>
      </c>
      <c r="P51" s="167">
        <v>43322000000</v>
      </c>
      <c r="Q51" s="168"/>
      <c r="S51" s="201">
        <f t="shared" si="23"/>
        <v>43322</v>
      </c>
      <c r="T51" s="201">
        <f t="shared" si="24"/>
        <v>43322</v>
      </c>
      <c r="U51" s="201">
        <f t="shared" si="25"/>
        <v>0</v>
      </c>
      <c r="V51" s="201">
        <f t="shared" si="26"/>
        <v>43322</v>
      </c>
      <c r="W51" s="201">
        <f t="shared" si="27"/>
        <v>43322</v>
      </c>
      <c r="X51" s="201">
        <f t="shared" si="28"/>
        <v>0</v>
      </c>
    </row>
    <row r="52" spans="1:24" s="169" customFormat="1" ht="26.4">
      <c r="A52" s="192">
        <v>30</v>
      </c>
      <c r="B52" s="165" t="s">
        <v>813</v>
      </c>
      <c r="C52" s="183" t="str">
        <f t="shared" si="3"/>
        <v>1035749</v>
      </c>
      <c r="D52" s="182" t="s">
        <v>1483</v>
      </c>
      <c r="E52" s="206"/>
      <c r="F52" s="207">
        <v>412</v>
      </c>
      <c r="G52" s="207"/>
      <c r="H52" s="205"/>
      <c r="I52" s="167">
        <v>343000000</v>
      </c>
      <c r="J52" s="166"/>
      <c r="K52" s="167">
        <v>343000000</v>
      </c>
      <c r="L52" s="171"/>
      <c r="M52" s="168">
        <v>343000000</v>
      </c>
      <c r="N52" s="171"/>
      <c r="O52" s="167">
        <v>343000000</v>
      </c>
      <c r="P52" s="167">
        <v>343000000</v>
      </c>
      <c r="Q52" s="171"/>
      <c r="S52" s="201">
        <f t="shared" si="23"/>
        <v>343</v>
      </c>
      <c r="T52" s="201">
        <f t="shared" si="24"/>
        <v>343</v>
      </c>
      <c r="U52" s="201">
        <f t="shared" si="25"/>
        <v>0</v>
      </c>
      <c r="V52" s="201">
        <f t="shared" si="26"/>
        <v>343</v>
      </c>
      <c r="W52" s="201">
        <f t="shared" si="27"/>
        <v>343</v>
      </c>
      <c r="X52" s="201">
        <f t="shared" si="28"/>
        <v>0</v>
      </c>
    </row>
    <row r="53" spans="1:24" s="169" customFormat="1" ht="26.4">
      <c r="A53" s="192">
        <v>31</v>
      </c>
      <c r="B53" s="176" t="s">
        <v>696</v>
      </c>
      <c r="C53" s="183" t="str">
        <f t="shared" si="3"/>
        <v>1010558</v>
      </c>
      <c r="D53" s="182" t="s">
        <v>1476</v>
      </c>
      <c r="E53" s="206"/>
      <c r="F53" s="207">
        <v>412</v>
      </c>
      <c r="G53" s="207"/>
      <c r="H53" s="205"/>
      <c r="I53" s="167">
        <v>13708487000</v>
      </c>
      <c r="J53" s="167">
        <v>3787000000</v>
      </c>
      <c r="K53" s="167">
        <v>4813000000</v>
      </c>
      <c r="L53" s="168">
        <v>5108487000</v>
      </c>
      <c r="M53" s="168">
        <v>13708487000</v>
      </c>
      <c r="N53" s="168"/>
      <c r="O53" s="167">
        <v>8889988150</v>
      </c>
      <c r="P53" s="167">
        <v>8889988150</v>
      </c>
      <c r="Q53" s="168"/>
      <c r="S53" s="201">
        <f t="shared" si="23"/>
        <v>13708.486999999999</v>
      </c>
      <c r="T53" s="201">
        <f t="shared" si="24"/>
        <v>13708.486999999999</v>
      </c>
      <c r="U53" s="201">
        <f t="shared" si="25"/>
        <v>0</v>
      </c>
      <c r="V53" s="201">
        <f t="shared" si="26"/>
        <v>8889.9881499999992</v>
      </c>
      <c r="W53" s="201">
        <f t="shared" si="27"/>
        <v>8889.9881499999992</v>
      </c>
      <c r="X53" s="201">
        <f t="shared" si="28"/>
        <v>0</v>
      </c>
    </row>
    <row r="54" spans="1:24" s="169" customFormat="1" ht="26.4">
      <c r="A54" s="192">
        <v>32</v>
      </c>
      <c r="B54" s="176" t="s">
        <v>703</v>
      </c>
      <c r="C54" s="183" t="str">
        <f t="shared" si="3"/>
        <v>1010559</v>
      </c>
      <c r="D54" s="182" t="s">
        <v>1552</v>
      </c>
      <c r="E54" s="206"/>
      <c r="F54" s="207">
        <v>423</v>
      </c>
      <c r="G54" s="207"/>
      <c r="H54" s="205"/>
      <c r="I54" s="167">
        <v>174000000</v>
      </c>
      <c r="J54" s="166"/>
      <c r="K54" s="167">
        <v>174000000</v>
      </c>
      <c r="L54" s="171"/>
      <c r="M54" s="168">
        <v>174000000</v>
      </c>
      <c r="N54" s="171"/>
      <c r="O54" s="167">
        <v>174000000</v>
      </c>
      <c r="P54" s="167">
        <v>174000000</v>
      </c>
      <c r="Q54" s="171"/>
      <c r="S54" s="201">
        <f t="shared" ref="S54:S61" si="29">I54/1000000</f>
        <v>174</v>
      </c>
      <c r="T54" s="201">
        <f t="shared" ref="T54:T61" si="30">M54/1000000</f>
        <v>174</v>
      </c>
      <c r="U54" s="201">
        <f t="shared" ref="U54:U61" si="31">N54/1000000</f>
        <v>0</v>
      </c>
      <c r="V54" s="201">
        <f t="shared" ref="V54:V61" si="32">O54/1000000</f>
        <v>174</v>
      </c>
      <c r="W54" s="201">
        <f t="shared" ref="W54:W61" si="33">P54/1000000</f>
        <v>174</v>
      </c>
      <c r="X54" s="201">
        <f t="shared" ref="X54:X61" si="34">Q54/1000000</f>
        <v>0</v>
      </c>
    </row>
    <row r="55" spans="1:24" s="169" customFormat="1" ht="13.8">
      <c r="A55" s="192">
        <v>33</v>
      </c>
      <c r="B55" s="164" t="s">
        <v>1212</v>
      </c>
      <c r="C55" s="183" t="str">
        <f t="shared" si="3"/>
        <v>1082897</v>
      </c>
      <c r="D55" s="182" t="s">
        <v>1500</v>
      </c>
      <c r="E55" s="206"/>
      <c r="F55" s="207">
        <v>412</v>
      </c>
      <c r="G55" s="207"/>
      <c r="H55" s="205"/>
      <c r="I55" s="167">
        <v>3556000000</v>
      </c>
      <c r="J55" s="166"/>
      <c r="K55" s="167">
        <v>2410000000</v>
      </c>
      <c r="L55" s="168">
        <v>1146000000</v>
      </c>
      <c r="M55" s="168">
        <v>3556000000</v>
      </c>
      <c r="N55" s="168"/>
      <c r="O55" s="167">
        <v>2468000000</v>
      </c>
      <c r="P55" s="167">
        <v>2468000000</v>
      </c>
      <c r="Q55" s="168"/>
      <c r="S55" s="201">
        <f t="shared" si="29"/>
        <v>3556</v>
      </c>
      <c r="T55" s="201">
        <f t="shared" si="30"/>
        <v>3556</v>
      </c>
      <c r="U55" s="201">
        <f t="shared" si="31"/>
        <v>0</v>
      </c>
      <c r="V55" s="201">
        <f t="shared" si="32"/>
        <v>2468</v>
      </c>
      <c r="W55" s="201">
        <f t="shared" si="33"/>
        <v>2468</v>
      </c>
      <c r="X55" s="201">
        <f t="shared" si="34"/>
        <v>0</v>
      </c>
    </row>
    <row r="56" spans="1:24" s="169" customFormat="1" ht="26.4">
      <c r="A56" s="192">
        <v>34</v>
      </c>
      <c r="B56" s="239" t="s">
        <v>1124</v>
      </c>
      <c r="C56" s="183" t="str">
        <f t="shared" si="3"/>
        <v>1060648</v>
      </c>
      <c r="D56" s="182" t="s">
        <v>494</v>
      </c>
      <c r="E56" s="240"/>
      <c r="F56" s="241">
        <v>412</v>
      </c>
      <c r="G56" s="241"/>
      <c r="H56" s="242"/>
      <c r="I56" s="243">
        <v>4421000000</v>
      </c>
      <c r="J56" s="244"/>
      <c r="K56" s="243">
        <v>2758000000</v>
      </c>
      <c r="L56" s="245">
        <v>1663000000</v>
      </c>
      <c r="M56" s="245">
        <v>4421000000</v>
      </c>
      <c r="N56" s="245"/>
      <c r="O56" s="243">
        <v>4421000000</v>
      </c>
      <c r="P56" s="243">
        <v>4421000000</v>
      </c>
      <c r="Q56" s="245"/>
      <c r="S56" s="201">
        <f t="shared" si="29"/>
        <v>4421</v>
      </c>
      <c r="T56" s="201">
        <f t="shared" si="30"/>
        <v>4421</v>
      </c>
      <c r="U56" s="201">
        <f t="shared" si="31"/>
        <v>0</v>
      </c>
      <c r="V56" s="201">
        <f t="shared" si="32"/>
        <v>4421</v>
      </c>
      <c r="W56" s="201">
        <f t="shared" si="33"/>
        <v>4421</v>
      </c>
      <c r="X56" s="201">
        <f t="shared" si="34"/>
        <v>0</v>
      </c>
    </row>
    <row r="57" spans="1:24" s="169" customFormat="1" ht="26.4">
      <c r="A57" s="192">
        <v>35</v>
      </c>
      <c r="B57" s="165" t="s">
        <v>801</v>
      </c>
      <c r="C57" s="183" t="str">
        <f t="shared" si="3"/>
        <v>1035734</v>
      </c>
      <c r="D57" s="182" t="s">
        <v>1480</v>
      </c>
      <c r="E57" s="206"/>
      <c r="F57" s="207">
        <v>412</v>
      </c>
      <c r="G57" s="207"/>
      <c r="H57" s="205"/>
      <c r="I57" s="167">
        <v>5162270000</v>
      </c>
      <c r="J57" s="167">
        <v>528000000</v>
      </c>
      <c r="K57" s="167">
        <v>2944000000</v>
      </c>
      <c r="L57" s="168">
        <v>1690270000</v>
      </c>
      <c r="M57" s="168">
        <v>5162270000</v>
      </c>
      <c r="N57" s="168"/>
      <c r="O57" s="167">
        <v>4734270000</v>
      </c>
      <c r="P57" s="167">
        <v>4734270000</v>
      </c>
      <c r="Q57" s="168"/>
      <c r="S57" s="201">
        <f t="shared" si="29"/>
        <v>5162.2700000000004</v>
      </c>
      <c r="T57" s="201">
        <f t="shared" si="30"/>
        <v>5162.2700000000004</v>
      </c>
      <c r="U57" s="201">
        <f t="shared" si="31"/>
        <v>0</v>
      </c>
      <c r="V57" s="201">
        <f t="shared" si="32"/>
        <v>4734.2700000000004</v>
      </c>
      <c r="W57" s="201">
        <f t="shared" si="33"/>
        <v>4734.2700000000004</v>
      </c>
      <c r="X57" s="201">
        <f t="shared" si="34"/>
        <v>0</v>
      </c>
    </row>
    <row r="58" spans="1:24" s="169" customFormat="1" ht="26.4">
      <c r="A58" s="192">
        <v>36</v>
      </c>
      <c r="B58" s="170" t="s">
        <v>809</v>
      </c>
      <c r="C58" s="183" t="str">
        <f t="shared" si="3"/>
        <v>1035748</v>
      </c>
      <c r="D58" s="182" t="s">
        <v>1482</v>
      </c>
      <c r="E58" s="206"/>
      <c r="F58" s="207">
        <v>412</v>
      </c>
      <c r="G58" s="207"/>
      <c r="H58" s="205"/>
      <c r="I58" s="167">
        <v>8966996000</v>
      </c>
      <c r="J58" s="167">
        <v>3432000000</v>
      </c>
      <c r="K58" s="167">
        <v>2533700000</v>
      </c>
      <c r="L58" s="168">
        <v>3001296000</v>
      </c>
      <c r="M58" s="168">
        <v>8966996000</v>
      </c>
      <c r="N58" s="168"/>
      <c r="O58" s="167">
        <v>6049303000</v>
      </c>
      <c r="P58" s="167">
        <v>6049303000</v>
      </c>
      <c r="Q58" s="168"/>
      <c r="S58" s="201">
        <f t="shared" si="29"/>
        <v>8966.9959999999992</v>
      </c>
      <c r="T58" s="201">
        <f t="shared" si="30"/>
        <v>8966.9959999999992</v>
      </c>
      <c r="U58" s="201">
        <f t="shared" si="31"/>
        <v>0</v>
      </c>
      <c r="V58" s="201">
        <f t="shared" si="32"/>
        <v>6049.3029999999999</v>
      </c>
      <c r="W58" s="201">
        <f t="shared" si="33"/>
        <v>6049.3029999999999</v>
      </c>
      <c r="X58" s="201">
        <f t="shared" si="34"/>
        <v>0</v>
      </c>
    </row>
    <row r="59" spans="1:24" s="169" customFormat="1" ht="26.4">
      <c r="A59" s="192">
        <v>37</v>
      </c>
      <c r="B59" s="165" t="s">
        <v>805</v>
      </c>
      <c r="C59" s="183" t="str">
        <f t="shared" si="3"/>
        <v>1035747</v>
      </c>
      <c r="D59" s="182" t="s">
        <v>1481</v>
      </c>
      <c r="E59" s="206"/>
      <c r="F59" s="207">
        <v>412</v>
      </c>
      <c r="G59" s="207"/>
      <c r="H59" s="205"/>
      <c r="I59" s="167">
        <v>14179700000</v>
      </c>
      <c r="J59" s="167">
        <v>5593000000</v>
      </c>
      <c r="K59" s="167">
        <v>4061000000</v>
      </c>
      <c r="L59" s="168">
        <v>4525700000</v>
      </c>
      <c r="M59" s="168">
        <v>14179700000</v>
      </c>
      <c r="N59" s="168"/>
      <c r="O59" s="167">
        <v>9877962452</v>
      </c>
      <c r="P59" s="167">
        <v>9877962452</v>
      </c>
      <c r="Q59" s="168"/>
      <c r="S59" s="201">
        <f t="shared" si="29"/>
        <v>14179.7</v>
      </c>
      <c r="T59" s="201">
        <f t="shared" si="30"/>
        <v>14179.7</v>
      </c>
      <c r="U59" s="201">
        <f t="shared" si="31"/>
        <v>0</v>
      </c>
      <c r="V59" s="201">
        <f t="shared" si="32"/>
        <v>9877.9624519999998</v>
      </c>
      <c r="W59" s="201">
        <f t="shared" si="33"/>
        <v>9877.9624519999998</v>
      </c>
      <c r="X59" s="201">
        <f t="shared" si="34"/>
        <v>0</v>
      </c>
    </row>
    <row r="60" spans="1:24" s="169" customFormat="1" ht="39.6">
      <c r="A60" s="192">
        <v>38</v>
      </c>
      <c r="B60" s="176" t="s">
        <v>1216</v>
      </c>
      <c r="C60" s="183" t="str">
        <f t="shared" si="3"/>
        <v>1082898</v>
      </c>
      <c r="D60" s="182" t="s">
        <v>1523</v>
      </c>
      <c r="E60" s="206"/>
      <c r="F60" s="207">
        <v>412</v>
      </c>
      <c r="G60" s="207"/>
      <c r="H60" s="205"/>
      <c r="I60" s="167">
        <v>3471500000</v>
      </c>
      <c r="J60" s="166"/>
      <c r="K60" s="167">
        <v>2604000000</v>
      </c>
      <c r="L60" s="168">
        <v>867500000</v>
      </c>
      <c r="M60" s="168">
        <v>3471500000</v>
      </c>
      <c r="N60" s="168"/>
      <c r="O60" s="167">
        <v>2673500000</v>
      </c>
      <c r="P60" s="167">
        <v>2673500000</v>
      </c>
      <c r="Q60" s="168"/>
      <c r="S60" s="201">
        <f t="shared" si="29"/>
        <v>3471.5</v>
      </c>
      <c r="T60" s="201">
        <f t="shared" si="30"/>
        <v>3471.5</v>
      </c>
      <c r="U60" s="201">
        <f t="shared" si="31"/>
        <v>0</v>
      </c>
      <c r="V60" s="201">
        <f t="shared" si="32"/>
        <v>2673.5</v>
      </c>
      <c r="W60" s="201">
        <f t="shared" si="33"/>
        <v>2673.5</v>
      </c>
      <c r="X60" s="201">
        <f t="shared" si="34"/>
        <v>0</v>
      </c>
    </row>
    <row r="61" spans="1:24" s="169" customFormat="1" ht="26.4">
      <c r="A61" s="192">
        <v>39</v>
      </c>
      <c r="B61" s="165" t="s">
        <v>842</v>
      </c>
      <c r="C61" s="183" t="str">
        <f t="shared" si="3"/>
        <v>1037433</v>
      </c>
      <c r="D61" s="182" t="s">
        <v>1578</v>
      </c>
      <c r="E61" s="206"/>
      <c r="F61" s="207">
        <v>412</v>
      </c>
      <c r="G61" s="207"/>
      <c r="H61" s="205"/>
      <c r="I61" s="167">
        <v>23149583821</v>
      </c>
      <c r="J61" s="167">
        <v>5483583821</v>
      </c>
      <c r="K61" s="167">
        <v>8004000000</v>
      </c>
      <c r="L61" s="168">
        <v>9662000000</v>
      </c>
      <c r="M61" s="168">
        <v>23149583821</v>
      </c>
      <c r="N61" s="168"/>
      <c r="O61" s="167">
        <v>16909146563</v>
      </c>
      <c r="P61" s="167">
        <v>16909146563</v>
      </c>
      <c r="Q61" s="168"/>
      <c r="S61" s="201">
        <f t="shared" si="29"/>
        <v>23149.583821</v>
      </c>
      <c r="T61" s="201">
        <f t="shared" si="30"/>
        <v>23149.583821</v>
      </c>
      <c r="U61" s="201">
        <f t="shared" si="31"/>
        <v>0</v>
      </c>
      <c r="V61" s="201">
        <f t="shared" si="32"/>
        <v>16909.146562999998</v>
      </c>
      <c r="W61" s="201">
        <f t="shared" si="33"/>
        <v>16909.146562999998</v>
      </c>
      <c r="X61" s="201">
        <f t="shared" si="34"/>
        <v>0</v>
      </c>
    </row>
    <row r="62" spans="1:24" s="169" customFormat="1" ht="26.4">
      <c r="A62" s="192">
        <v>40</v>
      </c>
      <c r="B62" s="165" t="s">
        <v>1278</v>
      </c>
      <c r="C62" s="183" t="str">
        <f t="shared" si="3"/>
        <v>1098629</v>
      </c>
      <c r="D62" s="182" t="s">
        <v>1547</v>
      </c>
      <c r="E62" s="206"/>
      <c r="F62" s="207">
        <v>423</v>
      </c>
      <c r="G62" s="207"/>
      <c r="H62" s="205"/>
      <c r="I62" s="167">
        <v>6141280182</v>
      </c>
      <c r="J62" s="166"/>
      <c r="K62" s="167">
        <v>4785430182</v>
      </c>
      <c r="L62" s="168">
        <v>1355850000</v>
      </c>
      <c r="M62" s="168">
        <v>6141280182</v>
      </c>
      <c r="N62" s="168"/>
      <c r="O62" s="167">
        <v>4845280182</v>
      </c>
      <c r="P62" s="167">
        <v>4845280182</v>
      </c>
      <c r="Q62" s="168"/>
      <c r="S62" s="201">
        <f t="shared" ref="S62:S68" si="35">I62/1000000</f>
        <v>6141.2801820000004</v>
      </c>
      <c r="T62" s="201">
        <f t="shared" ref="T62:T68" si="36">M62/1000000</f>
        <v>6141.2801820000004</v>
      </c>
      <c r="U62" s="201">
        <f t="shared" ref="U62:U68" si="37">N62/1000000</f>
        <v>0</v>
      </c>
      <c r="V62" s="201">
        <f t="shared" ref="V62:V68" si="38">O62/1000000</f>
        <v>4845.2801820000004</v>
      </c>
      <c r="W62" s="201">
        <f t="shared" ref="W62:W68" si="39">P62/1000000</f>
        <v>4845.2801820000004</v>
      </c>
      <c r="X62" s="201">
        <f t="shared" ref="X62:X68" si="40">Q62/1000000</f>
        <v>0</v>
      </c>
    </row>
    <row r="63" spans="1:24" s="169" customFormat="1" ht="26.4">
      <c r="A63" s="192">
        <v>41</v>
      </c>
      <c r="B63" s="165" t="s">
        <v>1387</v>
      </c>
      <c r="C63" s="183" t="str">
        <f t="shared" si="3"/>
        <v>1125215</v>
      </c>
      <c r="D63" s="182" t="s">
        <v>1529</v>
      </c>
      <c r="E63" s="206"/>
      <c r="F63" s="207">
        <v>426</v>
      </c>
      <c r="G63" s="207"/>
      <c r="H63" s="205"/>
      <c r="I63" s="167">
        <v>902000000</v>
      </c>
      <c r="J63" s="166"/>
      <c r="K63" s="167">
        <v>767000000</v>
      </c>
      <c r="L63" s="168">
        <v>135000000</v>
      </c>
      <c r="M63" s="168">
        <v>902000000</v>
      </c>
      <c r="N63" s="168"/>
      <c r="O63" s="167">
        <v>882184940</v>
      </c>
      <c r="P63" s="167">
        <v>882184940</v>
      </c>
      <c r="Q63" s="168"/>
      <c r="S63" s="201">
        <f t="shared" si="35"/>
        <v>902</v>
      </c>
      <c r="T63" s="201">
        <f t="shared" si="36"/>
        <v>902</v>
      </c>
      <c r="U63" s="201">
        <f t="shared" si="37"/>
        <v>0</v>
      </c>
      <c r="V63" s="201">
        <f t="shared" si="38"/>
        <v>882.18493999999998</v>
      </c>
      <c r="W63" s="201">
        <f t="shared" si="39"/>
        <v>882.18493999999998</v>
      </c>
      <c r="X63" s="201">
        <f t="shared" si="40"/>
        <v>0</v>
      </c>
    </row>
    <row r="64" spans="1:24" s="169" customFormat="1" ht="26.4">
      <c r="A64" s="192">
        <v>42</v>
      </c>
      <c r="B64" s="176" t="s">
        <v>747</v>
      </c>
      <c r="C64" s="183" t="str">
        <f t="shared" si="3"/>
        <v>1015428</v>
      </c>
      <c r="D64" s="182" t="s">
        <v>1508</v>
      </c>
      <c r="E64" s="206"/>
      <c r="F64" s="207">
        <v>412</v>
      </c>
      <c r="G64" s="207"/>
      <c r="H64" s="205"/>
      <c r="I64" s="167">
        <v>18364075920</v>
      </c>
      <c r="J64" s="167">
        <v>270435420</v>
      </c>
      <c r="K64" s="167">
        <v>11576300000</v>
      </c>
      <c r="L64" s="168">
        <v>6517340500</v>
      </c>
      <c r="M64" s="168">
        <v>13906075920</v>
      </c>
      <c r="N64" s="168">
        <v>4458000000</v>
      </c>
      <c r="O64" s="167">
        <v>18057664370</v>
      </c>
      <c r="P64" s="167">
        <v>13601989370</v>
      </c>
      <c r="Q64" s="168">
        <v>4455675000</v>
      </c>
      <c r="S64" s="201">
        <f t="shared" si="35"/>
        <v>18364.075919999999</v>
      </c>
      <c r="T64" s="201">
        <f t="shared" si="36"/>
        <v>13906.075919999999</v>
      </c>
      <c r="U64" s="201">
        <f t="shared" si="37"/>
        <v>4458</v>
      </c>
      <c r="V64" s="201">
        <f t="shared" si="38"/>
        <v>18057.664369999999</v>
      </c>
      <c r="W64" s="201">
        <f t="shared" si="39"/>
        <v>13601.989369999999</v>
      </c>
      <c r="X64" s="201">
        <f t="shared" si="40"/>
        <v>4455.6750000000002</v>
      </c>
    </row>
    <row r="65" spans="1:24" s="169" customFormat="1" ht="26.4">
      <c r="A65" s="192">
        <v>43</v>
      </c>
      <c r="B65" s="165" t="s">
        <v>1193</v>
      </c>
      <c r="C65" s="183" t="str">
        <f t="shared" si="3"/>
        <v>1081017</v>
      </c>
      <c r="D65" s="182" t="s">
        <v>1642</v>
      </c>
      <c r="E65" s="206"/>
      <c r="F65" s="207">
        <v>423</v>
      </c>
      <c r="G65" s="207"/>
      <c r="H65" s="205"/>
      <c r="I65" s="167">
        <v>21077000000</v>
      </c>
      <c r="J65" s="167">
        <v>882000000</v>
      </c>
      <c r="K65" s="167">
        <v>15528000000</v>
      </c>
      <c r="L65" s="168">
        <v>4667000000</v>
      </c>
      <c r="M65" s="168">
        <v>21077000000</v>
      </c>
      <c r="N65" s="168"/>
      <c r="O65" s="167">
        <v>19634993318</v>
      </c>
      <c r="P65" s="167">
        <v>19634993318</v>
      </c>
      <c r="Q65" s="168"/>
      <c r="S65" s="201">
        <f t="shared" si="35"/>
        <v>21077</v>
      </c>
      <c r="T65" s="201">
        <f t="shared" si="36"/>
        <v>21077</v>
      </c>
      <c r="U65" s="201">
        <f t="shared" si="37"/>
        <v>0</v>
      </c>
      <c r="V65" s="201">
        <f t="shared" si="38"/>
        <v>19634.993318000001</v>
      </c>
      <c r="W65" s="201">
        <f t="shared" si="39"/>
        <v>19634.993318000001</v>
      </c>
      <c r="X65" s="201">
        <f t="shared" si="40"/>
        <v>0</v>
      </c>
    </row>
    <row r="66" spans="1:24" s="169" customFormat="1" ht="26.4">
      <c r="A66" s="192">
        <v>44</v>
      </c>
      <c r="B66" s="176" t="s">
        <v>1396</v>
      </c>
      <c r="C66" s="183" t="str">
        <f t="shared" si="3"/>
        <v>1125306</v>
      </c>
      <c r="D66" s="182" t="s">
        <v>1532</v>
      </c>
      <c r="E66" s="206"/>
      <c r="F66" s="207">
        <v>419</v>
      </c>
      <c r="G66" s="207"/>
      <c r="H66" s="205"/>
      <c r="I66" s="167">
        <v>841800000</v>
      </c>
      <c r="J66" s="166"/>
      <c r="K66" s="167">
        <v>675000000</v>
      </c>
      <c r="L66" s="168">
        <v>166800000</v>
      </c>
      <c r="M66" s="168">
        <v>841800000</v>
      </c>
      <c r="N66" s="168"/>
      <c r="O66" s="167">
        <v>812504000</v>
      </c>
      <c r="P66" s="167">
        <v>812504000</v>
      </c>
      <c r="Q66" s="168"/>
      <c r="S66" s="201">
        <f t="shared" si="35"/>
        <v>841.8</v>
      </c>
      <c r="T66" s="201">
        <f t="shared" si="36"/>
        <v>841.8</v>
      </c>
      <c r="U66" s="201">
        <f t="shared" si="37"/>
        <v>0</v>
      </c>
      <c r="V66" s="201">
        <f t="shared" si="38"/>
        <v>812.50400000000002</v>
      </c>
      <c r="W66" s="201">
        <f t="shared" si="39"/>
        <v>812.50400000000002</v>
      </c>
      <c r="X66" s="201">
        <f t="shared" si="40"/>
        <v>0</v>
      </c>
    </row>
    <row r="67" spans="1:24" s="169" customFormat="1" ht="26.4">
      <c r="A67" s="192">
        <v>45</v>
      </c>
      <c r="B67" s="165" t="s">
        <v>1173</v>
      </c>
      <c r="C67" s="183" t="str">
        <f t="shared" si="3"/>
        <v>1068011</v>
      </c>
      <c r="D67" s="182" t="s">
        <v>1521</v>
      </c>
      <c r="E67" s="206"/>
      <c r="F67" s="207">
        <v>412</v>
      </c>
      <c r="G67" s="207"/>
      <c r="H67" s="205"/>
      <c r="I67" s="167">
        <v>11165089508</v>
      </c>
      <c r="J67" s="167">
        <v>1644439508</v>
      </c>
      <c r="K67" s="167">
        <v>9170400000</v>
      </c>
      <c r="L67" s="168">
        <v>350250000</v>
      </c>
      <c r="M67" s="168">
        <v>11165089508</v>
      </c>
      <c r="N67" s="168"/>
      <c r="O67" s="167">
        <v>9181406623</v>
      </c>
      <c r="P67" s="167">
        <v>9181406623</v>
      </c>
      <c r="Q67" s="168"/>
      <c r="S67" s="201">
        <f t="shared" si="35"/>
        <v>11165.089507999999</v>
      </c>
      <c r="T67" s="201">
        <f t="shared" si="36"/>
        <v>11165.089507999999</v>
      </c>
      <c r="U67" s="201">
        <f t="shared" si="37"/>
        <v>0</v>
      </c>
      <c r="V67" s="201">
        <f t="shared" si="38"/>
        <v>9181.4066230000008</v>
      </c>
      <c r="W67" s="201">
        <f t="shared" si="39"/>
        <v>9181.4066230000008</v>
      </c>
      <c r="X67" s="201">
        <f t="shared" si="40"/>
        <v>0</v>
      </c>
    </row>
    <row r="68" spans="1:24" s="169" customFormat="1" ht="26.4">
      <c r="A68" s="192">
        <v>46</v>
      </c>
      <c r="B68" s="170" t="s">
        <v>1088</v>
      </c>
      <c r="C68" s="183" t="str">
        <f t="shared" si="3"/>
        <v>1050582</v>
      </c>
      <c r="D68" s="182" t="s">
        <v>1493</v>
      </c>
      <c r="E68" s="206"/>
      <c r="F68" s="207">
        <v>422</v>
      </c>
      <c r="G68" s="207"/>
      <c r="H68" s="205"/>
      <c r="I68" s="167">
        <v>2683534000</v>
      </c>
      <c r="J68" s="167">
        <v>150000000</v>
      </c>
      <c r="K68" s="167">
        <v>1512000000</v>
      </c>
      <c r="L68" s="168">
        <v>1021534000</v>
      </c>
      <c r="M68" s="168">
        <v>1983534000</v>
      </c>
      <c r="N68" s="168">
        <v>700000000</v>
      </c>
      <c r="O68" s="167">
        <v>2516100000</v>
      </c>
      <c r="P68" s="167">
        <v>1833228000</v>
      </c>
      <c r="Q68" s="168">
        <v>682872000</v>
      </c>
      <c r="S68" s="201">
        <f t="shared" si="35"/>
        <v>2683.5340000000001</v>
      </c>
      <c r="T68" s="201">
        <f t="shared" si="36"/>
        <v>1983.5340000000001</v>
      </c>
      <c r="U68" s="201">
        <f t="shared" si="37"/>
        <v>700</v>
      </c>
      <c r="V68" s="201">
        <f t="shared" si="38"/>
        <v>2516.1</v>
      </c>
      <c r="W68" s="201">
        <f t="shared" si="39"/>
        <v>1833.2280000000001</v>
      </c>
      <c r="X68" s="201">
        <f t="shared" si="40"/>
        <v>682.87199999999996</v>
      </c>
    </row>
    <row r="69" spans="1:24" s="169" customFormat="1" ht="39.6">
      <c r="A69" s="192">
        <v>47</v>
      </c>
      <c r="B69" s="165" t="s">
        <v>1285</v>
      </c>
      <c r="C69" s="183" t="str">
        <f t="shared" si="3"/>
        <v>1102850</v>
      </c>
      <c r="D69" s="182" t="s">
        <v>1653</v>
      </c>
      <c r="E69" s="206"/>
      <c r="F69" s="207">
        <v>412</v>
      </c>
      <c r="G69" s="207"/>
      <c r="H69" s="205"/>
      <c r="I69" s="167">
        <v>3894500000</v>
      </c>
      <c r="J69" s="166"/>
      <c r="K69" s="167">
        <v>2086000000</v>
      </c>
      <c r="L69" s="168">
        <v>1808500000</v>
      </c>
      <c r="M69" s="168">
        <v>2894500000</v>
      </c>
      <c r="N69" s="168">
        <v>1000000000</v>
      </c>
      <c r="O69" s="167">
        <v>2026025900</v>
      </c>
      <c r="P69" s="167">
        <v>2026025900</v>
      </c>
      <c r="Q69" s="168">
        <v>0</v>
      </c>
      <c r="S69" s="201">
        <f t="shared" ref="S69:S75" si="41">I69/1000000</f>
        <v>3894.5</v>
      </c>
      <c r="T69" s="201">
        <f t="shared" ref="T69:T75" si="42">M69/1000000</f>
        <v>2894.5</v>
      </c>
      <c r="U69" s="201">
        <f t="shared" ref="U69:U75" si="43">N69/1000000</f>
        <v>1000</v>
      </c>
      <c r="V69" s="201">
        <f t="shared" ref="V69:V75" si="44">O69/1000000</f>
        <v>2026.0259000000001</v>
      </c>
      <c r="W69" s="201">
        <f t="shared" ref="W69:W75" si="45">P69/1000000</f>
        <v>2026.0259000000001</v>
      </c>
      <c r="X69" s="201">
        <f t="shared" ref="X69:X75" si="46">Q69/1000000</f>
        <v>0</v>
      </c>
    </row>
    <row r="70" spans="1:24" s="169" customFormat="1" ht="26.4">
      <c r="A70" s="192">
        <v>48</v>
      </c>
      <c r="B70" s="165" t="s">
        <v>1390</v>
      </c>
      <c r="C70" s="183" t="str">
        <f t="shared" si="3"/>
        <v>1125216</v>
      </c>
      <c r="D70" s="182" t="s">
        <v>1530</v>
      </c>
      <c r="E70" s="206"/>
      <c r="F70" s="207">
        <v>426</v>
      </c>
      <c r="G70" s="207"/>
      <c r="H70" s="205"/>
      <c r="I70" s="167">
        <v>1181700000</v>
      </c>
      <c r="J70" s="166"/>
      <c r="K70" s="167">
        <v>1036000000</v>
      </c>
      <c r="L70" s="168">
        <v>145700000</v>
      </c>
      <c r="M70" s="168">
        <v>1181700000</v>
      </c>
      <c r="N70" s="168"/>
      <c r="O70" s="167">
        <v>1175250000</v>
      </c>
      <c r="P70" s="167">
        <v>1175250000</v>
      </c>
      <c r="Q70" s="168"/>
      <c r="S70" s="201">
        <f t="shared" si="41"/>
        <v>1181.7</v>
      </c>
      <c r="T70" s="201">
        <f t="shared" si="42"/>
        <v>1181.7</v>
      </c>
      <c r="U70" s="201">
        <f t="shared" si="43"/>
        <v>0</v>
      </c>
      <c r="V70" s="201">
        <f t="shared" si="44"/>
        <v>1175.25</v>
      </c>
      <c r="W70" s="201">
        <f t="shared" si="45"/>
        <v>1175.25</v>
      </c>
      <c r="X70" s="201">
        <f t="shared" si="46"/>
        <v>0</v>
      </c>
    </row>
    <row r="71" spans="1:24" s="169" customFormat="1" ht="13.8">
      <c r="A71" s="192">
        <v>49</v>
      </c>
      <c r="B71" s="170" t="s">
        <v>941</v>
      </c>
      <c r="C71" s="183" t="str">
        <f t="shared" si="3"/>
        <v>1037649</v>
      </c>
      <c r="D71" s="182" t="s">
        <v>1591</v>
      </c>
      <c r="E71" s="206"/>
      <c r="F71" s="207">
        <v>416</v>
      </c>
      <c r="G71" s="207"/>
      <c r="H71" s="205"/>
      <c r="I71" s="167">
        <v>5728970000</v>
      </c>
      <c r="J71" s="166"/>
      <c r="K71" s="167">
        <v>5318000000</v>
      </c>
      <c r="L71" s="168">
        <v>410970000</v>
      </c>
      <c r="M71" s="168">
        <v>5728970000</v>
      </c>
      <c r="N71" s="168"/>
      <c r="O71" s="167">
        <v>5626158619</v>
      </c>
      <c r="P71" s="167">
        <v>5626158619</v>
      </c>
      <c r="Q71" s="168"/>
      <c r="S71" s="201">
        <f t="shared" si="41"/>
        <v>5728.97</v>
      </c>
      <c r="T71" s="201">
        <f t="shared" si="42"/>
        <v>5728.97</v>
      </c>
      <c r="U71" s="201">
        <f t="shared" si="43"/>
        <v>0</v>
      </c>
      <c r="V71" s="201">
        <f t="shared" si="44"/>
        <v>5626.1586189999998</v>
      </c>
      <c r="W71" s="201">
        <f t="shared" si="45"/>
        <v>5626.1586189999998</v>
      </c>
      <c r="X71" s="201">
        <f t="shared" si="46"/>
        <v>0</v>
      </c>
    </row>
    <row r="72" spans="1:24" s="169" customFormat="1" ht="26.4">
      <c r="A72" s="192">
        <v>50</v>
      </c>
      <c r="B72" s="176" t="s">
        <v>743</v>
      </c>
      <c r="C72" s="183" t="str">
        <f t="shared" si="3"/>
        <v>1015425</v>
      </c>
      <c r="D72" s="182" t="s">
        <v>1479</v>
      </c>
      <c r="E72" s="206"/>
      <c r="F72" s="207">
        <v>412</v>
      </c>
      <c r="G72" s="207"/>
      <c r="H72" s="205"/>
      <c r="I72" s="167">
        <v>2832509000</v>
      </c>
      <c r="J72" s="167">
        <v>567000000</v>
      </c>
      <c r="K72" s="167">
        <v>1787000000</v>
      </c>
      <c r="L72" s="168">
        <v>478509000</v>
      </c>
      <c r="M72" s="168">
        <v>2832509000</v>
      </c>
      <c r="N72" s="168"/>
      <c r="O72" s="167">
        <v>2473728311</v>
      </c>
      <c r="P72" s="167">
        <v>2473728311</v>
      </c>
      <c r="Q72" s="168"/>
      <c r="S72" s="201">
        <f t="shared" si="41"/>
        <v>2832.509</v>
      </c>
      <c r="T72" s="201">
        <f t="shared" si="42"/>
        <v>2832.509</v>
      </c>
      <c r="U72" s="201">
        <f t="shared" si="43"/>
        <v>0</v>
      </c>
      <c r="V72" s="201">
        <f t="shared" si="44"/>
        <v>2473.7283109999998</v>
      </c>
      <c r="W72" s="201">
        <f t="shared" si="45"/>
        <v>2473.7283109999998</v>
      </c>
      <c r="X72" s="201">
        <f t="shared" si="46"/>
        <v>0</v>
      </c>
    </row>
    <row r="73" spans="1:24" s="169" customFormat="1" ht="26.4">
      <c r="A73" s="192">
        <v>51</v>
      </c>
      <c r="B73" s="165" t="s">
        <v>1163</v>
      </c>
      <c r="C73" s="183" t="str">
        <f t="shared" si="3"/>
        <v>1065150</v>
      </c>
      <c r="D73" s="182" t="s">
        <v>1498</v>
      </c>
      <c r="E73" s="206"/>
      <c r="F73" s="207">
        <v>417</v>
      </c>
      <c r="G73" s="207"/>
      <c r="H73" s="205"/>
      <c r="I73" s="167">
        <v>1371800000</v>
      </c>
      <c r="J73" s="166"/>
      <c r="K73" s="167">
        <v>1348000000</v>
      </c>
      <c r="L73" s="168">
        <v>23800000</v>
      </c>
      <c r="M73" s="168">
        <v>1371800000</v>
      </c>
      <c r="N73" s="168"/>
      <c r="O73" s="167">
        <v>1161647505</v>
      </c>
      <c r="P73" s="167">
        <v>1161647505</v>
      </c>
      <c r="Q73" s="168"/>
      <c r="S73" s="201">
        <f t="shared" si="41"/>
        <v>1371.8</v>
      </c>
      <c r="T73" s="201">
        <f t="shared" si="42"/>
        <v>1371.8</v>
      </c>
      <c r="U73" s="201">
        <f t="shared" si="43"/>
        <v>0</v>
      </c>
      <c r="V73" s="201">
        <f t="shared" si="44"/>
        <v>1161.6475049999999</v>
      </c>
      <c r="W73" s="201">
        <f t="shared" si="45"/>
        <v>1161.6475049999999</v>
      </c>
      <c r="X73" s="201">
        <f t="shared" si="46"/>
        <v>0</v>
      </c>
    </row>
    <row r="74" spans="1:24" s="169" customFormat="1" ht="26.4">
      <c r="A74" s="192">
        <v>52</v>
      </c>
      <c r="B74" s="165" t="s">
        <v>732</v>
      </c>
      <c r="C74" s="183" t="str">
        <f t="shared" si="3"/>
        <v>1015164</v>
      </c>
      <c r="D74" s="182" t="s">
        <v>1557</v>
      </c>
      <c r="E74" s="206"/>
      <c r="F74" s="207">
        <v>412</v>
      </c>
      <c r="G74" s="207"/>
      <c r="H74" s="205"/>
      <c r="I74" s="167">
        <v>6278654381</v>
      </c>
      <c r="J74" s="167">
        <v>130289381</v>
      </c>
      <c r="K74" s="167">
        <v>5546000000</v>
      </c>
      <c r="L74" s="168">
        <v>602365000</v>
      </c>
      <c r="M74" s="168">
        <v>6278654381</v>
      </c>
      <c r="N74" s="168"/>
      <c r="O74" s="167">
        <v>6272967381</v>
      </c>
      <c r="P74" s="167">
        <v>6272967381</v>
      </c>
      <c r="Q74" s="168"/>
      <c r="S74" s="201">
        <f t="shared" si="41"/>
        <v>6278.6543810000003</v>
      </c>
      <c r="T74" s="201">
        <f t="shared" si="42"/>
        <v>6278.6543810000003</v>
      </c>
      <c r="U74" s="201">
        <f t="shared" si="43"/>
        <v>0</v>
      </c>
      <c r="V74" s="201">
        <f t="shared" si="44"/>
        <v>6272.9673810000004</v>
      </c>
      <c r="W74" s="201">
        <f t="shared" si="45"/>
        <v>6272.9673810000004</v>
      </c>
      <c r="X74" s="201">
        <f t="shared" si="46"/>
        <v>0</v>
      </c>
    </row>
    <row r="75" spans="1:24" s="169" customFormat="1" ht="26.4">
      <c r="A75" s="192">
        <v>53</v>
      </c>
      <c r="B75" s="165" t="s">
        <v>1328</v>
      </c>
      <c r="C75" s="183" t="str">
        <f t="shared" si="3"/>
        <v>1113386</v>
      </c>
      <c r="D75" s="182" t="s">
        <v>1661</v>
      </c>
      <c r="E75" s="206"/>
      <c r="F75" s="207">
        <v>435</v>
      </c>
      <c r="G75" s="207"/>
      <c r="H75" s="205"/>
      <c r="I75" s="167">
        <v>1396200000</v>
      </c>
      <c r="J75" s="166"/>
      <c r="K75" s="167">
        <v>1262000000</v>
      </c>
      <c r="L75" s="168">
        <v>134200000</v>
      </c>
      <c r="M75" s="168">
        <v>1396200000</v>
      </c>
      <c r="N75" s="168"/>
      <c r="O75" s="167">
        <v>1396200000</v>
      </c>
      <c r="P75" s="167">
        <v>1396200000</v>
      </c>
      <c r="Q75" s="168"/>
      <c r="S75" s="201">
        <f t="shared" si="41"/>
        <v>1396.2</v>
      </c>
      <c r="T75" s="201">
        <f t="shared" si="42"/>
        <v>1396.2</v>
      </c>
      <c r="U75" s="201">
        <f t="shared" si="43"/>
        <v>0</v>
      </c>
      <c r="V75" s="201">
        <f t="shared" si="44"/>
        <v>1396.2</v>
      </c>
      <c r="W75" s="201">
        <f t="shared" si="45"/>
        <v>1396.2</v>
      </c>
      <c r="X75" s="201">
        <f t="shared" si="46"/>
        <v>0</v>
      </c>
    </row>
    <row r="76" spans="1:24" s="169" customFormat="1" ht="13.8">
      <c r="A76" s="192">
        <v>54</v>
      </c>
      <c r="B76" s="218" t="s">
        <v>1473</v>
      </c>
      <c r="C76" s="183" t="str">
        <f t="shared" si="3"/>
        <v>1053629</v>
      </c>
      <c r="D76" s="182" t="s">
        <v>514</v>
      </c>
      <c r="E76" s="206"/>
      <c r="F76" s="207">
        <v>560</v>
      </c>
      <c r="G76" s="207"/>
      <c r="H76" s="205"/>
      <c r="I76" s="167">
        <v>12781500000</v>
      </c>
      <c r="J76" s="167">
        <v>132000000</v>
      </c>
      <c r="K76" s="167">
        <v>9125000000</v>
      </c>
      <c r="L76" s="168">
        <v>3524500000</v>
      </c>
      <c r="M76" s="168">
        <v>12781500000</v>
      </c>
      <c r="N76" s="168"/>
      <c r="O76" s="167">
        <v>10291500000</v>
      </c>
      <c r="P76" s="167">
        <v>10291500000</v>
      </c>
      <c r="Q76" s="168"/>
      <c r="S76" s="201">
        <f t="shared" ref="S76:S82" si="47">I76/1000000</f>
        <v>12781.5</v>
      </c>
      <c r="T76" s="201">
        <f t="shared" ref="T76:T82" si="48">M76/1000000</f>
        <v>12781.5</v>
      </c>
      <c r="U76" s="201">
        <f t="shared" ref="U76:U82" si="49">N76/1000000</f>
        <v>0</v>
      </c>
      <c r="V76" s="201">
        <f t="shared" ref="V76:V82" si="50">O76/1000000</f>
        <v>10291.5</v>
      </c>
      <c r="W76" s="201">
        <f t="shared" ref="W76:W82" si="51">P76/1000000</f>
        <v>10291.5</v>
      </c>
      <c r="X76" s="201">
        <f t="shared" ref="X76:X82" si="52">Q76/1000000</f>
        <v>0</v>
      </c>
    </row>
    <row r="77" spans="1:24" s="169" customFormat="1" ht="26.4">
      <c r="A77" s="192">
        <v>55</v>
      </c>
      <c r="B77" s="165" t="s">
        <v>1302</v>
      </c>
      <c r="C77" s="183" t="str">
        <f t="shared" si="3"/>
        <v>1105744</v>
      </c>
      <c r="D77" s="182" t="s">
        <v>1603</v>
      </c>
      <c r="E77" s="206"/>
      <c r="F77" s="207">
        <v>599</v>
      </c>
      <c r="G77" s="207"/>
      <c r="H77" s="205"/>
      <c r="I77" s="167">
        <v>6078076050</v>
      </c>
      <c r="J77" s="167">
        <v>57676050</v>
      </c>
      <c r="K77" s="167">
        <v>4022400000</v>
      </c>
      <c r="L77" s="168">
        <v>1998000000</v>
      </c>
      <c r="M77" s="168">
        <v>6078076050</v>
      </c>
      <c r="N77" s="168"/>
      <c r="O77" s="167">
        <v>6077955341</v>
      </c>
      <c r="P77" s="167">
        <v>6077955341</v>
      </c>
      <c r="Q77" s="168"/>
      <c r="S77" s="201">
        <f t="shared" si="47"/>
        <v>6078.0760499999997</v>
      </c>
      <c r="T77" s="201">
        <f t="shared" si="48"/>
        <v>6078.0760499999997</v>
      </c>
      <c r="U77" s="201">
        <f t="shared" si="49"/>
        <v>0</v>
      </c>
      <c r="V77" s="201">
        <f t="shared" si="50"/>
        <v>6077.9553409999999</v>
      </c>
      <c r="W77" s="201">
        <f t="shared" si="51"/>
        <v>6077.9553409999999</v>
      </c>
      <c r="X77" s="201">
        <f t="shared" si="52"/>
        <v>0</v>
      </c>
    </row>
    <row r="78" spans="1:24" s="169" customFormat="1" ht="26.4">
      <c r="A78" s="192">
        <v>56</v>
      </c>
      <c r="B78" s="165" t="s">
        <v>928</v>
      </c>
      <c r="C78" s="183" t="str">
        <f t="shared" si="3"/>
        <v>1037641</v>
      </c>
      <c r="D78" s="182" t="s">
        <v>1588</v>
      </c>
      <c r="E78" s="206"/>
      <c r="F78" s="207">
        <v>441</v>
      </c>
      <c r="G78" s="207"/>
      <c r="H78" s="205"/>
      <c r="I78" s="167">
        <v>11672727000</v>
      </c>
      <c r="J78" s="166"/>
      <c r="K78" s="167">
        <v>11256000000</v>
      </c>
      <c r="L78" s="168">
        <v>416727000</v>
      </c>
      <c r="M78" s="168">
        <v>11672727000</v>
      </c>
      <c r="N78" s="168"/>
      <c r="O78" s="167">
        <v>11672727000</v>
      </c>
      <c r="P78" s="167">
        <v>11672727000</v>
      </c>
      <c r="Q78" s="168"/>
      <c r="S78" s="201">
        <f t="shared" si="47"/>
        <v>11672.727000000001</v>
      </c>
      <c r="T78" s="201">
        <f t="shared" si="48"/>
        <v>11672.727000000001</v>
      </c>
      <c r="U78" s="201">
        <f t="shared" si="49"/>
        <v>0</v>
      </c>
      <c r="V78" s="201">
        <f t="shared" si="50"/>
        <v>11672.727000000001</v>
      </c>
      <c r="W78" s="201">
        <f t="shared" si="51"/>
        <v>11672.727000000001</v>
      </c>
      <c r="X78" s="201">
        <f t="shared" si="52"/>
        <v>0</v>
      </c>
    </row>
    <row r="79" spans="1:24" s="169" customFormat="1" ht="26.4">
      <c r="A79" s="192">
        <v>57</v>
      </c>
      <c r="B79" s="176" t="s">
        <v>692</v>
      </c>
      <c r="C79" s="183" t="str">
        <f t="shared" si="3"/>
        <v>1008744</v>
      </c>
      <c r="D79" s="182" t="s">
        <v>1507</v>
      </c>
      <c r="E79" s="206"/>
      <c r="F79" s="207" t="s">
        <v>694</v>
      </c>
      <c r="G79" s="207"/>
      <c r="H79" s="205"/>
      <c r="I79" s="167">
        <v>270000000</v>
      </c>
      <c r="J79" s="166"/>
      <c r="K79" s="167">
        <v>270000000</v>
      </c>
      <c r="L79" s="171"/>
      <c r="M79" s="168">
        <v>270000000</v>
      </c>
      <c r="N79" s="171"/>
      <c r="O79" s="167">
        <v>270000000</v>
      </c>
      <c r="P79" s="167">
        <v>270000000</v>
      </c>
      <c r="Q79" s="171"/>
      <c r="S79" s="201">
        <f t="shared" si="47"/>
        <v>270</v>
      </c>
      <c r="T79" s="201">
        <f t="shared" si="48"/>
        <v>270</v>
      </c>
      <c r="U79" s="201">
        <f t="shared" si="49"/>
        <v>0</v>
      </c>
      <c r="V79" s="201">
        <f t="shared" si="50"/>
        <v>270</v>
      </c>
      <c r="W79" s="201">
        <f t="shared" si="51"/>
        <v>270</v>
      </c>
      <c r="X79" s="201">
        <f t="shared" si="52"/>
        <v>0</v>
      </c>
    </row>
    <row r="80" spans="1:24" s="169" customFormat="1" ht="13.8">
      <c r="A80" s="192">
        <v>58</v>
      </c>
      <c r="B80" s="170" t="s">
        <v>1265</v>
      </c>
      <c r="C80" s="183" t="str">
        <f t="shared" si="3"/>
        <v>1096916</v>
      </c>
      <c r="D80" s="182" t="s">
        <v>1546</v>
      </c>
      <c r="E80" s="206"/>
      <c r="F80" s="207">
        <v>599</v>
      </c>
      <c r="G80" s="207"/>
      <c r="H80" s="205"/>
      <c r="I80" s="167">
        <v>90000000</v>
      </c>
      <c r="J80" s="166"/>
      <c r="K80" s="167">
        <v>50000000</v>
      </c>
      <c r="L80" s="168">
        <v>40000000</v>
      </c>
      <c r="M80" s="168">
        <v>90000000</v>
      </c>
      <c r="N80" s="168"/>
      <c r="O80" s="167">
        <v>90000000</v>
      </c>
      <c r="P80" s="167">
        <v>90000000</v>
      </c>
      <c r="Q80" s="168"/>
      <c r="S80" s="201">
        <f t="shared" si="47"/>
        <v>90</v>
      </c>
      <c r="T80" s="201">
        <f t="shared" si="48"/>
        <v>90</v>
      </c>
      <c r="U80" s="201">
        <f t="shared" si="49"/>
        <v>0</v>
      </c>
      <c r="V80" s="201">
        <f t="shared" si="50"/>
        <v>90</v>
      </c>
      <c r="W80" s="201">
        <f t="shared" si="51"/>
        <v>90</v>
      </c>
      <c r="X80" s="201">
        <f t="shared" si="52"/>
        <v>0</v>
      </c>
    </row>
    <row r="81" spans="1:24" s="169" customFormat="1" ht="28.8">
      <c r="A81" s="192">
        <v>59</v>
      </c>
      <c r="B81" s="176" t="s">
        <v>1209</v>
      </c>
      <c r="C81" s="183" t="str">
        <f t="shared" si="3"/>
        <v>1082145</v>
      </c>
      <c r="D81" s="182" t="s">
        <v>1571</v>
      </c>
      <c r="E81" s="206"/>
      <c r="F81" s="207">
        <v>412</v>
      </c>
      <c r="G81" s="207"/>
      <c r="H81" s="205"/>
      <c r="I81" s="167">
        <v>2371984127</v>
      </c>
      <c r="J81" s="167">
        <v>46984127</v>
      </c>
      <c r="K81" s="167">
        <v>2253000000</v>
      </c>
      <c r="L81" s="168">
        <v>72000000</v>
      </c>
      <c r="M81" s="168">
        <v>2371984127</v>
      </c>
      <c r="N81" s="168"/>
      <c r="O81" s="167">
        <v>2371984127</v>
      </c>
      <c r="P81" s="167">
        <v>2371984127</v>
      </c>
      <c r="Q81" s="168"/>
      <c r="S81" s="201">
        <f t="shared" si="47"/>
        <v>2371.9841270000002</v>
      </c>
      <c r="T81" s="201">
        <f t="shared" si="48"/>
        <v>2371.9841270000002</v>
      </c>
      <c r="U81" s="201">
        <f t="shared" si="49"/>
        <v>0</v>
      </c>
      <c r="V81" s="201">
        <f t="shared" si="50"/>
        <v>2371.9841270000002</v>
      </c>
      <c r="W81" s="201">
        <f t="shared" si="51"/>
        <v>2371.9841270000002</v>
      </c>
      <c r="X81" s="201">
        <f t="shared" si="52"/>
        <v>0</v>
      </c>
    </row>
    <row r="82" spans="1:24" s="169" customFormat="1" ht="26.4">
      <c r="A82" s="192">
        <v>60</v>
      </c>
      <c r="B82" s="176" t="s">
        <v>1206</v>
      </c>
      <c r="C82" s="183" t="str">
        <f t="shared" si="3"/>
        <v>1082144</v>
      </c>
      <c r="D82" s="182" t="s">
        <v>1499</v>
      </c>
      <c r="E82" s="206"/>
      <c r="F82" s="207">
        <v>412</v>
      </c>
      <c r="G82" s="207"/>
      <c r="H82" s="205"/>
      <c r="I82" s="167">
        <v>2142000000</v>
      </c>
      <c r="J82" s="166"/>
      <c r="K82" s="167">
        <v>2087000000</v>
      </c>
      <c r="L82" s="168">
        <v>55000000</v>
      </c>
      <c r="M82" s="168">
        <v>2142000000</v>
      </c>
      <c r="N82" s="168"/>
      <c r="O82" s="167">
        <v>2142000000</v>
      </c>
      <c r="P82" s="167">
        <v>2142000000</v>
      </c>
      <c r="Q82" s="168"/>
      <c r="S82" s="201">
        <f t="shared" si="47"/>
        <v>2142</v>
      </c>
      <c r="T82" s="201">
        <f t="shared" si="48"/>
        <v>2142</v>
      </c>
      <c r="U82" s="201">
        <f t="shared" si="49"/>
        <v>0</v>
      </c>
      <c r="V82" s="201">
        <f t="shared" si="50"/>
        <v>2142</v>
      </c>
      <c r="W82" s="201">
        <f t="shared" si="51"/>
        <v>2142</v>
      </c>
      <c r="X82" s="201">
        <f t="shared" si="52"/>
        <v>0</v>
      </c>
    </row>
    <row r="83" spans="1:24" s="169" customFormat="1" ht="28.8">
      <c r="A83" s="192">
        <v>61</v>
      </c>
      <c r="B83" s="176" t="s">
        <v>1203</v>
      </c>
      <c r="C83" s="183" t="str">
        <f t="shared" si="3"/>
        <v>1082143</v>
      </c>
      <c r="D83" s="182" t="s">
        <v>1570</v>
      </c>
      <c r="E83" s="206"/>
      <c r="F83" s="207">
        <v>412</v>
      </c>
      <c r="G83" s="207"/>
      <c r="H83" s="205"/>
      <c r="I83" s="167">
        <v>3019365039</v>
      </c>
      <c r="J83" s="167">
        <v>128365039</v>
      </c>
      <c r="K83" s="167">
        <v>2805000000</v>
      </c>
      <c r="L83" s="168">
        <v>86000000</v>
      </c>
      <c r="M83" s="168">
        <v>3019365039</v>
      </c>
      <c r="N83" s="168"/>
      <c r="O83" s="167">
        <v>3018215039</v>
      </c>
      <c r="P83" s="167">
        <v>3018215039</v>
      </c>
      <c r="Q83" s="168"/>
      <c r="S83" s="201">
        <f t="shared" ref="S83:S90" si="53">I83/1000000</f>
        <v>3019.3650389999998</v>
      </c>
      <c r="T83" s="201">
        <f t="shared" ref="T83:T90" si="54">M83/1000000</f>
        <v>3019.3650389999998</v>
      </c>
      <c r="U83" s="201">
        <f t="shared" ref="U83:U90" si="55">N83/1000000</f>
        <v>0</v>
      </c>
      <c r="V83" s="201">
        <f t="shared" ref="V83:V90" si="56">O83/1000000</f>
        <v>3018.2150390000002</v>
      </c>
      <c r="W83" s="201">
        <f t="shared" ref="W83:W90" si="57">P83/1000000</f>
        <v>3018.2150390000002</v>
      </c>
      <c r="X83" s="201">
        <f t="shared" ref="X83:X90" si="58">Q83/1000000</f>
        <v>0</v>
      </c>
    </row>
    <row r="84" spans="1:24" s="169" customFormat="1" ht="26.4">
      <c r="A84" s="192">
        <v>62</v>
      </c>
      <c r="B84" s="165" t="s">
        <v>1344</v>
      </c>
      <c r="C84" s="183" t="str">
        <f t="shared" si="3"/>
        <v>1115609</v>
      </c>
      <c r="D84" s="182" t="s">
        <v>1550</v>
      </c>
      <c r="E84" s="206"/>
      <c r="F84" s="207">
        <v>413</v>
      </c>
      <c r="G84" s="207"/>
      <c r="H84" s="205"/>
      <c r="I84" s="167">
        <v>382000000</v>
      </c>
      <c r="J84" s="166"/>
      <c r="K84" s="167">
        <v>382000000</v>
      </c>
      <c r="L84" s="171"/>
      <c r="M84" s="168">
        <v>382000000</v>
      </c>
      <c r="N84" s="171"/>
      <c r="O84" s="167">
        <v>375535674</v>
      </c>
      <c r="P84" s="167">
        <v>375535674</v>
      </c>
      <c r="Q84" s="171"/>
      <c r="S84" s="201">
        <f t="shared" si="53"/>
        <v>382</v>
      </c>
      <c r="T84" s="201">
        <f t="shared" si="54"/>
        <v>382</v>
      </c>
      <c r="U84" s="201">
        <f t="shared" si="55"/>
        <v>0</v>
      </c>
      <c r="V84" s="201">
        <f t="shared" si="56"/>
        <v>375.53567399999997</v>
      </c>
      <c r="W84" s="201">
        <f t="shared" si="57"/>
        <v>375.53567399999997</v>
      </c>
      <c r="X84" s="201">
        <f t="shared" si="58"/>
        <v>0</v>
      </c>
    </row>
    <row r="85" spans="1:24" s="169" customFormat="1" ht="26.4">
      <c r="A85" s="192">
        <v>63</v>
      </c>
      <c r="B85" s="170" t="s">
        <v>816</v>
      </c>
      <c r="C85" s="183" t="str">
        <f t="shared" si="3"/>
        <v>1037416</v>
      </c>
      <c r="D85" s="182" t="s">
        <v>1566</v>
      </c>
      <c r="E85" s="206"/>
      <c r="F85" s="207">
        <v>412</v>
      </c>
      <c r="G85" s="207"/>
      <c r="H85" s="205"/>
      <c r="I85" s="167">
        <v>3838214000</v>
      </c>
      <c r="J85" s="166"/>
      <c r="K85" s="167">
        <v>3338300000</v>
      </c>
      <c r="L85" s="168">
        <v>499914000</v>
      </c>
      <c r="M85" s="168">
        <v>3838214000</v>
      </c>
      <c r="N85" s="168"/>
      <c r="O85" s="167">
        <v>3826769000</v>
      </c>
      <c r="P85" s="167">
        <v>3826769000</v>
      </c>
      <c r="Q85" s="168"/>
      <c r="S85" s="201">
        <f t="shared" si="53"/>
        <v>3838.2139999999999</v>
      </c>
      <c r="T85" s="201">
        <f t="shared" si="54"/>
        <v>3838.2139999999999</v>
      </c>
      <c r="U85" s="201">
        <f t="shared" si="55"/>
        <v>0</v>
      </c>
      <c r="V85" s="201">
        <f t="shared" si="56"/>
        <v>3826.7689999999998</v>
      </c>
      <c r="W85" s="201">
        <f t="shared" si="57"/>
        <v>3826.7689999999998</v>
      </c>
      <c r="X85" s="201">
        <f t="shared" si="58"/>
        <v>0</v>
      </c>
    </row>
    <row r="86" spans="1:24" s="169" customFormat="1" ht="13.8">
      <c r="A86" s="192">
        <v>64</v>
      </c>
      <c r="B86" s="164" t="s">
        <v>822</v>
      </c>
      <c r="C86" s="183" t="str">
        <f t="shared" si="3"/>
        <v>1037419</v>
      </c>
      <c r="D86" s="182" t="s">
        <v>1567</v>
      </c>
      <c r="E86" s="206"/>
      <c r="F86" s="207">
        <v>412</v>
      </c>
      <c r="G86" s="207"/>
      <c r="H86" s="205"/>
      <c r="I86" s="167">
        <v>3136154000</v>
      </c>
      <c r="J86" s="166"/>
      <c r="K86" s="167">
        <v>2909000000</v>
      </c>
      <c r="L86" s="168">
        <v>227154000</v>
      </c>
      <c r="M86" s="168">
        <v>3136154000</v>
      </c>
      <c r="N86" s="168"/>
      <c r="O86" s="167">
        <v>3123153000</v>
      </c>
      <c r="P86" s="167">
        <v>3123153000</v>
      </c>
      <c r="Q86" s="168"/>
      <c r="S86" s="201">
        <f t="shared" si="53"/>
        <v>3136.154</v>
      </c>
      <c r="T86" s="201">
        <f t="shared" si="54"/>
        <v>3136.154</v>
      </c>
      <c r="U86" s="201">
        <f t="shared" si="55"/>
        <v>0</v>
      </c>
      <c r="V86" s="201">
        <f t="shared" si="56"/>
        <v>3123.1529999999998</v>
      </c>
      <c r="W86" s="201">
        <f t="shared" si="57"/>
        <v>3123.1529999999998</v>
      </c>
      <c r="X86" s="201">
        <f t="shared" si="58"/>
        <v>0</v>
      </c>
    </row>
    <row r="87" spans="1:24" s="169" customFormat="1" ht="13.8">
      <c r="A87" s="192">
        <v>65</v>
      </c>
      <c r="B87" s="170" t="s">
        <v>819</v>
      </c>
      <c r="C87" s="183" t="str">
        <f t="shared" ref="C87:C150" si="59">IF(B87&lt;&gt;"",IF(AND(LEFT(B87,1)&gt;="0",LEFT(B87,1)&lt;="9"),LEFT(B87,7),""),"")</f>
        <v>1037418</v>
      </c>
      <c r="D87" s="182" t="s">
        <v>1484</v>
      </c>
      <c r="E87" s="206"/>
      <c r="F87" s="207">
        <v>412</v>
      </c>
      <c r="G87" s="207"/>
      <c r="H87" s="205"/>
      <c r="I87" s="167">
        <v>2673300000</v>
      </c>
      <c r="J87" s="166"/>
      <c r="K87" s="167">
        <v>2574300000</v>
      </c>
      <c r="L87" s="168">
        <v>99000000</v>
      </c>
      <c r="M87" s="168">
        <v>2673300000</v>
      </c>
      <c r="N87" s="168"/>
      <c r="O87" s="167">
        <v>2664070000</v>
      </c>
      <c r="P87" s="167">
        <v>2664070000</v>
      </c>
      <c r="Q87" s="168"/>
      <c r="S87" s="201">
        <f t="shared" si="53"/>
        <v>2673.3</v>
      </c>
      <c r="T87" s="201">
        <f t="shared" si="54"/>
        <v>2673.3</v>
      </c>
      <c r="U87" s="201">
        <f t="shared" si="55"/>
        <v>0</v>
      </c>
      <c r="V87" s="201">
        <f t="shared" si="56"/>
        <v>2664.07</v>
      </c>
      <c r="W87" s="201">
        <f t="shared" si="57"/>
        <v>2664.07</v>
      </c>
      <c r="X87" s="201">
        <f t="shared" si="58"/>
        <v>0</v>
      </c>
    </row>
    <row r="88" spans="1:24" s="169" customFormat="1" ht="13.8">
      <c r="A88" s="192">
        <v>66</v>
      </c>
      <c r="B88" s="170" t="s">
        <v>1359</v>
      </c>
      <c r="C88" s="183" t="str">
        <f t="shared" si="59"/>
        <v>1121980</v>
      </c>
      <c r="D88" s="182" t="s">
        <v>1668</v>
      </c>
      <c r="E88" s="206"/>
      <c r="F88" s="207">
        <v>412</v>
      </c>
      <c r="G88" s="207"/>
      <c r="H88" s="205"/>
      <c r="I88" s="167">
        <v>2905295746</v>
      </c>
      <c r="J88" s="167">
        <v>77395746</v>
      </c>
      <c r="K88" s="167">
        <v>2783300000</v>
      </c>
      <c r="L88" s="168">
        <v>44600000</v>
      </c>
      <c r="M88" s="168">
        <v>2905295746</v>
      </c>
      <c r="N88" s="168"/>
      <c r="O88" s="167">
        <v>2905295746</v>
      </c>
      <c r="P88" s="167">
        <v>2905295746</v>
      </c>
      <c r="Q88" s="168"/>
      <c r="S88" s="201">
        <f t="shared" si="53"/>
        <v>2905.2957459999998</v>
      </c>
      <c r="T88" s="201">
        <f t="shared" si="54"/>
        <v>2905.2957459999998</v>
      </c>
      <c r="U88" s="201">
        <f t="shared" si="55"/>
        <v>0</v>
      </c>
      <c r="V88" s="201">
        <f t="shared" si="56"/>
        <v>2905.2957459999998</v>
      </c>
      <c r="W88" s="201">
        <f t="shared" si="57"/>
        <v>2905.2957459999998</v>
      </c>
      <c r="X88" s="201">
        <f t="shared" si="58"/>
        <v>0</v>
      </c>
    </row>
    <row r="89" spans="1:24" s="169" customFormat="1" ht="26.4">
      <c r="A89" s="192">
        <v>67</v>
      </c>
      <c r="B89" s="176" t="s">
        <v>825</v>
      </c>
      <c r="C89" s="183" t="str">
        <f t="shared" si="59"/>
        <v>1037420</v>
      </c>
      <c r="D89" s="182" t="s">
        <v>1573</v>
      </c>
      <c r="E89" s="206"/>
      <c r="F89" s="207">
        <v>412</v>
      </c>
      <c r="G89" s="207"/>
      <c r="H89" s="205"/>
      <c r="I89" s="167">
        <v>4487005292</v>
      </c>
      <c r="J89" s="167">
        <v>45405292</v>
      </c>
      <c r="K89" s="167">
        <v>3251800000</v>
      </c>
      <c r="L89" s="168">
        <v>1189800000</v>
      </c>
      <c r="M89" s="168">
        <v>4487005292</v>
      </c>
      <c r="N89" s="168"/>
      <c r="O89" s="167">
        <v>3527800000</v>
      </c>
      <c r="P89" s="167">
        <v>3527800000</v>
      </c>
      <c r="Q89" s="168"/>
      <c r="S89" s="201">
        <f t="shared" si="53"/>
        <v>4487.0052919999998</v>
      </c>
      <c r="T89" s="201">
        <f t="shared" si="54"/>
        <v>4487.0052919999998</v>
      </c>
      <c r="U89" s="201">
        <f t="shared" si="55"/>
        <v>0</v>
      </c>
      <c r="V89" s="201">
        <f t="shared" si="56"/>
        <v>3527.8</v>
      </c>
      <c r="W89" s="201">
        <f t="shared" si="57"/>
        <v>3527.8</v>
      </c>
      <c r="X89" s="201">
        <f t="shared" si="58"/>
        <v>0</v>
      </c>
    </row>
    <row r="90" spans="1:24" s="169" customFormat="1" ht="26.4">
      <c r="A90" s="192">
        <v>68</v>
      </c>
      <c r="B90" s="170" t="s">
        <v>1096</v>
      </c>
      <c r="C90" s="183" t="str">
        <f t="shared" si="59"/>
        <v>1050722</v>
      </c>
      <c r="D90" s="182" t="s">
        <v>1494</v>
      </c>
      <c r="E90" s="206"/>
      <c r="F90" s="207">
        <v>412</v>
      </c>
      <c r="G90" s="207"/>
      <c r="H90" s="205"/>
      <c r="I90" s="167">
        <v>2821096000</v>
      </c>
      <c r="J90" s="166"/>
      <c r="K90" s="167">
        <v>2502500000</v>
      </c>
      <c r="L90" s="168">
        <v>318596000</v>
      </c>
      <c r="M90" s="168">
        <v>2821096000</v>
      </c>
      <c r="N90" s="168"/>
      <c r="O90" s="167">
        <v>2821035088</v>
      </c>
      <c r="P90" s="167">
        <v>2821035088</v>
      </c>
      <c r="Q90" s="168"/>
      <c r="S90" s="201">
        <f t="shared" si="53"/>
        <v>2821.096</v>
      </c>
      <c r="T90" s="201">
        <f t="shared" si="54"/>
        <v>2821.096</v>
      </c>
      <c r="U90" s="201">
        <f t="shared" si="55"/>
        <v>0</v>
      </c>
      <c r="V90" s="201">
        <f t="shared" si="56"/>
        <v>2821.0350880000001</v>
      </c>
      <c r="W90" s="201">
        <f t="shared" si="57"/>
        <v>2821.0350880000001</v>
      </c>
      <c r="X90" s="201">
        <f t="shared" si="58"/>
        <v>0</v>
      </c>
    </row>
    <row r="91" spans="1:24" s="169" customFormat="1" ht="26.4">
      <c r="A91" s="192">
        <v>69</v>
      </c>
      <c r="B91" s="170" t="s">
        <v>885</v>
      </c>
      <c r="C91" s="183" t="str">
        <f t="shared" si="59"/>
        <v>1037491</v>
      </c>
      <c r="D91" s="182" t="s">
        <v>1583</v>
      </c>
      <c r="E91" s="206"/>
      <c r="F91" s="207">
        <v>412</v>
      </c>
      <c r="G91" s="207"/>
      <c r="H91" s="205"/>
      <c r="I91" s="167">
        <v>2975207000</v>
      </c>
      <c r="J91" s="166"/>
      <c r="K91" s="167">
        <v>2705000000</v>
      </c>
      <c r="L91" s="168">
        <v>270207000</v>
      </c>
      <c r="M91" s="168">
        <v>2975207000</v>
      </c>
      <c r="N91" s="168"/>
      <c r="O91" s="167">
        <v>2975207000</v>
      </c>
      <c r="P91" s="167">
        <v>2975207000</v>
      </c>
      <c r="Q91" s="168"/>
      <c r="S91" s="201">
        <f t="shared" ref="S91:S97" si="60">I91/1000000</f>
        <v>2975.2069999999999</v>
      </c>
      <c r="T91" s="201">
        <f t="shared" ref="T91:T97" si="61">M91/1000000</f>
        <v>2975.2069999999999</v>
      </c>
      <c r="U91" s="201">
        <f t="shared" ref="U91:U97" si="62">N91/1000000</f>
        <v>0</v>
      </c>
      <c r="V91" s="201">
        <f t="shared" ref="V91:V97" si="63">O91/1000000</f>
        <v>2975.2069999999999</v>
      </c>
      <c r="W91" s="201">
        <f t="shared" ref="W91:W97" si="64">P91/1000000</f>
        <v>2975.2069999999999</v>
      </c>
      <c r="X91" s="201">
        <f t="shared" ref="X91:X97" si="65">Q91/1000000</f>
        <v>0</v>
      </c>
    </row>
    <row r="92" spans="1:24" s="169" customFormat="1" ht="26.4">
      <c r="A92" s="192">
        <v>70</v>
      </c>
      <c r="B92" s="170" t="s">
        <v>881</v>
      </c>
      <c r="C92" s="183" t="str">
        <f t="shared" si="59"/>
        <v>1037490</v>
      </c>
      <c r="D92" s="182" t="s">
        <v>1568</v>
      </c>
      <c r="E92" s="206"/>
      <c r="F92" s="207">
        <v>412</v>
      </c>
      <c r="G92" s="207"/>
      <c r="H92" s="205"/>
      <c r="I92" s="167">
        <v>5918800000</v>
      </c>
      <c r="J92" s="166"/>
      <c r="K92" s="167">
        <v>3062800000</v>
      </c>
      <c r="L92" s="168">
        <v>2856000000</v>
      </c>
      <c r="M92" s="168">
        <v>5918800000</v>
      </c>
      <c r="N92" s="168"/>
      <c r="O92" s="167">
        <v>3158800000</v>
      </c>
      <c r="P92" s="167">
        <v>3158800000</v>
      </c>
      <c r="Q92" s="168"/>
      <c r="S92" s="201">
        <f t="shared" si="60"/>
        <v>5918.8</v>
      </c>
      <c r="T92" s="201">
        <f t="shared" si="61"/>
        <v>5918.8</v>
      </c>
      <c r="U92" s="201">
        <f t="shared" si="62"/>
        <v>0</v>
      </c>
      <c r="V92" s="201">
        <f t="shared" si="63"/>
        <v>3158.8</v>
      </c>
      <c r="W92" s="201">
        <f t="shared" si="64"/>
        <v>3158.8</v>
      </c>
      <c r="X92" s="201">
        <f t="shared" si="65"/>
        <v>0</v>
      </c>
    </row>
    <row r="93" spans="1:24" s="169" customFormat="1" ht="26.4">
      <c r="A93" s="192">
        <v>71</v>
      </c>
      <c r="B93" s="165" t="s">
        <v>1151</v>
      </c>
      <c r="C93" s="183" t="str">
        <f t="shared" si="59"/>
        <v>1063797</v>
      </c>
      <c r="D93" s="182" t="s">
        <v>1497</v>
      </c>
      <c r="E93" s="206"/>
      <c r="F93" s="207">
        <v>412</v>
      </c>
      <c r="G93" s="207"/>
      <c r="H93" s="205"/>
      <c r="I93" s="167">
        <v>2855100000</v>
      </c>
      <c r="J93" s="166"/>
      <c r="K93" s="167">
        <v>2760100000</v>
      </c>
      <c r="L93" s="168">
        <v>95000000</v>
      </c>
      <c r="M93" s="168">
        <v>2855100000</v>
      </c>
      <c r="N93" s="168"/>
      <c r="O93" s="167">
        <v>2855100000</v>
      </c>
      <c r="P93" s="167">
        <v>2855100000</v>
      </c>
      <c r="Q93" s="168"/>
      <c r="S93" s="201">
        <f t="shared" si="60"/>
        <v>2855.1</v>
      </c>
      <c r="T93" s="201">
        <f t="shared" si="61"/>
        <v>2855.1</v>
      </c>
      <c r="U93" s="201">
        <f t="shared" si="62"/>
        <v>0</v>
      </c>
      <c r="V93" s="201">
        <f t="shared" si="63"/>
        <v>2855.1</v>
      </c>
      <c r="W93" s="201">
        <f t="shared" si="64"/>
        <v>2855.1</v>
      </c>
      <c r="X93" s="201">
        <f t="shared" si="65"/>
        <v>0</v>
      </c>
    </row>
    <row r="94" spans="1:24" s="169" customFormat="1" ht="26.4">
      <c r="A94" s="192">
        <v>72</v>
      </c>
      <c r="B94" s="176" t="s">
        <v>1377</v>
      </c>
      <c r="C94" s="183" t="str">
        <f t="shared" si="59"/>
        <v>1124496</v>
      </c>
      <c r="D94" s="182" t="s">
        <v>1572</v>
      </c>
      <c r="E94" s="206"/>
      <c r="F94" s="207">
        <v>412</v>
      </c>
      <c r="G94" s="207"/>
      <c r="H94" s="205"/>
      <c r="I94" s="167">
        <v>665500000</v>
      </c>
      <c r="J94" s="166"/>
      <c r="K94" s="167">
        <v>657500000</v>
      </c>
      <c r="L94" s="168">
        <v>8000000</v>
      </c>
      <c r="M94" s="168">
        <v>665500000</v>
      </c>
      <c r="N94" s="168"/>
      <c r="O94" s="167">
        <v>665500000</v>
      </c>
      <c r="P94" s="167">
        <v>665500000</v>
      </c>
      <c r="Q94" s="168"/>
      <c r="S94" s="201">
        <f t="shared" si="60"/>
        <v>665.5</v>
      </c>
      <c r="T94" s="201">
        <f t="shared" si="61"/>
        <v>665.5</v>
      </c>
      <c r="U94" s="201">
        <f t="shared" si="62"/>
        <v>0</v>
      </c>
      <c r="V94" s="201">
        <f t="shared" si="63"/>
        <v>665.5</v>
      </c>
      <c r="W94" s="201">
        <f t="shared" si="64"/>
        <v>665.5</v>
      </c>
      <c r="X94" s="201">
        <f t="shared" si="65"/>
        <v>0</v>
      </c>
    </row>
    <row r="95" spans="1:24" s="169" customFormat="1" ht="26.4">
      <c r="A95" s="192">
        <v>73</v>
      </c>
      <c r="B95" s="165" t="s">
        <v>874</v>
      </c>
      <c r="C95" s="183" t="str">
        <f t="shared" si="59"/>
        <v>1037488</v>
      </c>
      <c r="D95" s="182" t="s">
        <v>1581</v>
      </c>
      <c r="E95" s="206"/>
      <c r="F95" s="207">
        <v>412</v>
      </c>
      <c r="G95" s="207"/>
      <c r="H95" s="205"/>
      <c r="I95" s="167">
        <v>2261642000</v>
      </c>
      <c r="J95" s="167">
        <v>21642000</v>
      </c>
      <c r="K95" s="167">
        <v>2181000000</v>
      </c>
      <c r="L95" s="168">
        <v>59000000</v>
      </c>
      <c r="M95" s="168">
        <v>2261642000</v>
      </c>
      <c r="N95" s="168"/>
      <c r="O95" s="167">
        <v>2261642000</v>
      </c>
      <c r="P95" s="167">
        <v>2261642000</v>
      </c>
      <c r="Q95" s="168"/>
      <c r="S95" s="201">
        <f t="shared" si="60"/>
        <v>2261.6419999999998</v>
      </c>
      <c r="T95" s="201">
        <f t="shared" si="61"/>
        <v>2261.6419999999998</v>
      </c>
      <c r="U95" s="201">
        <f t="shared" si="62"/>
        <v>0</v>
      </c>
      <c r="V95" s="201">
        <f t="shared" si="63"/>
        <v>2261.6419999999998</v>
      </c>
      <c r="W95" s="201">
        <f t="shared" si="64"/>
        <v>2261.6419999999998</v>
      </c>
      <c r="X95" s="201">
        <f t="shared" si="65"/>
        <v>0</v>
      </c>
    </row>
    <row r="96" spans="1:24" s="169" customFormat="1" ht="39.6">
      <c r="A96" s="192">
        <v>74</v>
      </c>
      <c r="B96" s="165" t="s">
        <v>1250</v>
      </c>
      <c r="C96" s="183" t="str">
        <f t="shared" si="59"/>
        <v>1094591</v>
      </c>
      <c r="D96" s="182" t="s">
        <v>1649</v>
      </c>
      <c r="E96" s="206"/>
      <c r="F96" s="207">
        <v>538</v>
      </c>
      <c r="G96" s="207"/>
      <c r="H96" s="205"/>
      <c r="I96" s="167">
        <v>387700000</v>
      </c>
      <c r="J96" s="166"/>
      <c r="K96" s="167">
        <v>385000000</v>
      </c>
      <c r="L96" s="168">
        <v>2700000</v>
      </c>
      <c r="M96" s="168">
        <v>387700000</v>
      </c>
      <c r="N96" s="168"/>
      <c r="O96" s="167">
        <v>387700000</v>
      </c>
      <c r="P96" s="167">
        <v>387700000</v>
      </c>
      <c r="Q96" s="168"/>
      <c r="S96" s="201">
        <f t="shared" si="60"/>
        <v>387.7</v>
      </c>
      <c r="T96" s="201">
        <f t="shared" si="61"/>
        <v>387.7</v>
      </c>
      <c r="U96" s="201">
        <f t="shared" si="62"/>
        <v>0</v>
      </c>
      <c r="V96" s="201">
        <f t="shared" si="63"/>
        <v>387.7</v>
      </c>
      <c r="W96" s="201">
        <f t="shared" si="64"/>
        <v>387.7</v>
      </c>
      <c r="X96" s="201">
        <f t="shared" si="65"/>
        <v>0</v>
      </c>
    </row>
    <row r="97" spans="1:24" s="169" customFormat="1" ht="13.8">
      <c r="A97" s="192">
        <v>75</v>
      </c>
      <c r="B97" s="170" t="s">
        <v>1411</v>
      </c>
      <c r="C97" s="183" t="str">
        <f t="shared" si="59"/>
        <v>3007905</v>
      </c>
      <c r="D97" s="182" t="s">
        <v>1533</v>
      </c>
      <c r="E97" s="206"/>
      <c r="F97" s="207">
        <v>599</v>
      </c>
      <c r="G97" s="207"/>
      <c r="H97" s="205"/>
      <c r="I97" s="167">
        <v>20000000</v>
      </c>
      <c r="J97" s="166"/>
      <c r="K97" s="167">
        <v>20000000</v>
      </c>
      <c r="L97" s="171"/>
      <c r="M97" s="168">
        <v>20000000</v>
      </c>
      <c r="N97" s="171"/>
      <c r="O97" s="167">
        <v>20000000</v>
      </c>
      <c r="P97" s="167">
        <v>20000000</v>
      </c>
      <c r="Q97" s="171"/>
      <c r="S97" s="201">
        <f t="shared" si="60"/>
        <v>20</v>
      </c>
      <c r="T97" s="201">
        <f t="shared" si="61"/>
        <v>20</v>
      </c>
      <c r="U97" s="201">
        <f t="shared" si="62"/>
        <v>0</v>
      </c>
      <c r="V97" s="201">
        <f t="shared" si="63"/>
        <v>20</v>
      </c>
      <c r="W97" s="201">
        <f t="shared" si="64"/>
        <v>20</v>
      </c>
      <c r="X97" s="201">
        <f t="shared" si="65"/>
        <v>0</v>
      </c>
    </row>
    <row r="98" spans="1:24" s="169" customFormat="1" ht="26.4">
      <c r="A98" s="192">
        <v>76</v>
      </c>
      <c r="B98" s="170" t="s">
        <v>903</v>
      </c>
      <c r="C98" s="183" t="str">
        <f t="shared" si="59"/>
        <v>1037577</v>
      </c>
      <c r="D98" s="182" t="s">
        <v>1586</v>
      </c>
      <c r="E98" s="206"/>
      <c r="F98" s="207">
        <v>522</v>
      </c>
      <c r="G98" s="207"/>
      <c r="H98" s="205"/>
      <c r="I98" s="167">
        <v>1654000000</v>
      </c>
      <c r="J98" s="166"/>
      <c r="K98" s="167">
        <v>1614000000</v>
      </c>
      <c r="L98" s="168">
        <v>40000000</v>
      </c>
      <c r="M98" s="168">
        <v>1654000000</v>
      </c>
      <c r="N98" s="168"/>
      <c r="O98" s="167">
        <v>1654000000</v>
      </c>
      <c r="P98" s="167">
        <v>1654000000</v>
      </c>
      <c r="Q98" s="168"/>
      <c r="S98" s="201">
        <f t="shared" ref="S98:S104" si="66">I98/1000000</f>
        <v>1654</v>
      </c>
      <c r="T98" s="201">
        <f t="shared" ref="T98:T104" si="67">M98/1000000</f>
        <v>1654</v>
      </c>
      <c r="U98" s="201">
        <f t="shared" ref="U98:U104" si="68">N98/1000000</f>
        <v>0</v>
      </c>
      <c r="V98" s="201">
        <f t="shared" ref="V98:V104" si="69">O98/1000000</f>
        <v>1654</v>
      </c>
      <c r="W98" s="201">
        <f t="shared" ref="W98:W104" si="70">P98/1000000</f>
        <v>1654</v>
      </c>
      <c r="X98" s="201">
        <f t="shared" ref="X98:X104" si="71">Q98/1000000</f>
        <v>0</v>
      </c>
    </row>
    <row r="99" spans="1:24" s="169" customFormat="1" ht="26.4">
      <c r="A99" s="192">
        <v>77</v>
      </c>
      <c r="B99" s="176" t="s">
        <v>829</v>
      </c>
      <c r="C99" s="183" t="str">
        <f t="shared" si="59"/>
        <v>1037422</v>
      </c>
      <c r="D99" s="182" t="s">
        <v>1574</v>
      </c>
      <c r="E99" s="206"/>
      <c r="F99" s="207">
        <v>514</v>
      </c>
      <c r="G99" s="207"/>
      <c r="H99" s="205"/>
      <c r="I99" s="167">
        <v>3051810000</v>
      </c>
      <c r="J99" s="166"/>
      <c r="K99" s="167">
        <v>2742000000</v>
      </c>
      <c r="L99" s="168">
        <v>309810000</v>
      </c>
      <c r="M99" s="168">
        <v>3051810000</v>
      </c>
      <c r="N99" s="168"/>
      <c r="O99" s="167">
        <v>3035507000</v>
      </c>
      <c r="P99" s="167">
        <v>3035507000</v>
      </c>
      <c r="Q99" s="168"/>
      <c r="S99" s="201">
        <f t="shared" si="66"/>
        <v>3051.81</v>
      </c>
      <c r="T99" s="201">
        <f t="shared" si="67"/>
        <v>3051.81</v>
      </c>
      <c r="U99" s="201">
        <f t="shared" si="68"/>
        <v>0</v>
      </c>
      <c r="V99" s="201">
        <f t="shared" si="69"/>
        <v>3035.5070000000001</v>
      </c>
      <c r="W99" s="201">
        <f t="shared" si="70"/>
        <v>3035.5070000000001</v>
      </c>
      <c r="X99" s="201">
        <f t="shared" si="71"/>
        <v>0</v>
      </c>
    </row>
    <row r="100" spans="1:24" s="169" customFormat="1" ht="26.4">
      <c r="A100" s="192">
        <v>78</v>
      </c>
      <c r="B100" s="170" t="s">
        <v>1234</v>
      </c>
      <c r="C100" s="183" t="str">
        <f t="shared" si="59"/>
        <v>1093434</v>
      </c>
      <c r="D100" s="182" t="s">
        <v>1544</v>
      </c>
      <c r="E100" s="206"/>
      <c r="F100" s="207">
        <v>599</v>
      </c>
      <c r="G100" s="207"/>
      <c r="H100" s="205"/>
      <c r="I100" s="167">
        <v>25200000</v>
      </c>
      <c r="J100" s="166"/>
      <c r="K100" s="167">
        <v>20000000</v>
      </c>
      <c r="L100" s="168">
        <v>5200000</v>
      </c>
      <c r="M100" s="168">
        <v>25200000</v>
      </c>
      <c r="N100" s="168"/>
      <c r="O100" s="167">
        <v>25200000</v>
      </c>
      <c r="P100" s="167">
        <v>25200000</v>
      </c>
      <c r="Q100" s="168"/>
      <c r="S100" s="201">
        <f t="shared" si="66"/>
        <v>25.2</v>
      </c>
      <c r="T100" s="201">
        <f t="shared" si="67"/>
        <v>25.2</v>
      </c>
      <c r="U100" s="201">
        <f t="shared" si="68"/>
        <v>0</v>
      </c>
      <c r="V100" s="201">
        <f t="shared" si="69"/>
        <v>25.2</v>
      </c>
      <c r="W100" s="201">
        <f t="shared" si="70"/>
        <v>25.2</v>
      </c>
      <c r="X100" s="201">
        <f t="shared" si="71"/>
        <v>0</v>
      </c>
    </row>
    <row r="101" spans="1:24" s="169" customFormat="1" ht="26.4">
      <c r="A101" s="192">
        <v>79</v>
      </c>
      <c r="B101" s="165" t="s">
        <v>1254</v>
      </c>
      <c r="C101" s="183" t="str">
        <f t="shared" si="59"/>
        <v>1094963</v>
      </c>
      <c r="D101" s="182" t="s">
        <v>1524</v>
      </c>
      <c r="E101" s="206"/>
      <c r="F101" s="207">
        <v>537</v>
      </c>
      <c r="G101" s="207"/>
      <c r="H101" s="205"/>
      <c r="I101" s="167">
        <v>306100000</v>
      </c>
      <c r="J101" s="166"/>
      <c r="K101" s="167">
        <v>290000000</v>
      </c>
      <c r="L101" s="168">
        <v>16100000</v>
      </c>
      <c r="M101" s="168">
        <v>306100000</v>
      </c>
      <c r="N101" s="168"/>
      <c r="O101" s="167">
        <v>306100000</v>
      </c>
      <c r="P101" s="167">
        <v>306100000</v>
      </c>
      <c r="Q101" s="168"/>
      <c r="S101" s="201">
        <f t="shared" si="66"/>
        <v>306.10000000000002</v>
      </c>
      <c r="T101" s="201">
        <f t="shared" si="67"/>
        <v>306.10000000000002</v>
      </c>
      <c r="U101" s="201">
        <f t="shared" si="68"/>
        <v>0</v>
      </c>
      <c r="V101" s="201">
        <f t="shared" si="69"/>
        <v>306.10000000000002</v>
      </c>
      <c r="W101" s="201">
        <f t="shared" si="70"/>
        <v>306.10000000000002</v>
      </c>
      <c r="X101" s="201">
        <f t="shared" si="71"/>
        <v>0</v>
      </c>
    </row>
    <row r="102" spans="1:24" s="169" customFormat="1" ht="26.4">
      <c r="A102" s="192">
        <v>80</v>
      </c>
      <c r="B102" s="165" t="s">
        <v>1258</v>
      </c>
      <c r="C102" s="183" t="str">
        <f t="shared" si="59"/>
        <v>1095546</v>
      </c>
      <c r="D102" s="182" t="s">
        <v>1650</v>
      </c>
      <c r="E102" s="206"/>
      <c r="F102" s="207">
        <v>402</v>
      </c>
      <c r="G102" s="207"/>
      <c r="H102" s="205"/>
      <c r="I102" s="167">
        <v>4872000000</v>
      </c>
      <c r="J102" s="166"/>
      <c r="K102" s="167">
        <v>4872000000</v>
      </c>
      <c r="L102" s="171"/>
      <c r="M102" s="168">
        <v>4872000000</v>
      </c>
      <c r="N102" s="171"/>
      <c r="O102" s="167">
        <v>4485877400</v>
      </c>
      <c r="P102" s="167">
        <v>4485877400</v>
      </c>
      <c r="Q102" s="171"/>
      <c r="S102" s="201">
        <f t="shared" si="66"/>
        <v>4872</v>
      </c>
      <c r="T102" s="201">
        <f t="shared" si="67"/>
        <v>4872</v>
      </c>
      <c r="U102" s="201">
        <f t="shared" si="68"/>
        <v>0</v>
      </c>
      <c r="V102" s="201">
        <f t="shared" si="69"/>
        <v>4485.8774000000003</v>
      </c>
      <c r="W102" s="201">
        <f t="shared" si="70"/>
        <v>4485.8774000000003</v>
      </c>
      <c r="X102" s="201">
        <f t="shared" si="71"/>
        <v>0</v>
      </c>
    </row>
    <row r="103" spans="1:24" s="169" customFormat="1" ht="26.4">
      <c r="A103" s="192">
        <v>81</v>
      </c>
      <c r="B103" s="165" t="s">
        <v>1347</v>
      </c>
      <c r="C103" s="183" t="str">
        <f t="shared" si="59"/>
        <v>1117920</v>
      </c>
      <c r="D103" s="182" t="s">
        <v>1665</v>
      </c>
      <c r="E103" s="206"/>
      <c r="F103" s="207">
        <v>599</v>
      </c>
      <c r="G103" s="207"/>
      <c r="H103" s="205"/>
      <c r="I103" s="167">
        <v>20000000</v>
      </c>
      <c r="J103" s="166"/>
      <c r="K103" s="167">
        <v>20000000</v>
      </c>
      <c r="L103" s="171"/>
      <c r="M103" s="168">
        <v>20000000</v>
      </c>
      <c r="N103" s="171"/>
      <c r="O103" s="167">
        <v>20000000</v>
      </c>
      <c r="P103" s="167">
        <v>20000000</v>
      </c>
      <c r="Q103" s="171"/>
      <c r="S103" s="201">
        <f t="shared" si="66"/>
        <v>20</v>
      </c>
      <c r="T103" s="201">
        <f t="shared" si="67"/>
        <v>20</v>
      </c>
      <c r="U103" s="201">
        <f t="shared" si="68"/>
        <v>0</v>
      </c>
      <c r="V103" s="201">
        <f t="shared" si="69"/>
        <v>20</v>
      </c>
      <c r="W103" s="201">
        <f t="shared" si="70"/>
        <v>20</v>
      </c>
      <c r="X103" s="201">
        <f t="shared" si="71"/>
        <v>0</v>
      </c>
    </row>
    <row r="104" spans="1:24" s="169" customFormat="1" ht="39.6">
      <c r="A104" s="192">
        <v>82</v>
      </c>
      <c r="B104" s="176" t="s">
        <v>1314</v>
      </c>
      <c r="C104" s="183" t="str">
        <f t="shared" si="59"/>
        <v>1107173</v>
      </c>
      <c r="D104" s="182" t="s">
        <v>1502</v>
      </c>
      <c r="E104" s="206"/>
      <c r="F104" s="207">
        <v>517</v>
      </c>
      <c r="G104" s="207"/>
      <c r="H104" s="205"/>
      <c r="I104" s="167">
        <v>202000000</v>
      </c>
      <c r="J104" s="166"/>
      <c r="K104" s="167">
        <v>202000000</v>
      </c>
      <c r="L104" s="171"/>
      <c r="M104" s="168">
        <v>202000000</v>
      </c>
      <c r="N104" s="171"/>
      <c r="O104" s="167">
        <v>201996206</v>
      </c>
      <c r="P104" s="167">
        <v>201996206</v>
      </c>
      <c r="Q104" s="171"/>
      <c r="S104" s="201">
        <f t="shared" si="66"/>
        <v>202</v>
      </c>
      <c r="T104" s="201">
        <f t="shared" si="67"/>
        <v>202</v>
      </c>
      <c r="U104" s="201">
        <f t="shared" si="68"/>
        <v>0</v>
      </c>
      <c r="V104" s="201">
        <f t="shared" si="69"/>
        <v>201.996206</v>
      </c>
      <c r="W104" s="201">
        <f t="shared" si="70"/>
        <v>201.996206</v>
      </c>
      <c r="X104" s="201">
        <f t="shared" si="71"/>
        <v>0</v>
      </c>
    </row>
    <row r="105" spans="1:24" s="169" customFormat="1" ht="26.4">
      <c r="A105" s="192">
        <v>83</v>
      </c>
      <c r="B105" s="170" t="s">
        <v>1243</v>
      </c>
      <c r="C105" s="183" t="str">
        <f t="shared" si="59"/>
        <v>1093848</v>
      </c>
      <c r="D105" s="182" t="s">
        <v>1647</v>
      </c>
      <c r="E105" s="206"/>
      <c r="F105" s="207">
        <v>539</v>
      </c>
      <c r="G105" s="207"/>
      <c r="H105" s="205"/>
      <c r="I105" s="167">
        <v>270700000</v>
      </c>
      <c r="J105" s="166"/>
      <c r="K105" s="167">
        <v>257000000</v>
      </c>
      <c r="L105" s="168">
        <v>13700000</v>
      </c>
      <c r="M105" s="168">
        <v>270700000</v>
      </c>
      <c r="N105" s="168"/>
      <c r="O105" s="167">
        <v>270700000</v>
      </c>
      <c r="P105" s="167">
        <v>270700000</v>
      </c>
      <c r="Q105" s="168"/>
      <c r="S105" s="201">
        <f t="shared" ref="S105:S109" si="72">I105/1000000</f>
        <v>270.7</v>
      </c>
      <c r="T105" s="201">
        <f t="shared" ref="T105:T109" si="73">M105/1000000</f>
        <v>270.7</v>
      </c>
      <c r="U105" s="201">
        <f t="shared" ref="U105:U109" si="74">N105/1000000</f>
        <v>0</v>
      </c>
      <c r="V105" s="201">
        <f t="shared" ref="V105:V109" si="75">O105/1000000</f>
        <v>270.7</v>
      </c>
      <c r="W105" s="201">
        <f t="shared" ref="W105:W109" si="76">P105/1000000</f>
        <v>270.7</v>
      </c>
      <c r="X105" s="201">
        <f t="shared" ref="X105:X109" si="77">Q105/1000000</f>
        <v>0</v>
      </c>
    </row>
    <row r="106" spans="1:24" s="169" customFormat="1" ht="26.4">
      <c r="A106" s="192">
        <v>84</v>
      </c>
      <c r="B106" s="176" t="s">
        <v>1052</v>
      </c>
      <c r="C106" s="183" t="str">
        <f t="shared" si="59"/>
        <v>1048181</v>
      </c>
      <c r="D106" s="182" t="s">
        <v>1517</v>
      </c>
      <c r="E106" s="206"/>
      <c r="F106" s="207">
        <v>512</v>
      </c>
      <c r="G106" s="207"/>
      <c r="H106" s="205"/>
      <c r="I106" s="167">
        <v>5088199000</v>
      </c>
      <c r="J106" s="166"/>
      <c r="K106" s="167">
        <v>4278000000</v>
      </c>
      <c r="L106" s="168">
        <v>810199000</v>
      </c>
      <c r="M106" s="168">
        <v>5088199000</v>
      </c>
      <c r="N106" s="168"/>
      <c r="O106" s="167">
        <v>5088199000</v>
      </c>
      <c r="P106" s="167">
        <v>5088199000</v>
      </c>
      <c r="Q106" s="168"/>
      <c r="S106" s="201">
        <f t="shared" si="72"/>
        <v>5088.1989999999996</v>
      </c>
      <c r="T106" s="201">
        <f t="shared" si="73"/>
        <v>5088.1989999999996</v>
      </c>
      <c r="U106" s="201">
        <f t="shared" si="74"/>
        <v>0</v>
      </c>
      <c r="V106" s="201">
        <f t="shared" si="75"/>
        <v>5088.1989999999996</v>
      </c>
      <c r="W106" s="201">
        <f t="shared" si="76"/>
        <v>5088.1989999999996</v>
      </c>
      <c r="X106" s="201">
        <f t="shared" si="77"/>
        <v>0</v>
      </c>
    </row>
    <row r="107" spans="1:24" s="169" customFormat="1" ht="26.4">
      <c r="A107" s="192">
        <v>85</v>
      </c>
      <c r="B107" s="165" t="s">
        <v>1337</v>
      </c>
      <c r="C107" s="183" t="str">
        <f t="shared" si="59"/>
        <v>1115051</v>
      </c>
      <c r="D107" s="182" t="s">
        <v>1549</v>
      </c>
      <c r="E107" s="206"/>
      <c r="F107" s="207">
        <v>599</v>
      </c>
      <c r="G107" s="207"/>
      <c r="H107" s="205"/>
      <c r="I107" s="167">
        <v>96000000</v>
      </c>
      <c r="J107" s="166"/>
      <c r="K107" s="167">
        <v>96000000</v>
      </c>
      <c r="L107" s="171"/>
      <c r="M107" s="168">
        <v>96000000</v>
      </c>
      <c r="N107" s="171"/>
      <c r="O107" s="167">
        <v>96000000</v>
      </c>
      <c r="P107" s="167">
        <v>96000000</v>
      </c>
      <c r="Q107" s="171"/>
      <c r="S107" s="201">
        <f t="shared" si="72"/>
        <v>96</v>
      </c>
      <c r="T107" s="201">
        <f t="shared" si="73"/>
        <v>96</v>
      </c>
      <c r="U107" s="201">
        <f t="shared" si="74"/>
        <v>0</v>
      </c>
      <c r="V107" s="201">
        <f t="shared" si="75"/>
        <v>96</v>
      </c>
      <c r="W107" s="201">
        <f t="shared" si="76"/>
        <v>96</v>
      </c>
      <c r="X107" s="201">
        <f t="shared" si="77"/>
        <v>0</v>
      </c>
    </row>
    <row r="108" spans="1:24" s="169" customFormat="1" ht="13.8">
      <c r="A108" s="192">
        <v>86</v>
      </c>
      <c r="B108" s="170" t="s">
        <v>1237</v>
      </c>
      <c r="C108" s="183" t="str">
        <f t="shared" si="59"/>
        <v>1093512</v>
      </c>
      <c r="D108" s="182" t="s">
        <v>1545</v>
      </c>
      <c r="E108" s="206"/>
      <c r="F108" s="207">
        <v>521</v>
      </c>
      <c r="G108" s="207"/>
      <c r="H108" s="205"/>
      <c r="I108" s="167">
        <v>255700000</v>
      </c>
      <c r="J108" s="166"/>
      <c r="K108" s="167">
        <v>233000000</v>
      </c>
      <c r="L108" s="168">
        <v>22700000</v>
      </c>
      <c r="M108" s="168">
        <v>255700000</v>
      </c>
      <c r="N108" s="168"/>
      <c r="O108" s="167">
        <v>255700000</v>
      </c>
      <c r="P108" s="167">
        <v>255700000</v>
      </c>
      <c r="Q108" s="168"/>
      <c r="S108" s="201">
        <f t="shared" si="72"/>
        <v>255.7</v>
      </c>
      <c r="T108" s="201">
        <f t="shared" si="73"/>
        <v>255.7</v>
      </c>
      <c r="U108" s="201">
        <f t="shared" si="74"/>
        <v>0</v>
      </c>
      <c r="V108" s="201">
        <f t="shared" si="75"/>
        <v>255.7</v>
      </c>
      <c r="W108" s="201">
        <f t="shared" si="76"/>
        <v>255.7</v>
      </c>
      <c r="X108" s="201">
        <f t="shared" si="77"/>
        <v>0</v>
      </c>
    </row>
    <row r="109" spans="1:24" s="169" customFormat="1" ht="26.4">
      <c r="A109" s="192">
        <v>87</v>
      </c>
      <c r="B109" s="165" t="s">
        <v>1176</v>
      </c>
      <c r="C109" s="183" t="str">
        <f t="shared" si="59"/>
        <v>1078282</v>
      </c>
      <c r="D109" s="182" t="s">
        <v>1542</v>
      </c>
      <c r="E109" s="206"/>
      <c r="F109" s="207">
        <v>536</v>
      </c>
      <c r="G109" s="207"/>
      <c r="H109" s="205"/>
      <c r="I109" s="167">
        <v>378700000</v>
      </c>
      <c r="J109" s="166"/>
      <c r="K109" s="167">
        <v>376000000</v>
      </c>
      <c r="L109" s="168">
        <v>2700000</v>
      </c>
      <c r="M109" s="168">
        <v>378700000</v>
      </c>
      <c r="N109" s="168"/>
      <c r="O109" s="167">
        <v>378700000</v>
      </c>
      <c r="P109" s="167">
        <v>378700000</v>
      </c>
      <c r="Q109" s="168"/>
      <c r="S109" s="201">
        <f t="shared" si="72"/>
        <v>378.7</v>
      </c>
      <c r="T109" s="201">
        <f t="shared" si="73"/>
        <v>378.7</v>
      </c>
      <c r="U109" s="201">
        <f t="shared" si="74"/>
        <v>0</v>
      </c>
      <c r="V109" s="201">
        <f t="shared" si="75"/>
        <v>378.7</v>
      </c>
      <c r="W109" s="201">
        <f t="shared" si="76"/>
        <v>378.7</v>
      </c>
      <c r="X109" s="201">
        <f t="shared" si="77"/>
        <v>0</v>
      </c>
    </row>
    <row r="110" spans="1:24" s="169" customFormat="1" ht="13.8">
      <c r="A110" s="192">
        <v>88</v>
      </c>
      <c r="B110" s="170" t="s">
        <v>1268</v>
      </c>
      <c r="C110" s="183" t="str">
        <f t="shared" si="59"/>
        <v>1098089</v>
      </c>
      <c r="D110" s="182" t="s">
        <v>486</v>
      </c>
      <c r="E110" s="206"/>
      <c r="F110" s="207">
        <v>520</v>
      </c>
      <c r="G110" s="207"/>
      <c r="H110" s="205"/>
      <c r="I110" s="167">
        <v>949731750</v>
      </c>
      <c r="J110" s="167">
        <v>24231750</v>
      </c>
      <c r="K110" s="167">
        <v>820000000</v>
      </c>
      <c r="L110" s="168">
        <v>105500000</v>
      </c>
      <c r="M110" s="168">
        <v>949731750</v>
      </c>
      <c r="N110" s="168"/>
      <c r="O110" s="167">
        <v>912785750</v>
      </c>
      <c r="P110" s="167">
        <v>912785750</v>
      </c>
      <c r="Q110" s="168"/>
      <c r="S110" s="201">
        <f t="shared" ref="S110:S117" si="78">I110/1000000</f>
        <v>949.73175000000003</v>
      </c>
      <c r="T110" s="201">
        <f t="shared" ref="T110:T117" si="79">M110/1000000</f>
        <v>949.73175000000003</v>
      </c>
      <c r="U110" s="201">
        <f t="shared" ref="U110:U117" si="80">N110/1000000</f>
        <v>0</v>
      </c>
      <c r="V110" s="201">
        <f t="shared" ref="V110:V117" si="81">O110/1000000</f>
        <v>912.78575000000001</v>
      </c>
      <c r="W110" s="201">
        <f t="shared" ref="W110:W117" si="82">P110/1000000</f>
        <v>912.78575000000001</v>
      </c>
      <c r="X110" s="201">
        <f t="shared" ref="X110:X117" si="83">Q110/1000000</f>
        <v>0</v>
      </c>
    </row>
    <row r="111" spans="1:24" s="169" customFormat="1" ht="13.8">
      <c r="A111" s="192">
        <v>89</v>
      </c>
      <c r="B111" s="170" t="s">
        <v>857</v>
      </c>
      <c r="C111" s="183" t="str">
        <f t="shared" si="59"/>
        <v>1037481</v>
      </c>
      <c r="D111" s="182" t="s">
        <v>1510</v>
      </c>
      <c r="E111" s="206"/>
      <c r="F111" s="207">
        <v>513</v>
      </c>
      <c r="G111" s="207"/>
      <c r="H111" s="205"/>
      <c r="I111" s="167">
        <v>3929700000</v>
      </c>
      <c r="J111" s="166"/>
      <c r="K111" s="167">
        <v>3723000000</v>
      </c>
      <c r="L111" s="168">
        <v>206700000</v>
      </c>
      <c r="M111" s="168">
        <v>3829700000</v>
      </c>
      <c r="N111" s="168">
        <v>100000000</v>
      </c>
      <c r="O111" s="167">
        <v>3915122400</v>
      </c>
      <c r="P111" s="167">
        <v>3815776100</v>
      </c>
      <c r="Q111" s="168">
        <v>99346300</v>
      </c>
      <c r="S111" s="201">
        <f t="shared" si="78"/>
        <v>3929.7</v>
      </c>
      <c r="T111" s="201">
        <f t="shared" si="79"/>
        <v>3829.7</v>
      </c>
      <c r="U111" s="201">
        <f t="shared" si="80"/>
        <v>100</v>
      </c>
      <c r="V111" s="201">
        <f t="shared" si="81"/>
        <v>3915.1224000000002</v>
      </c>
      <c r="W111" s="201">
        <f t="shared" si="82"/>
        <v>3815.7761</v>
      </c>
      <c r="X111" s="201">
        <f t="shared" si="83"/>
        <v>99.346299999999999</v>
      </c>
    </row>
    <row r="112" spans="1:24" s="169" customFormat="1" ht="39.6">
      <c r="A112" s="192">
        <v>90</v>
      </c>
      <c r="B112" s="165" t="s">
        <v>1428</v>
      </c>
      <c r="C112" s="183" t="str">
        <f t="shared" si="59"/>
        <v>3024159</v>
      </c>
      <c r="D112" s="182" t="s">
        <v>1675</v>
      </c>
      <c r="E112" s="206"/>
      <c r="F112" s="207">
        <v>599</v>
      </c>
      <c r="G112" s="207"/>
      <c r="H112" s="205"/>
      <c r="I112" s="167">
        <v>20000000</v>
      </c>
      <c r="J112" s="166"/>
      <c r="K112" s="166"/>
      <c r="L112" s="168">
        <v>20000000</v>
      </c>
      <c r="M112" s="168">
        <v>20000000</v>
      </c>
      <c r="N112" s="168"/>
      <c r="O112" s="167">
        <v>20000000</v>
      </c>
      <c r="P112" s="167">
        <v>20000000</v>
      </c>
      <c r="Q112" s="168"/>
      <c r="S112" s="201">
        <f t="shared" si="78"/>
        <v>20</v>
      </c>
      <c r="T112" s="201">
        <f t="shared" si="79"/>
        <v>20</v>
      </c>
      <c r="U112" s="201">
        <f t="shared" si="80"/>
        <v>0</v>
      </c>
      <c r="V112" s="201">
        <f t="shared" si="81"/>
        <v>20</v>
      </c>
      <c r="W112" s="201">
        <f t="shared" si="82"/>
        <v>20</v>
      </c>
      <c r="X112" s="201">
        <f t="shared" si="83"/>
        <v>0</v>
      </c>
    </row>
    <row r="113" spans="1:24" s="169" customFormat="1" ht="13.8">
      <c r="A113" s="192">
        <v>91</v>
      </c>
      <c r="B113" s="164" t="s">
        <v>924</v>
      </c>
      <c r="C113" s="183" t="str">
        <f t="shared" si="59"/>
        <v>1037585</v>
      </c>
      <c r="D113" s="182" t="s">
        <v>1487</v>
      </c>
      <c r="E113" s="206"/>
      <c r="F113" s="207">
        <v>518</v>
      </c>
      <c r="G113" s="207"/>
      <c r="H113" s="205"/>
      <c r="I113" s="167">
        <v>1426869000</v>
      </c>
      <c r="J113" s="167">
        <v>100169000</v>
      </c>
      <c r="K113" s="167">
        <v>656000000</v>
      </c>
      <c r="L113" s="168">
        <v>670700000</v>
      </c>
      <c r="M113" s="168">
        <v>1426869000</v>
      </c>
      <c r="N113" s="168"/>
      <c r="O113" s="167">
        <v>1107797303</v>
      </c>
      <c r="P113" s="167">
        <v>1107797303</v>
      </c>
      <c r="Q113" s="168"/>
      <c r="S113" s="201">
        <f t="shared" si="78"/>
        <v>1426.8689999999999</v>
      </c>
      <c r="T113" s="201">
        <f t="shared" si="79"/>
        <v>1426.8689999999999</v>
      </c>
      <c r="U113" s="201">
        <f t="shared" si="80"/>
        <v>0</v>
      </c>
      <c r="V113" s="201">
        <f t="shared" si="81"/>
        <v>1107.7973030000001</v>
      </c>
      <c r="W113" s="201">
        <f t="shared" si="82"/>
        <v>1107.7973030000001</v>
      </c>
      <c r="X113" s="201">
        <f t="shared" si="83"/>
        <v>0</v>
      </c>
    </row>
    <row r="114" spans="1:24" s="169" customFormat="1" ht="26.4">
      <c r="A114" s="192">
        <v>92</v>
      </c>
      <c r="B114" s="165" t="s">
        <v>782</v>
      </c>
      <c r="C114" s="183" t="str">
        <f t="shared" si="59"/>
        <v>1030064</v>
      </c>
      <c r="D114" s="182" t="s">
        <v>1540</v>
      </c>
      <c r="E114" s="206"/>
      <c r="F114" s="207">
        <v>516</v>
      </c>
      <c r="G114" s="207"/>
      <c r="H114" s="205"/>
      <c r="I114" s="167">
        <v>1769100000</v>
      </c>
      <c r="J114" s="166"/>
      <c r="K114" s="167">
        <v>1664000000</v>
      </c>
      <c r="L114" s="168">
        <v>105100000</v>
      </c>
      <c r="M114" s="168">
        <v>1769100000</v>
      </c>
      <c r="N114" s="168"/>
      <c r="O114" s="167">
        <v>1769100000</v>
      </c>
      <c r="P114" s="167">
        <v>1769100000</v>
      </c>
      <c r="Q114" s="168"/>
      <c r="S114" s="201">
        <f t="shared" si="78"/>
        <v>1769.1</v>
      </c>
      <c r="T114" s="201">
        <f t="shared" si="79"/>
        <v>1769.1</v>
      </c>
      <c r="U114" s="201">
        <f t="shared" si="80"/>
        <v>0</v>
      </c>
      <c r="V114" s="201">
        <f t="shared" si="81"/>
        <v>1769.1</v>
      </c>
      <c r="W114" s="201">
        <f t="shared" si="82"/>
        <v>1769.1</v>
      </c>
      <c r="X114" s="201">
        <f t="shared" si="83"/>
        <v>0</v>
      </c>
    </row>
    <row r="115" spans="1:24" s="169" customFormat="1" ht="26.4">
      <c r="A115" s="192">
        <v>93</v>
      </c>
      <c r="B115" s="176" t="s">
        <v>1059</v>
      </c>
      <c r="C115" s="183" t="str">
        <f t="shared" si="59"/>
        <v>1048277</v>
      </c>
      <c r="D115" s="182" t="s">
        <v>1615</v>
      </c>
      <c r="E115" s="206"/>
      <c r="F115" s="207">
        <v>448</v>
      </c>
      <c r="G115" s="207"/>
      <c r="H115" s="205"/>
      <c r="I115" s="167">
        <v>2237800000</v>
      </c>
      <c r="J115" s="167">
        <v>238000000</v>
      </c>
      <c r="K115" s="167">
        <v>1823000000</v>
      </c>
      <c r="L115" s="168">
        <v>176800000</v>
      </c>
      <c r="M115" s="168">
        <v>2237800000</v>
      </c>
      <c r="N115" s="168"/>
      <c r="O115" s="167">
        <v>1952382379</v>
      </c>
      <c r="P115" s="167">
        <v>1952382379</v>
      </c>
      <c r="Q115" s="168"/>
      <c r="S115" s="201">
        <f t="shared" si="78"/>
        <v>2237.8000000000002</v>
      </c>
      <c r="T115" s="201">
        <f t="shared" si="79"/>
        <v>2237.8000000000002</v>
      </c>
      <c r="U115" s="201">
        <f t="shared" si="80"/>
        <v>0</v>
      </c>
      <c r="V115" s="201">
        <f t="shared" si="81"/>
        <v>1952.3823789999999</v>
      </c>
      <c r="W115" s="201">
        <f t="shared" si="82"/>
        <v>1952.3823789999999</v>
      </c>
      <c r="X115" s="201">
        <f t="shared" si="83"/>
        <v>0</v>
      </c>
    </row>
    <row r="116" spans="1:24" s="169" customFormat="1" ht="26.4">
      <c r="A116" s="192">
        <v>94</v>
      </c>
      <c r="B116" s="170" t="s">
        <v>1180</v>
      </c>
      <c r="C116" s="183" t="str">
        <f t="shared" si="59"/>
        <v>1078283</v>
      </c>
      <c r="D116" s="182" t="s">
        <v>1543</v>
      </c>
      <c r="E116" s="206"/>
      <c r="F116" s="207">
        <v>405</v>
      </c>
      <c r="G116" s="207"/>
      <c r="H116" s="205"/>
      <c r="I116" s="167">
        <v>390000000</v>
      </c>
      <c r="J116" s="166"/>
      <c r="K116" s="167">
        <v>390000000</v>
      </c>
      <c r="L116" s="171"/>
      <c r="M116" s="168">
        <v>390000000</v>
      </c>
      <c r="N116" s="171"/>
      <c r="O116" s="167">
        <v>390000000</v>
      </c>
      <c r="P116" s="167">
        <v>390000000</v>
      </c>
      <c r="Q116" s="171"/>
      <c r="S116" s="201">
        <f t="shared" si="78"/>
        <v>390</v>
      </c>
      <c r="T116" s="201">
        <f t="shared" si="79"/>
        <v>390</v>
      </c>
      <c r="U116" s="201">
        <f t="shared" si="80"/>
        <v>0</v>
      </c>
      <c r="V116" s="201">
        <f t="shared" si="81"/>
        <v>390</v>
      </c>
      <c r="W116" s="201">
        <f t="shared" si="82"/>
        <v>390</v>
      </c>
      <c r="X116" s="201">
        <f t="shared" si="83"/>
        <v>0</v>
      </c>
    </row>
    <row r="117" spans="1:24" s="169" customFormat="1" ht="39.6">
      <c r="A117" s="192">
        <v>95</v>
      </c>
      <c r="B117" s="176" t="s">
        <v>1405</v>
      </c>
      <c r="C117" s="183" t="str">
        <f t="shared" si="59"/>
        <v>1125793</v>
      </c>
      <c r="D117" s="182" t="s">
        <v>1670</v>
      </c>
      <c r="E117" s="206"/>
      <c r="F117" s="207">
        <v>422</v>
      </c>
      <c r="G117" s="207"/>
      <c r="H117" s="205"/>
      <c r="I117" s="167">
        <v>1529240000</v>
      </c>
      <c r="J117" s="166"/>
      <c r="K117" s="167">
        <v>548240000</v>
      </c>
      <c r="L117" s="168">
        <v>981000000</v>
      </c>
      <c r="M117" s="168">
        <v>1529240000</v>
      </c>
      <c r="N117" s="168"/>
      <c r="O117" s="167">
        <v>1529240000</v>
      </c>
      <c r="P117" s="167">
        <v>1529240000</v>
      </c>
      <c r="Q117" s="168"/>
      <c r="S117" s="201">
        <f t="shared" si="78"/>
        <v>1529.24</v>
      </c>
      <c r="T117" s="201">
        <f t="shared" si="79"/>
        <v>1529.24</v>
      </c>
      <c r="U117" s="201">
        <f t="shared" si="80"/>
        <v>0</v>
      </c>
      <c r="V117" s="201">
        <f t="shared" si="81"/>
        <v>1529.24</v>
      </c>
      <c r="W117" s="201">
        <f t="shared" si="82"/>
        <v>1529.24</v>
      </c>
      <c r="X117" s="201">
        <f t="shared" si="83"/>
        <v>0</v>
      </c>
    </row>
    <row r="118" spans="1:24" s="169" customFormat="1" ht="39.6">
      <c r="A118" s="192">
        <v>96</v>
      </c>
      <c r="B118" s="165" t="s">
        <v>1353</v>
      </c>
      <c r="C118" s="183" t="str">
        <f t="shared" si="59"/>
        <v>1118342</v>
      </c>
      <c r="D118" s="182" t="s">
        <v>1666</v>
      </c>
      <c r="E118" s="206"/>
      <c r="F118" s="207">
        <v>422</v>
      </c>
      <c r="G118" s="207"/>
      <c r="H118" s="205"/>
      <c r="I118" s="167">
        <v>3898006157</v>
      </c>
      <c r="J118" s="167">
        <v>58411157</v>
      </c>
      <c r="K118" s="167">
        <v>3759257000</v>
      </c>
      <c r="L118" s="168">
        <v>80338000</v>
      </c>
      <c r="M118" s="168">
        <v>3898006157</v>
      </c>
      <c r="N118" s="168"/>
      <c r="O118" s="167">
        <v>3879514637</v>
      </c>
      <c r="P118" s="167">
        <v>3879514637</v>
      </c>
      <c r="Q118" s="168"/>
      <c r="S118" s="201">
        <f t="shared" ref="S118:S124" si="84">I118/1000000</f>
        <v>3898.0061569999998</v>
      </c>
      <c r="T118" s="201">
        <f t="shared" ref="T118:T124" si="85">M118/1000000</f>
        <v>3898.0061569999998</v>
      </c>
      <c r="U118" s="201">
        <f t="shared" ref="U118:U124" si="86">N118/1000000</f>
        <v>0</v>
      </c>
      <c r="V118" s="201">
        <f t="shared" ref="V118:V124" si="87">O118/1000000</f>
        <v>3879.5146370000002</v>
      </c>
      <c r="W118" s="201">
        <f t="shared" ref="W118:W124" si="88">P118/1000000</f>
        <v>3879.5146370000002</v>
      </c>
      <c r="X118" s="201">
        <f t="shared" ref="X118:X124" si="89">Q118/1000000</f>
        <v>0</v>
      </c>
    </row>
    <row r="119" spans="1:24" s="169" customFormat="1" ht="26.4">
      <c r="A119" s="192">
        <v>97</v>
      </c>
      <c r="B119" s="165" t="s">
        <v>1422</v>
      </c>
      <c r="C119" s="183" t="str">
        <f t="shared" si="59"/>
        <v>3019708</v>
      </c>
      <c r="D119" s="182" t="s">
        <v>1674</v>
      </c>
      <c r="E119" s="206"/>
      <c r="F119" s="207">
        <v>414</v>
      </c>
      <c r="G119" s="207"/>
      <c r="H119" s="205"/>
      <c r="I119" s="167">
        <v>330500000</v>
      </c>
      <c r="J119" s="166"/>
      <c r="K119" s="167">
        <v>330500000</v>
      </c>
      <c r="L119" s="171"/>
      <c r="M119" s="168">
        <v>330500000</v>
      </c>
      <c r="N119" s="171"/>
      <c r="O119" s="167">
        <v>330500000</v>
      </c>
      <c r="P119" s="167">
        <v>330500000</v>
      </c>
      <c r="Q119" s="171"/>
      <c r="S119" s="201">
        <f t="shared" si="84"/>
        <v>330.5</v>
      </c>
      <c r="T119" s="201">
        <f t="shared" si="85"/>
        <v>330.5</v>
      </c>
      <c r="U119" s="201">
        <f t="shared" si="86"/>
        <v>0</v>
      </c>
      <c r="V119" s="201">
        <f t="shared" si="87"/>
        <v>330.5</v>
      </c>
      <c r="W119" s="201">
        <f t="shared" si="88"/>
        <v>330.5</v>
      </c>
      <c r="X119" s="201">
        <f t="shared" si="89"/>
        <v>0</v>
      </c>
    </row>
    <row r="120" spans="1:24" s="169" customFormat="1" ht="26.4">
      <c r="A120" s="192">
        <v>98</v>
      </c>
      <c r="B120" s="176" t="s">
        <v>1056</v>
      </c>
      <c r="C120" s="183" t="str">
        <f t="shared" si="59"/>
        <v>1048182</v>
      </c>
      <c r="D120" s="182" t="s">
        <v>1614</v>
      </c>
      <c r="E120" s="206"/>
      <c r="F120" s="207">
        <v>416</v>
      </c>
      <c r="G120" s="207"/>
      <c r="H120" s="205"/>
      <c r="I120" s="167">
        <v>5384000000</v>
      </c>
      <c r="J120" s="167">
        <v>104000000</v>
      </c>
      <c r="K120" s="167">
        <v>4643400000</v>
      </c>
      <c r="L120" s="168">
        <v>636600000</v>
      </c>
      <c r="M120" s="168">
        <v>5384000000</v>
      </c>
      <c r="N120" s="168"/>
      <c r="O120" s="167">
        <v>5383965000</v>
      </c>
      <c r="P120" s="167">
        <v>5383965000</v>
      </c>
      <c r="Q120" s="168"/>
      <c r="S120" s="201">
        <f t="shared" si="84"/>
        <v>5384</v>
      </c>
      <c r="T120" s="201">
        <f t="shared" si="85"/>
        <v>5384</v>
      </c>
      <c r="U120" s="201">
        <f t="shared" si="86"/>
        <v>0</v>
      </c>
      <c r="V120" s="201">
        <f t="shared" si="87"/>
        <v>5383.9650000000001</v>
      </c>
      <c r="W120" s="201">
        <f t="shared" si="88"/>
        <v>5383.9650000000001</v>
      </c>
      <c r="X120" s="201">
        <f t="shared" si="89"/>
        <v>0</v>
      </c>
    </row>
    <row r="121" spans="1:24" s="169" customFormat="1" ht="26.4">
      <c r="A121" s="192">
        <v>99</v>
      </c>
      <c r="B121" s="165" t="s">
        <v>892</v>
      </c>
      <c r="C121" s="183" t="str">
        <f t="shared" si="59"/>
        <v>1037519</v>
      </c>
      <c r="D121" s="182" t="s">
        <v>1623</v>
      </c>
      <c r="E121" s="206"/>
      <c r="F121" s="207">
        <v>422</v>
      </c>
      <c r="G121" s="207"/>
      <c r="H121" s="205"/>
      <c r="I121" s="167">
        <v>16586658500</v>
      </c>
      <c r="J121" s="167">
        <v>846058500</v>
      </c>
      <c r="K121" s="167">
        <v>14200000000</v>
      </c>
      <c r="L121" s="168">
        <v>1540600000</v>
      </c>
      <c r="M121" s="168">
        <v>16586658500</v>
      </c>
      <c r="N121" s="168"/>
      <c r="O121" s="167">
        <v>16560882000</v>
      </c>
      <c r="P121" s="167">
        <v>16560882000</v>
      </c>
      <c r="Q121" s="168"/>
      <c r="S121" s="201">
        <f t="shared" si="84"/>
        <v>16586.658500000001</v>
      </c>
      <c r="T121" s="201">
        <f t="shared" si="85"/>
        <v>16586.658500000001</v>
      </c>
      <c r="U121" s="201">
        <f t="shared" si="86"/>
        <v>0</v>
      </c>
      <c r="V121" s="201">
        <f t="shared" si="87"/>
        <v>16560.882000000001</v>
      </c>
      <c r="W121" s="201">
        <f t="shared" si="88"/>
        <v>16560.882000000001</v>
      </c>
      <c r="X121" s="201">
        <f t="shared" si="89"/>
        <v>0</v>
      </c>
    </row>
    <row r="122" spans="1:24" s="169" customFormat="1" ht="26.4">
      <c r="A122" s="192">
        <v>100</v>
      </c>
      <c r="B122" s="176" t="s">
        <v>1041</v>
      </c>
      <c r="C122" s="183" t="str">
        <f t="shared" si="59"/>
        <v>1048063</v>
      </c>
      <c r="D122" s="182" t="s">
        <v>1612</v>
      </c>
      <c r="E122" s="206"/>
      <c r="F122" s="207">
        <v>421</v>
      </c>
      <c r="G122" s="207"/>
      <c r="H122" s="205"/>
      <c r="I122" s="167">
        <v>45299166900</v>
      </c>
      <c r="J122" s="167">
        <v>3816566900</v>
      </c>
      <c r="K122" s="167">
        <v>17495200000</v>
      </c>
      <c r="L122" s="168">
        <v>23987400000</v>
      </c>
      <c r="M122" s="168">
        <v>45299166900</v>
      </c>
      <c r="N122" s="168"/>
      <c r="O122" s="167">
        <v>39071701564</v>
      </c>
      <c r="P122" s="167">
        <v>39071701564</v>
      </c>
      <c r="Q122" s="168"/>
      <c r="S122" s="201">
        <f t="shared" si="84"/>
        <v>45299.166899999997</v>
      </c>
      <c r="T122" s="201">
        <f t="shared" si="85"/>
        <v>45299.166899999997</v>
      </c>
      <c r="U122" s="201">
        <f t="shared" si="86"/>
        <v>0</v>
      </c>
      <c r="V122" s="201">
        <f t="shared" si="87"/>
        <v>39071.701564000003</v>
      </c>
      <c r="W122" s="201">
        <f t="shared" si="88"/>
        <v>39071.701564000003</v>
      </c>
      <c r="X122" s="201">
        <f t="shared" si="89"/>
        <v>0</v>
      </c>
    </row>
    <row r="123" spans="1:24" s="169" customFormat="1" ht="26.4">
      <c r="A123" s="192">
        <v>101</v>
      </c>
      <c r="B123" s="165" t="s">
        <v>945</v>
      </c>
      <c r="C123" s="183" t="str">
        <f t="shared" si="59"/>
        <v>1037650</v>
      </c>
      <c r="D123" s="182" t="s">
        <v>1592</v>
      </c>
      <c r="E123" s="206"/>
      <c r="F123" s="207">
        <v>413</v>
      </c>
      <c r="G123" s="207"/>
      <c r="H123" s="205"/>
      <c r="I123" s="167">
        <v>8693361813</v>
      </c>
      <c r="J123" s="167">
        <v>876461813</v>
      </c>
      <c r="K123" s="167">
        <v>7620000000</v>
      </c>
      <c r="L123" s="168">
        <v>196900000</v>
      </c>
      <c r="M123" s="168">
        <v>8693361813</v>
      </c>
      <c r="N123" s="168"/>
      <c r="O123" s="167">
        <v>7970202110</v>
      </c>
      <c r="P123" s="167">
        <v>7970202110</v>
      </c>
      <c r="Q123" s="168"/>
      <c r="S123" s="201">
        <f t="shared" si="84"/>
        <v>8693.3618129999995</v>
      </c>
      <c r="T123" s="201">
        <f t="shared" si="85"/>
        <v>8693.3618129999995</v>
      </c>
      <c r="U123" s="201">
        <f t="shared" si="86"/>
        <v>0</v>
      </c>
      <c r="V123" s="201">
        <f t="shared" si="87"/>
        <v>7970.2021100000002</v>
      </c>
      <c r="W123" s="201">
        <f t="shared" si="88"/>
        <v>7970.2021100000002</v>
      </c>
      <c r="X123" s="201">
        <f t="shared" si="89"/>
        <v>0</v>
      </c>
    </row>
    <row r="124" spans="1:24" s="169" customFormat="1" ht="26.4">
      <c r="A124" s="192">
        <v>102</v>
      </c>
      <c r="B124" s="165" t="s">
        <v>1120</v>
      </c>
      <c r="C124" s="183" t="str">
        <f t="shared" si="59"/>
        <v>1058269</v>
      </c>
      <c r="D124" s="182" t="s">
        <v>1622</v>
      </c>
      <c r="E124" s="206"/>
      <c r="F124" s="207">
        <v>417</v>
      </c>
      <c r="G124" s="207"/>
      <c r="H124" s="205"/>
      <c r="I124" s="167">
        <v>20147985360</v>
      </c>
      <c r="J124" s="167">
        <v>2791041360</v>
      </c>
      <c r="K124" s="167">
        <v>11210000000</v>
      </c>
      <c r="L124" s="168">
        <v>6146944000</v>
      </c>
      <c r="M124" s="168">
        <v>20147985360</v>
      </c>
      <c r="N124" s="168"/>
      <c r="O124" s="167">
        <v>10107450166</v>
      </c>
      <c r="P124" s="167">
        <v>10107450166</v>
      </c>
      <c r="Q124" s="168"/>
      <c r="S124" s="201">
        <f t="shared" si="84"/>
        <v>20147.985359999999</v>
      </c>
      <c r="T124" s="201">
        <f t="shared" si="85"/>
        <v>20147.985359999999</v>
      </c>
      <c r="U124" s="201">
        <f t="shared" si="86"/>
        <v>0</v>
      </c>
      <c r="V124" s="201">
        <f t="shared" si="87"/>
        <v>10107.450166000001</v>
      </c>
      <c r="W124" s="201">
        <f t="shared" si="88"/>
        <v>10107.450166000001</v>
      </c>
      <c r="X124" s="201">
        <f t="shared" si="89"/>
        <v>0</v>
      </c>
    </row>
    <row r="125" spans="1:24" s="169" customFormat="1" ht="26.4">
      <c r="A125" s="192">
        <v>103</v>
      </c>
      <c r="B125" s="176" t="s">
        <v>961</v>
      </c>
      <c r="C125" s="183" t="str">
        <f t="shared" si="59"/>
        <v>1045722</v>
      </c>
      <c r="D125" s="182" t="s">
        <v>1628</v>
      </c>
      <c r="E125" s="206"/>
      <c r="F125" s="207">
        <v>424</v>
      </c>
      <c r="G125" s="207"/>
      <c r="H125" s="205"/>
      <c r="I125" s="167">
        <v>16293206021</v>
      </c>
      <c r="J125" s="167">
        <v>464053021</v>
      </c>
      <c r="K125" s="167">
        <v>13214000000</v>
      </c>
      <c r="L125" s="168">
        <v>2615153000</v>
      </c>
      <c r="M125" s="168">
        <v>15447206021</v>
      </c>
      <c r="N125" s="168">
        <v>846000000</v>
      </c>
      <c r="O125" s="167">
        <v>13731576176</v>
      </c>
      <c r="P125" s="167">
        <v>13373779176</v>
      </c>
      <c r="Q125" s="168">
        <v>357797000</v>
      </c>
      <c r="S125" s="201">
        <f t="shared" ref="S125:S130" si="90">I125/1000000</f>
        <v>16293.206021</v>
      </c>
      <c r="T125" s="201">
        <f t="shared" ref="T125:T130" si="91">M125/1000000</f>
        <v>15447.206021</v>
      </c>
      <c r="U125" s="201">
        <f t="shared" ref="U125:U130" si="92">N125/1000000</f>
        <v>846</v>
      </c>
      <c r="V125" s="201">
        <f t="shared" ref="V125:V130" si="93">O125/1000000</f>
        <v>13731.576176</v>
      </c>
      <c r="W125" s="201">
        <f t="shared" ref="W125:W130" si="94">P125/1000000</f>
        <v>13373.779176</v>
      </c>
      <c r="X125" s="201">
        <f t="shared" ref="X125:X130" si="95">Q125/1000000</f>
        <v>357.79700000000003</v>
      </c>
    </row>
    <row r="126" spans="1:24" s="169" customFormat="1" ht="13.8">
      <c r="A126" s="192">
        <v>104</v>
      </c>
      <c r="B126" s="170" t="s">
        <v>788</v>
      </c>
      <c r="C126" s="183" t="str">
        <f t="shared" si="59"/>
        <v>1030065</v>
      </c>
      <c r="D126" s="182" t="s">
        <v>1563</v>
      </c>
      <c r="E126" s="206"/>
      <c r="F126" s="207">
        <v>411</v>
      </c>
      <c r="G126" s="207"/>
      <c r="H126" s="205"/>
      <c r="I126" s="167">
        <v>14915373000</v>
      </c>
      <c r="J126" s="167">
        <v>218373000</v>
      </c>
      <c r="K126" s="167">
        <v>5650000000</v>
      </c>
      <c r="L126" s="168">
        <v>9047000000</v>
      </c>
      <c r="M126" s="168">
        <v>14915373000</v>
      </c>
      <c r="N126" s="168"/>
      <c r="O126" s="167">
        <v>14776002384</v>
      </c>
      <c r="P126" s="167">
        <v>14776002384</v>
      </c>
      <c r="Q126" s="168"/>
      <c r="S126" s="201">
        <f t="shared" si="90"/>
        <v>14915.373</v>
      </c>
      <c r="T126" s="201">
        <f t="shared" si="91"/>
        <v>14915.373</v>
      </c>
      <c r="U126" s="201">
        <f t="shared" si="92"/>
        <v>0</v>
      </c>
      <c r="V126" s="201">
        <f t="shared" si="93"/>
        <v>14776.002383999999</v>
      </c>
      <c r="W126" s="201">
        <f t="shared" si="94"/>
        <v>14776.002383999999</v>
      </c>
      <c r="X126" s="201">
        <f t="shared" si="95"/>
        <v>0</v>
      </c>
    </row>
    <row r="127" spans="1:24" s="169" customFormat="1" ht="13.8">
      <c r="A127" s="192">
        <v>105</v>
      </c>
      <c r="B127" s="170" t="s">
        <v>937</v>
      </c>
      <c r="C127" s="183" t="str">
        <f t="shared" si="59"/>
        <v>1037644</v>
      </c>
      <c r="D127" s="182" t="s">
        <v>1590</v>
      </c>
      <c r="E127" s="206"/>
      <c r="F127" s="207">
        <v>435</v>
      </c>
      <c r="G127" s="207"/>
      <c r="H127" s="205"/>
      <c r="I127" s="167">
        <v>27732787866</v>
      </c>
      <c r="J127" s="167">
        <v>7097658866</v>
      </c>
      <c r="K127" s="167">
        <v>16353299000</v>
      </c>
      <c r="L127" s="168">
        <v>4281830000</v>
      </c>
      <c r="M127" s="168">
        <v>27732787866</v>
      </c>
      <c r="N127" s="168"/>
      <c r="O127" s="167">
        <v>14332432450</v>
      </c>
      <c r="P127" s="167">
        <v>14332432450</v>
      </c>
      <c r="Q127" s="168"/>
      <c r="S127" s="201">
        <f t="shared" si="90"/>
        <v>27732.787865999999</v>
      </c>
      <c r="T127" s="201">
        <f t="shared" si="91"/>
        <v>27732.787865999999</v>
      </c>
      <c r="U127" s="201">
        <f t="shared" si="92"/>
        <v>0</v>
      </c>
      <c r="V127" s="201">
        <f t="shared" si="93"/>
        <v>14332.43245</v>
      </c>
      <c r="W127" s="201">
        <f t="shared" si="94"/>
        <v>14332.43245</v>
      </c>
      <c r="X127" s="201">
        <f t="shared" si="95"/>
        <v>0</v>
      </c>
    </row>
    <row r="128" spans="1:24" s="169" customFormat="1" ht="27">
      <c r="A128" s="192">
        <v>106</v>
      </c>
      <c r="B128" s="165" t="s">
        <v>737</v>
      </c>
      <c r="C128" s="183" t="str">
        <f t="shared" si="59"/>
        <v>1015168</v>
      </c>
      <c r="D128" s="182" t="s">
        <v>1626</v>
      </c>
      <c r="E128" s="206"/>
      <c r="F128" s="207">
        <v>412</v>
      </c>
      <c r="G128" s="207"/>
      <c r="H128" s="205"/>
      <c r="I128" s="167">
        <v>9958692000</v>
      </c>
      <c r="J128" s="167">
        <v>633592000</v>
      </c>
      <c r="K128" s="167">
        <v>8244000000</v>
      </c>
      <c r="L128" s="168">
        <v>1081100000</v>
      </c>
      <c r="M128" s="168">
        <v>9258692000</v>
      </c>
      <c r="N128" s="168">
        <v>700000000</v>
      </c>
      <c r="O128" s="167">
        <v>8909763600</v>
      </c>
      <c r="P128" s="167">
        <v>8750630600</v>
      </c>
      <c r="Q128" s="168">
        <v>159133000</v>
      </c>
      <c r="S128" s="201">
        <f t="shared" si="90"/>
        <v>9958.6919999999991</v>
      </c>
      <c r="T128" s="201">
        <f t="shared" si="91"/>
        <v>9258.6919999999991</v>
      </c>
      <c r="U128" s="201">
        <f t="shared" si="92"/>
        <v>700</v>
      </c>
      <c r="V128" s="201">
        <f t="shared" si="93"/>
        <v>8909.7636000000002</v>
      </c>
      <c r="W128" s="201">
        <f t="shared" si="94"/>
        <v>8750.6306000000004</v>
      </c>
      <c r="X128" s="201">
        <f t="shared" si="95"/>
        <v>159.13300000000001</v>
      </c>
    </row>
    <row r="129" spans="1:24" s="169" customFormat="1" ht="13.8">
      <c r="A129" s="192">
        <v>107</v>
      </c>
      <c r="B129" s="170" t="s">
        <v>1166</v>
      </c>
      <c r="C129" s="183" t="str">
        <f t="shared" si="59"/>
        <v>1065152</v>
      </c>
      <c r="D129" s="182" t="s">
        <v>1630</v>
      </c>
      <c r="E129" s="206"/>
      <c r="F129" s="207">
        <v>418</v>
      </c>
      <c r="G129" s="207"/>
      <c r="H129" s="205"/>
      <c r="I129" s="167">
        <v>8988200000</v>
      </c>
      <c r="J129" s="166"/>
      <c r="K129" s="167">
        <v>8542000000</v>
      </c>
      <c r="L129" s="168">
        <v>446200000</v>
      </c>
      <c r="M129" s="168">
        <v>8988200000</v>
      </c>
      <c r="N129" s="168"/>
      <c r="O129" s="167">
        <v>8988200000</v>
      </c>
      <c r="P129" s="167">
        <v>8988200000</v>
      </c>
      <c r="Q129" s="168"/>
      <c r="S129" s="201">
        <f t="shared" si="90"/>
        <v>8988.2000000000007</v>
      </c>
      <c r="T129" s="201">
        <f t="shared" si="91"/>
        <v>8988.2000000000007</v>
      </c>
      <c r="U129" s="201">
        <f t="shared" si="92"/>
        <v>0</v>
      </c>
      <c r="V129" s="201">
        <f t="shared" si="93"/>
        <v>8988.2000000000007</v>
      </c>
      <c r="W129" s="201">
        <f t="shared" si="94"/>
        <v>8988.2000000000007</v>
      </c>
      <c r="X129" s="201">
        <f t="shared" si="95"/>
        <v>0</v>
      </c>
    </row>
    <row r="130" spans="1:24" s="169" customFormat="1" ht="26.4">
      <c r="A130" s="192">
        <v>108</v>
      </c>
      <c r="B130" s="165" t="s">
        <v>1081</v>
      </c>
      <c r="C130" s="183" t="str">
        <f t="shared" si="59"/>
        <v>1049271</v>
      </c>
      <c r="D130" s="182" t="s">
        <v>1618</v>
      </c>
      <c r="E130" s="206"/>
      <c r="F130" s="207">
        <v>426</v>
      </c>
      <c r="G130" s="207"/>
      <c r="H130" s="205"/>
      <c r="I130" s="167">
        <v>40228144497</v>
      </c>
      <c r="J130" s="167">
        <v>16074344497</v>
      </c>
      <c r="K130" s="167">
        <v>19294800000</v>
      </c>
      <c r="L130" s="168">
        <v>4859000000</v>
      </c>
      <c r="M130" s="168">
        <v>40228144497</v>
      </c>
      <c r="N130" s="168"/>
      <c r="O130" s="167">
        <v>33415606804</v>
      </c>
      <c r="P130" s="167">
        <v>33415606804</v>
      </c>
      <c r="Q130" s="168"/>
      <c r="S130" s="201">
        <f t="shared" si="90"/>
        <v>40228.144497000001</v>
      </c>
      <c r="T130" s="201">
        <f t="shared" si="91"/>
        <v>40228.144497000001</v>
      </c>
      <c r="U130" s="201">
        <f t="shared" si="92"/>
        <v>0</v>
      </c>
      <c r="V130" s="201">
        <f t="shared" si="93"/>
        <v>33415.606804000003</v>
      </c>
      <c r="W130" s="201">
        <f t="shared" si="94"/>
        <v>33415.606804000003</v>
      </c>
      <c r="X130" s="201">
        <f t="shared" si="95"/>
        <v>0</v>
      </c>
    </row>
    <row r="131" spans="1:24" s="169" customFormat="1" ht="26.4">
      <c r="A131" s="192">
        <v>109</v>
      </c>
      <c r="B131" s="176" t="s">
        <v>1138</v>
      </c>
      <c r="C131" s="183" t="str">
        <f t="shared" si="59"/>
        <v>1063795</v>
      </c>
      <c r="D131" s="182" t="s">
        <v>1634</v>
      </c>
      <c r="E131" s="206"/>
      <c r="F131" s="207">
        <v>427</v>
      </c>
      <c r="G131" s="207"/>
      <c r="H131" s="205"/>
      <c r="I131" s="167">
        <v>10529498297</v>
      </c>
      <c r="J131" s="167">
        <v>200033297</v>
      </c>
      <c r="K131" s="167">
        <v>6519000000</v>
      </c>
      <c r="L131" s="168">
        <v>3810465000</v>
      </c>
      <c r="M131" s="168">
        <v>10165498297</v>
      </c>
      <c r="N131" s="168">
        <v>364000000</v>
      </c>
      <c r="O131" s="167">
        <v>9091095731</v>
      </c>
      <c r="P131" s="167">
        <v>8755885235</v>
      </c>
      <c r="Q131" s="168">
        <v>335210496</v>
      </c>
      <c r="S131" s="201">
        <f t="shared" ref="S131:S138" si="96">I131/1000000</f>
        <v>10529.498297</v>
      </c>
      <c r="T131" s="201">
        <f t="shared" ref="T131:T138" si="97">M131/1000000</f>
        <v>10165.498297</v>
      </c>
      <c r="U131" s="201">
        <f t="shared" ref="U131:U138" si="98">N131/1000000</f>
        <v>364</v>
      </c>
      <c r="V131" s="201">
        <f t="shared" ref="V131:V138" si="99">O131/1000000</f>
        <v>9091.0957309999994</v>
      </c>
      <c r="W131" s="201">
        <f t="shared" ref="W131:W138" si="100">P131/1000000</f>
        <v>8755.8852349999997</v>
      </c>
      <c r="X131" s="201">
        <f t="shared" ref="X131:X138" si="101">Q131/1000000</f>
        <v>335.21049599999998</v>
      </c>
    </row>
    <row r="132" spans="1:24" s="169" customFormat="1" ht="13.8">
      <c r="A132" s="192">
        <v>110</v>
      </c>
      <c r="B132" s="170" t="s">
        <v>1157</v>
      </c>
      <c r="C132" s="183" t="str">
        <f t="shared" si="59"/>
        <v>1064680</v>
      </c>
      <c r="D132" s="182" t="s">
        <v>1629</v>
      </c>
      <c r="E132" s="206"/>
      <c r="F132" s="207">
        <v>414</v>
      </c>
      <c r="G132" s="207"/>
      <c r="H132" s="205"/>
      <c r="I132" s="167">
        <v>5453607532</v>
      </c>
      <c r="J132" s="167">
        <v>169397532</v>
      </c>
      <c r="K132" s="167">
        <v>5154842000</v>
      </c>
      <c r="L132" s="168">
        <v>129368000</v>
      </c>
      <c r="M132" s="168">
        <v>5453607532</v>
      </c>
      <c r="N132" s="168"/>
      <c r="O132" s="167">
        <v>5284987032</v>
      </c>
      <c r="P132" s="167">
        <v>5284987032</v>
      </c>
      <c r="Q132" s="168"/>
      <c r="S132" s="201">
        <f t="shared" si="96"/>
        <v>5453.607532</v>
      </c>
      <c r="T132" s="201">
        <f t="shared" si="97"/>
        <v>5453.607532</v>
      </c>
      <c r="U132" s="201">
        <f t="shared" si="98"/>
        <v>0</v>
      </c>
      <c r="V132" s="201">
        <f t="shared" si="99"/>
        <v>5284.987032</v>
      </c>
      <c r="W132" s="201">
        <f t="shared" si="100"/>
        <v>5284.987032</v>
      </c>
      <c r="X132" s="201">
        <f t="shared" si="101"/>
        <v>0</v>
      </c>
    </row>
    <row r="133" spans="1:24" s="169" customFormat="1" ht="26.4">
      <c r="A133" s="192">
        <v>111</v>
      </c>
      <c r="B133" s="165" t="s">
        <v>913</v>
      </c>
      <c r="C133" s="183" t="str">
        <f t="shared" si="59"/>
        <v>1037582</v>
      </c>
      <c r="D133" s="182" t="s">
        <v>1624</v>
      </c>
      <c r="E133" s="206"/>
      <c r="F133" s="207">
        <v>425</v>
      </c>
      <c r="G133" s="207"/>
      <c r="H133" s="205"/>
      <c r="I133" s="167">
        <v>14097089000</v>
      </c>
      <c r="J133" s="167">
        <v>349000000</v>
      </c>
      <c r="K133" s="167">
        <v>9484000000</v>
      </c>
      <c r="L133" s="168">
        <v>4264089000</v>
      </c>
      <c r="M133" s="168">
        <v>14097089000</v>
      </c>
      <c r="N133" s="168"/>
      <c r="O133" s="167">
        <v>11028347600</v>
      </c>
      <c r="P133" s="167">
        <v>11028347600</v>
      </c>
      <c r="Q133" s="168"/>
      <c r="S133" s="201">
        <f t="shared" si="96"/>
        <v>14097.089</v>
      </c>
      <c r="T133" s="201">
        <f t="shared" si="97"/>
        <v>14097.089</v>
      </c>
      <c r="U133" s="201">
        <f t="shared" si="98"/>
        <v>0</v>
      </c>
      <c r="V133" s="201">
        <f t="shared" si="99"/>
        <v>11028.347599999999</v>
      </c>
      <c r="W133" s="201">
        <f t="shared" si="100"/>
        <v>11028.347599999999</v>
      </c>
      <c r="X133" s="201">
        <f t="shared" si="101"/>
        <v>0</v>
      </c>
    </row>
    <row r="134" spans="1:24" s="169" customFormat="1" ht="13.8">
      <c r="A134" s="192">
        <v>112</v>
      </c>
      <c r="B134" s="164" t="s">
        <v>1047</v>
      </c>
      <c r="C134" s="183" t="str">
        <f t="shared" si="59"/>
        <v>1048180</v>
      </c>
      <c r="D134" s="182" t="s">
        <v>1613</v>
      </c>
      <c r="E134" s="206"/>
      <c r="F134" s="207">
        <v>419</v>
      </c>
      <c r="G134" s="207"/>
      <c r="H134" s="205"/>
      <c r="I134" s="167">
        <v>9583131000</v>
      </c>
      <c r="J134" s="167">
        <v>782631000</v>
      </c>
      <c r="K134" s="167">
        <v>6698500000</v>
      </c>
      <c r="L134" s="168">
        <v>2102000000</v>
      </c>
      <c r="M134" s="168">
        <v>9583131000</v>
      </c>
      <c r="N134" s="168"/>
      <c r="O134" s="167">
        <v>8010677000</v>
      </c>
      <c r="P134" s="167">
        <v>8010677000</v>
      </c>
      <c r="Q134" s="168"/>
      <c r="S134" s="201">
        <f t="shared" si="96"/>
        <v>9583.1309999999994</v>
      </c>
      <c r="T134" s="201">
        <f t="shared" si="97"/>
        <v>9583.1309999999994</v>
      </c>
      <c r="U134" s="201">
        <f t="shared" si="98"/>
        <v>0</v>
      </c>
      <c r="V134" s="201">
        <f t="shared" si="99"/>
        <v>8010.6769999999997</v>
      </c>
      <c r="W134" s="201">
        <f t="shared" si="100"/>
        <v>8010.6769999999997</v>
      </c>
      <c r="X134" s="201">
        <f t="shared" si="101"/>
        <v>0</v>
      </c>
    </row>
    <row r="135" spans="1:24" s="169" customFormat="1" ht="13.8">
      <c r="A135" s="192">
        <v>113</v>
      </c>
      <c r="B135" s="170" t="s">
        <v>1002</v>
      </c>
      <c r="C135" s="183" t="str">
        <f t="shared" si="59"/>
        <v>1047957</v>
      </c>
      <c r="D135" s="182" t="s">
        <v>1595</v>
      </c>
      <c r="E135" s="206"/>
      <c r="F135" s="207">
        <v>423</v>
      </c>
      <c r="G135" s="207"/>
      <c r="H135" s="205"/>
      <c r="I135" s="167">
        <v>9291181810</v>
      </c>
      <c r="J135" s="167">
        <v>2323013465</v>
      </c>
      <c r="K135" s="167">
        <v>5325000000</v>
      </c>
      <c r="L135" s="168">
        <v>1643168345</v>
      </c>
      <c r="M135" s="168">
        <v>9291181810</v>
      </c>
      <c r="N135" s="168"/>
      <c r="O135" s="167">
        <v>8103818936</v>
      </c>
      <c r="P135" s="167">
        <v>8103818936</v>
      </c>
      <c r="Q135" s="168"/>
      <c r="S135" s="201">
        <f t="shared" si="96"/>
        <v>9291.18181</v>
      </c>
      <c r="T135" s="201">
        <f t="shared" si="97"/>
        <v>9291.18181</v>
      </c>
      <c r="U135" s="201">
        <f t="shared" si="98"/>
        <v>0</v>
      </c>
      <c r="V135" s="201">
        <f t="shared" si="99"/>
        <v>8103.8189359999997</v>
      </c>
      <c r="W135" s="201">
        <f t="shared" si="100"/>
        <v>8103.8189359999997</v>
      </c>
      <c r="X135" s="201">
        <f t="shared" si="101"/>
        <v>0</v>
      </c>
    </row>
    <row r="136" spans="1:24" s="246" customFormat="1" ht="26.4">
      <c r="A136" s="192">
        <v>114</v>
      </c>
      <c r="B136" s="165" t="s">
        <v>958</v>
      </c>
      <c r="C136" s="183" t="str">
        <f t="shared" si="59"/>
        <v>1044911</v>
      </c>
      <c r="D136" s="182" t="s">
        <v>1627</v>
      </c>
      <c r="E136" s="206"/>
      <c r="F136" s="207">
        <v>421</v>
      </c>
      <c r="G136" s="207"/>
      <c r="H136" s="205"/>
      <c r="I136" s="167">
        <v>4128600000</v>
      </c>
      <c r="J136" s="166"/>
      <c r="K136" s="167">
        <v>3381000000</v>
      </c>
      <c r="L136" s="168">
        <v>747600000</v>
      </c>
      <c r="M136" s="168">
        <v>4128600000</v>
      </c>
      <c r="N136" s="168"/>
      <c r="O136" s="167">
        <v>3740645432</v>
      </c>
      <c r="P136" s="167">
        <v>3740645432</v>
      </c>
      <c r="Q136" s="168"/>
      <c r="S136" s="247">
        <f t="shared" si="96"/>
        <v>4128.6000000000004</v>
      </c>
      <c r="T136" s="247">
        <f t="shared" si="97"/>
        <v>4128.6000000000004</v>
      </c>
      <c r="U136" s="247">
        <f t="shared" si="98"/>
        <v>0</v>
      </c>
      <c r="V136" s="247">
        <f t="shared" si="99"/>
        <v>3740.6454319999998</v>
      </c>
      <c r="W136" s="247">
        <f t="shared" si="100"/>
        <v>3740.6454319999998</v>
      </c>
      <c r="X136" s="247">
        <f t="shared" si="101"/>
        <v>0</v>
      </c>
    </row>
    <row r="137" spans="1:24" s="169" customFormat="1" ht="13.8">
      <c r="A137" s="192">
        <v>115</v>
      </c>
      <c r="B137" s="170" t="s">
        <v>1067</v>
      </c>
      <c r="C137" s="183" t="str">
        <f t="shared" si="59"/>
        <v>1048279</v>
      </c>
      <c r="D137" s="182" t="s">
        <v>476</v>
      </c>
      <c r="E137" s="206"/>
      <c r="F137" s="207">
        <v>437</v>
      </c>
      <c r="G137" s="207"/>
      <c r="H137" s="205"/>
      <c r="I137" s="167">
        <v>6006184000</v>
      </c>
      <c r="J137" s="167">
        <v>173000000</v>
      </c>
      <c r="K137" s="167">
        <v>5532000000</v>
      </c>
      <c r="L137" s="168">
        <v>301184000</v>
      </c>
      <c r="M137" s="168">
        <v>6006184000</v>
      </c>
      <c r="N137" s="168"/>
      <c r="O137" s="167">
        <v>6006184000</v>
      </c>
      <c r="P137" s="167">
        <v>6006184000</v>
      </c>
      <c r="Q137" s="168"/>
      <c r="S137" s="201">
        <f t="shared" si="96"/>
        <v>6006.1840000000002</v>
      </c>
      <c r="T137" s="201">
        <f t="shared" si="97"/>
        <v>6006.1840000000002</v>
      </c>
      <c r="U137" s="201">
        <f t="shared" si="98"/>
        <v>0</v>
      </c>
      <c r="V137" s="201">
        <f t="shared" si="99"/>
        <v>6006.1840000000002</v>
      </c>
      <c r="W137" s="201">
        <f t="shared" si="100"/>
        <v>6006.1840000000002</v>
      </c>
      <c r="X137" s="201">
        <f t="shared" si="101"/>
        <v>0</v>
      </c>
    </row>
    <row r="138" spans="1:24" s="169" customFormat="1" ht="13.8">
      <c r="A138" s="192">
        <v>116</v>
      </c>
      <c r="B138" s="170" t="s">
        <v>870</v>
      </c>
      <c r="C138" s="183" t="str">
        <f t="shared" si="59"/>
        <v>1037484</v>
      </c>
      <c r="D138" s="182" t="s">
        <v>1485</v>
      </c>
      <c r="E138" s="206"/>
      <c r="F138" s="207">
        <v>425</v>
      </c>
      <c r="G138" s="207"/>
      <c r="H138" s="205"/>
      <c r="I138" s="167">
        <v>2729947000</v>
      </c>
      <c r="J138" s="166"/>
      <c r="K138" s="167">
        <v>2559000000</v>
      </c>
      <c r="L138" s="168">
        <v>170947000</v>
      </c>
      <c r="M138" s="168">
        <v>2729947000</v>
      </c>
      <c r="N138" s="168"/>
      <c r="O138" s="167">
        <v>2729947000</v>
      </c>
      <c r="P138" s="167">
        <v>2729947000</v>
      </c>
      <c r="Q138" s="168"/>
      <c r="S138" s="201">
        <f t="shared" si="96"/>
        <v>2729.9470000000001</v>
      </c>
      <c r="T138" s="201">
        <f t="shared" si="97"/>
        <v>2729.9470000000001</v>
      </c>
      <c r="U138" s="201">
        <f t="shared" si="98"/>
        <v>0</v>
      </c>
      <c r="V138" s="201">
        <f t="shared" si="99"/>
        <v>2729.9470000000001</v>
      </c>
      <c r="W138" s="201">
        <f t="shared" si="100"/>
        <v>2729.9470000000001</v>
      </c>
      <c r="X138" s="201">
        <f t="shared" si="101"/>
        <v>0</v>
      </c>
    </row>
    <row r="139" spans="1:24" s="169" customFormat="1" ht="13.8">
      <c r="A139" s="192">
        <v>117</v>
      </c>
      <c r="B139" s="170" t="s">
        <v>867</v>
      </c>
      <c r="C139" s="183" t="str">
        <f t="shared" si="59"/>
        <v>1037483</v>
      </c>
      <c r="D139" s="182" t="s">
        <v>1511</v>
      </c>
      <c r="E139" s="206"/>
      <c r="F139" s="207">
        <v>511</v>
      </c>
      <c r="G139" s="207"/>
      <c r="H139" s="205"/>
      <c r="I139" s="167">
        <v>5578200000</v>
      </c>
      <c r="J139" s="166"/>
      <c r="K139" s="167">
        <v>5341000000</v>
      </c>
      <c r="L139" s="168">
        <v>237200000</v>
      </c>
      <c r="M139" s="168">
        <v>5578200000</v>
      </c>
      <c r="N139" s="168"/>
      <c r="O139" s="167">
        <v>5578200000</v>
      </c>
      <c r="P139" s="167">
        <v>5578200000</v>
      </c>
      <c r="Q139" s="168"/>
      <c r="S139" s="201">
        <f t="shared" ref="S139:S144" si="102">I139/1000000</f>
        <v>5578.2</v>
      </c>
      <c r="T139" s="201">
        <f t="shared" ref="T139:T144" si="103">M139/1000000</f>
        <v>5578.2</v>
      </c>
      <c r="U139" s="201">
        <f t="shared" ref="U139:U144" si="104">N139/1000000</f>
        <v>0</v>
      </c>
      <c r="V139" s="201">
        <f t="shared" ref="V139:V144" si="105">O139/1000000</f>
        <v>5578.2</v>
      </c>
      <c r="W139" s="201">
        <f t="shared" ref="W139:W144" si="106">P139/1000000</f>
        <v>5578.2</v>
      </c>
      <c r="X139" s="201">
        <f t="shared" ref="X139:X144" si="107">Q139/1000000</f>
        <v>0</v>
      </c>
    </row>
    <row r="140" spans="1:24" s="169" customFormat="1" ht="26.4">
      <c r="A140" s="192">
        <v>118</v>
      </c>
      <c r="B140" s="165" t="s">
        <v>1272</v>
      </c>
      <c r="C140" s="183" t="str">
        <f t="shared" si="59"/>
        <v>1098191</v>
      </c>
      <c r="D140" s="182" t="s">
        <v>1651</v>
      </c>
      <c r="E140" s="206"/>
      <c r="F140" s="207">
        <v>511</v>
      </c>
      <c r="G140" s="207"/>
      <c r="H140" s="205"/>
      <c r="I140" s="167">
        <v>242000000</v>
      </c>
      <c r="J140" s="166"/>
      <c r="K140" s="167">
        <v>242000000</v>
      </c>
      <c r="L140" s="171"/>
      <c r="M140" s="168">
        <v>242000000</v>
      </c>
      <c r="N140" s="171"/>
      <c r="O140" s="167">
        <v>242000000</v>
      </c>
      <c r="P140" s="167">
        <v>242000000</v>
      </c>
      <c r="Q140" s="171"/>
      <c r="S140" s="201">
        <f t="shared" si="102"/>
        <v>242</v>
      </c>
      <c r="T140" s="201">
        <f t="shared" si="103"/>
        <v>242</v>
      </c>
      <c r="U140" s="201">
        <f t="shared" si="104"/>
        <v>0</v>
      </c>
      <c r="V140" s="201">
        <f t="shared" si="105"/>
        <v>242</v>
      </c>
      <c r="W140" s="201">
        <f t="shared" si="106"/>
        <v>242</v>
      </c>
      <c r="X140" s="201">
        <f t="shared" si="107"/>
        <v>0</v>
      </c>
    </row>
    <row r="141" spans="1:24" s="169" customFormat="1" ht="26.4">
      <c r="A141" s="192">
        <v>119</v>
      </c>
      <c r="B141" s="165" t="s">
        <v>949</v>
      </c>
      <c r="C141" s="183" t="str">
        <f t="shared" si="59"/>
        <v>1044909</v>
      </c>
      <c r="D141" s="182" t="s">
        <v>1514</v>
      </c>
      <c r="E141" s="206"/>
      <c r="F141" s="207">
        <v>424</v>
      </c>
      <c r="G141" s="207"/>
      <c r="H141" s="205"/>
      <c r="I141" s="167">
        <v>10253289000</v>
      </c>
      <c r="J141" s="167">
        <v>121663000</v>
      </c>
      <c r="K141" s="167">
        <v>9542000000</v>
      </c>
      <c r="L141" s="168">
        <v>589626000</v>
      </c>
      <c r="M141" s="168">
        <v>10253289000</v>
      </c>
      <c r="N141" s="168"/>
      <c r="O141" s="167">
        <v>9924850236</v>
      </c>
      <c r="P141" s="167">
        <v>9924850236</v>
      </c>
      <c r="Q141" s="168"/>
      <c r="S141" s="201">
        <f t="shared" si="102"/>
        <v>10253.289000000001</v>
      </c>
      <c r="T141" s="201">
        <f t="shared" si="103"/>
        <v>10253.289000000001</v>
      </c>
      <c r="U141" s="201">
        <f t="shared" si="104"/>
        <v>0</v>
      </c>
      <c r="V141" s="201">
        <f t="shared" si="105"/>
        <v>9924.8502360000002</v>
      </c>
      <c r="W141" s="201">
        <f t="shared" si="106"/>
        <v>9924.8502360000002</v>
      </c>
      <c r="X141" s="201">
        <f t="shared" si="107"/>
        <v>0</v>
      </c>
    </row>
    <row r="142" spans="1:24" s="169" customFormat="1" ht="26.4">
      <c r="A142" s="192">
        <v>120</v>
      </c>
      <c r="B142" s="165" t="s">
        <v>978</v>
      </c>
      <c r="C142" s="183" t="str">
        <f t="shared" si="59"/>
        <v>1047845</v>
      </c>
      <c r="D142" s="182" t="s">
        <v>1593</v>
      </c>
      <c r="E142" s="206"/>
      <c r="F142" s="207">
        <v>423</v>
      </c>
      <c r="G142" s="207"/>
      <c r="H142" s="205"/>
      <c r="I142" s="167">
        <v>3080185600</v>
      </c>
      <c r="J142" s="166"/>
      <c r="K142" s="167">
        <v>2230840000</v>
      </c>
      <c r="L142" s="168">
        <v>849345600</v>
      </c>
      <c r="M142" s="168">
        <v>3080185600</v>
      </c>
      <c r="N142" s="168"/>
      <c r="O142" s="167">
        <v>2627440000</v>
      </c>
      <c r="P142" s="167">
        <v>2627440000</v>
      </c>
      <c r="Q142" s="168"/>
      <c r="S142" s="201">
        <f t="shared" si="102"/>
        <v>3080.1855999999998</v>
      </c>
      <c r="T142" s="201">
        <f t="shared" si="103"/>
        <v>3080.1855999999998</v>
      </c>
      <c r="U142" s="201">
        <f t="shared" si="104"/>
        <v>0</v>
      </c>
      <c r="V142" s="201">
        <f t="shared" si="105"/>
        <v>2627.44</v>
      </c>
      <c r="W142" s="201">
        <f t="shared" si="106"/>
        <v>2627.44</v>
      </c>
      <c r="X142" s="201">
        <f t="shared" si="107"/>
        <v>0</v>
      </c>
    </row>
    <row r="143" spans="1:24" s="169" customFormat="1" ht="26.4">
      <c r="A143" s="192">
        <v>121</v>
      </c>
      <c r="B143" s="176" t="s">
        <v>1223</v>
      </c>
      <c r="C143" s="183" t="str">
        <f t="shared" si="59"/>
        <v>1084079</v>
      </c>
      <c r="D143" s="182" t="s">
        <v>1643</v>
      </c>
      <c r="E143" s="206"/>
      <c r="F143" s="207">
        <v>427</v>
      </c>
      <c r="G143" s="207"/>
      <c r="H143" s="205"/>
      <c r="I143" s="167">
        <v>542600000</v>
      </c>
      <c r="J143" s="166"/>
      <c r="K143" s="167">
        <v>542600000</v>
      </c>
      <c r="L143" s="171"/>
      <c r="M143" s="168">
        <v>542600000</v>
      </c>
      <c r="N143" s="171"/>
      <c r="O143" s="167">
        <v>485095010</v>
      </c>
      <c r="P143" s="167">
        <v>485095010</v>
      </c>
      <c r="Q143" s="171"/>
      <c r="S143" s="201">
        <f t="shared" si="102"/>
        <v>542.6</v>
      </c>
      <c r="T143" s="201">
        <f t="shared" si="103"/>
        <v>542.6</v>
      </c>
      <c r="U143" s="201">
        <f t="shared" si="104"/>
        <v>0</v>
      </c>
      <c r="V143" s="201">
        <f t="shared" si="105"/>
        <v>485.09501</v>
      </c>
      <c r="W143" s="201">
        <f t="shared" si="106"/>
        <v>485.09501</v>
      </c>
      <c r="X143" s="201">
        <f t="shared" si="107"/>
        <v>0</v>
      </c>
    </row>
    <row r="144" spans="1:24" s="169" customFormat="1" ht="39.6">
      <c r="A144" s="192">
        <v>122</v>
      </c>
      <c r="B144" s="165" t="s">
        <v>970</v>
      </c>
      <c r="C144" s="183" t="str">
        <f t="shared" si="59"/>
        <v>1047749</v>
      </c>
      <c r="D144" s="182" t="s">
        <v>1488</v>
      </c>
      <c r="E144" s="206"/>
      <c r="F144" s="207">
        <v>426</v>
      </c>
      <c r="G144" s="207"/>
      <c r="H144" s="205"/>
      <c r="I144" s="167">
        <v>1266000000</v>
      </c>
      <c r="J144" s="167">
        <v>16900000</v>
      </c>
      <c r="K144" s="167">
        <v>1086000000</v>
      </c>
      <c r="L144" s="168">
        <v>163100000</v>
      </c>
      <c r="M144" s="168">
        <v>1266000000</v>
      </c>
      <c r="N144" s="168"/>
      <c r="O144" s="167">
        <v>1266000000</v>
      </c>
      <c r="P144" s="167">
        <v>1266000000</v>
      </c>
      <c r="Q144" s="168"/>
      <c r="S144" s="201">
        <f t="shared" si="102"/>
        <v>1266</v>
      </c>
      <c r="T144" s="201">
        <f t="shared" si="103"/>
        <v>1266</v>
      </c>
      <c r="U144" s="201">
        <f t="shared" si="104"/>
        <v>0</v>
      </c>
      <c r="V144" s="201">
        <f t="shared" si="105"/>
        <v>1266</v>
      </c>
      <c r="W144" s="201">
        <f t="shared" si="106"/>
        <v>1266</v>
      </c>
      <c r="X144" s="201">
        <f t="shared" si="107"/>
        <v>0</v>
      </c>
    </row>
    <row r="145" spans="1:24" s="169" customFormat="1" ht="39.6">
      <c r="A145" s="192">
        <v>123</v>
      </c>
      <c r="B145" s="165" t="s">
        <v>1383</v>
      </c>
      <c r="C145" s="183" t="str">
        <f t="shared" si="59"/>
        <v>1125130</v>
      </c>
      <c r="D145" s="182" t="s">
        <v>1504</v>
      </c>
      <c r="E145" s="206"/>
      <c r="F145" s="207">
        <v>412</v>
      </c>
      <c r="G145" s="207"/>
      <c r="H145" s="205"/>
      <c r="I145" s="167">
        <v>812250000</v>
      </c>
      <c r="J145" s="167">
        <v>167250000</v>
      </c>
      <c r="K145" s="167">
        <v>635000000</v>
      </c>
      <c r="L145" s="168">
        <v>10000000</v>
      </c>
      <c r="M145" s="168">
        <v>812250000</v>
      </c>
      <c r="N145" s="168"/>
      <c r="O145" s="167">
        <v>812249942</v>
      </c>
      <c r="P145" s="167">
        <v>812249942</v>
      </c>
      <c r="Q145" s="168"/>
      <c r="S145" s="201">
        <f t="shared" ref="S145:S153" si="108">I145/1000000</f>
        <v>812.25</v>
      </c>
      <c r="T145" s="201">
        <f t="shared" ref="T145:T153" si="109">M145/1000000</f>
        <v>812.25</v>
      </c>
      <c r="U145" s="201">
        <f t="shared" ref="U145:U153" si="110">N145/1000000</f>
        <v>0</v>
      </c>
      <c r="V145" s="201">
        <f t="shared" ref="V145:V153" si="111">O145/1000000</f>
        <v>812.24994200000003</v>
      </c>
      <c r="W145" s="201">
        <f t="shared" ref="W145:W153" si="112">P145/1000000</f>
        <v>812.24994200000003</v>
      </c>
      <c r="X145" s="201">
        <f t="shared" ref="X145:X153" si="113">Q145/1000000</f>
        <v>0</v>
      </c>
    </row>
    <row r="146" spans="1:24" s="169" customFormat="1" ht="26.4">
      <c r="A146" s="192">
        <v>124</v>
      </c>
      <c r="B146" s="165" t="s">
        <v>953</v>
      </c>
      <c r="C146" s="183" t="str">
        <f t="shared" si="59"/>
        <v>1044910</v>
      </c>
      <c r="D146" s="182" t="s">
        <v>1569</v>
      </c>
      <c r="E146" s="206"/>
      <c r="F146" s="207">
        <v>421</v>
      </c>
      <c r="G146" s="207"/>
      <c r="H146" s="205"/>
      <c r="I146" s="167">
        <v>134200000</v>
      </c>
      <c r="J146" s="166"/>
      <c r="K146" s="166"/>
      <c r="L146" s="168">
        <v>134200000</v>
      </c>
      <c r="M146" s="168">
        <v>134200000</v>
      </c>
      <c r="N146" s="168"/>
      <c r="O146" s="167">
        <v>104000000</v>
      </c>
      <c r="P146" s="167">
        <v>104000000</v>
      </c>
      <c r="Q146" s="168"/>
      <c r="S146" s="201">
        <f t="shared" si="108"/>
        <v>134.19999999999999</v>
      </c>
      <c r="T146" s="201">
        <f t="shared" si="109"/>
        <v>134.19999999999999</v>
      </c>
      <c r="U146" s="201">
        <f t="shared" si="110"/>
        <v>0</v>
      </c>
      <c r="V146" s="201">
        <f t="shared" si="111"/>
        <v>104</v>
      </c>
      <c r="W146" s="201">
        <f t="shared" si="112"/>
        <v>104</v>
      </c>
      <c r="X146" s="201">
        <f t="shared" si="113"/>
        <v>0</v>
      </c>
    </row>
    <row r="147" spans="1:24" s="169" customFormat="1" ht="26.4">
      <c r="A147" s="192">
        <v>125</v>
      </c>
      <c r="B147" s="165" t="s">
        <v>1356</v>
      </c>
      <c r="C147" s="183" t="str">
        <f t="shared" si="59"/>
        <v>1121877</v>
      </c>
      <c r="D147" s="182" t="s">
        <v>1667</v>
      </c>
      <c r="E147" s="206"/>
      <c r="F147" s="207">
        <v>513</v>
      </c>
      <c r="G147" s="207"/>
      <c r="H147" s="205"/>
      <c r="I147" s="167">
        <v>135000000</v>
      </c>
      <c r="J147" s="166"/>
      <c r="K147" s="167">
        <v>135000000</v>
      </c>
      <c r="L147" s="171"/>
      <c r="M147" s="168">
        <v>135000000</v>
      </c>
      <c r="N147" s="171"/>
      <c r="O147" s="167">
        <v>80553200</v>
      </c>
      <c r="P147" s="167">
        <v>80553200</v>
      </c>
      <c r="Q147" s="171"/>
      <c r="S147" s="201">
        <f t="shared" si="108"/>
        <v>135</v>
      </c>
      <c r="T147" s="201">
        <f t="shared" si="109"/>
        <v>135</v>
      </c>
      <c r="U147" s="201">
        <f t="shared" si="110"/>
        <v>0</v>
      </c>
      <c r="V147" s="201">
        <f t="shared" si="111"/>
        <v>80.553200000000004</v>
      </c>
      <c r="W147" s="201">
        <f t="shared" si="112"/>
        <v>80.553200000000004</v>
      </c>
      <c r="X147" s="201">
        <f t="shared" si="113"/>
        <v>0</v>
      </c>
    </row>
    <row r="148" spans="1:24" s="169" customFormat="1" ht="26.4">
      <c r="A148" s="192">
        <v>126</v>
      </c>
      <c r="B148" s="176" t="s">
        <v>1227</v>
      </c>
      <c r="C148" s="183" t="str">
        <f t="shared" si="59"/>
        <v>1090829</v>
      </c>
      <c r="D148" s="182" t="s">
        <v>1644</v>
      </c>
      <c r="E148" s="206"/>
      <c r="F148" s="207">
        <v>414</v>
      </c>
      <c r="G148" s="207"/>
      <c r="H148" s="205"/>
      <c r="I148" s="167">
        <v>286000000</v>
      </c>
      <c r="J148" s="166"/>
      <c r="K148" s="167">
        <v>446253000</v>
      </c>
      <c r="L148" s="168">
        <v>-160253000</v>
      </c>
      <c r="M148" s="168">
        <v>286000000</v>
      </c>
      <c r="N148" s="168"/>
      <c r="O148" s="167">
        <v>286000000</v>
      </c>
      <c r="P148" s="167">
        <v>286000000</v>
      </c>
      <c r="Q148" s="168"/>
      <c r="S148" s="201">
        <f t="shared" si="108"/>
        <v>286</v>
      </c>
      <c r="T148" s="201">
        <f t="shared" si="109"/>
        <v>286</v>
      </c>
      <c r="U148" s="201">
        <f t="shared" si="110"/>
        <v>0</v>
      </c>
      <c r="V148" s="201">
        <f t="shared" si="111"/>
        <v>286</v>
      </c>
      <c r="W148" s="201">
        <f t="shared" si="112"/>
        <v>286</v>
      </c>
      <c r="X148" s="201">
        <f t="shared" si="113"/>
        <v>0</v>
      </c>
    </row>
    <row r="149" spans="1:24" s="169" customFormat="1" ht="26.4">
      <c r="A149" s="192">
        <v>127</v>
      </c>
      <c r="B149" s="165" t="s">
        <v>763</v>
      </c>
      <c r="C149" s="183" t="str">
        <f t="shared" si="59"/>
        <v>1028496</v>
      </c>
      <c r="D149" s="182" t="s">
        <v>1509</v>
      </c>
      <c r="E149" s="206"/>
      <c r="F149" s="207">
        <v>424</v>
      </c>
      <c r="G149" s="207"/>
      <c r="H149" s="205"/>
      <c r="I149" s="167">
        <v>2020800000</v>
      </c>
      <c r="J149" s="166"/>
      <c r="K149" s="167">
        <v>1637000000</v>
      </c>
      <c r="L149" s="168">
        <v>383800000</v>
      </c>
      <c r="M149" s="168">
        <v>1717800000</v>
      </c>
      <c r="N149" s="168">
        <v>303000000</v>
      </c>
      <c r="O149" s="167">
        <v>1732619494</v>
      </c>
      <c r="P149" s="167">
        <v>1485881000</v>
      </c>
      <c r="Q149" s="168">
        <v>246738494</v>
      </c>
      <c r="S149" s="201">
        <f t="shared" si="108"/>
        <v>2020.8</v>
      </c>
      <c r="T149" s="201">
        <f t="shared" si="109"/>
        <v>1717.8</v>
      </c>
      <c r="U149" s="201">
        <f t="shared" si="110"/>
        <v>303</v>
      </c>
      <c r="V149" s="201">
        <f t="shared" si="111"/>
        <v>1732.619494</v>
      </c>
      <c r="W149" s="201">
        <f t="shared" si="112"/>
        <v>1485.8810000000001</v>
      </c>
      <c r="X149" s="201">
        <f t="shared" si="113"/>
        <v>246.738494</v>
      </c>
    </row>
    <row r="150" spans="1:24" s="169" customFormat="1" ht="26.4">
      <c r="A150" s="192">
        <v>128</v>
      </c>
      <c r="B150" s="170" t="s">
        <v>987</v>
      </c>
      <c r="C150" s="183" t="str">
        <f t="shared" si="59"/>
        <v>1047850</v>
      </c>
      <c r="D150" s="182" t="s">
        <v>1490</v>
      </c>
      <c r="E150" s="206"/>
      <c r="F150" s="207">
        <v>423</v>
      </c>
      <c r="G150" s="207"/>
      <c r="H150" s="205"/>
      <c r="I150" s="167">
        <v>396000000</v>
      </c>
      <c r="J150" s="166"/>
      <c r="K150" s="167">
        <v>596060000</v>
      </c>
      <c r="L150" s="168">
        <v>-200060000</v>
      </c>
      <c r="M150" s="168">
        <v>396000000</v>
      </c>
      <c r="N150" s="168"/>
      <c r="O150" s="167">
        <v>395076874</v>
      </c>
      <c r="P150" s="167">
        <v>395076874</v>
      </c>
      <c r="Q150" s="168"/>
      <c r="S150" s="201">
        <f t="shared" si="108"/>
        <v>396</v>
      </c>
      <c r="T150" s="201">
        <f t="shared" si="109"/>
        <v>396</v>
      </c>
      <c r="U150" s="201">
        <f t="shared" si="110"/>
        <v>0</v>
      </c>
      <c r="V150" s="201">
        <f t="shared" si="111"/>
        <v>395.07687399999998</v>
      </c>
      <c r="W150" s="201">
        <f t="shared" si="112"/>
        <v>395.07687399999998</v>
      </c>
      <c r="X150" s="201">
        <f t="shared" si="113"/>
        <v>0</v>
      </c>
    </row>
    <row r="151" spans="1:24" s="169" customFormat="1" ht="27.6">
      <c r="A151" s="192">
        <v>129</v>
      </c>
      <c r="B151" s="165" t="s">
        <v>758</v>
      </c>
      <c r="C151" s="183" t="str">
        <f t="shared" ref="C151:C214" si="114">IF(B151&lt;&gt;"",IF(AND(LEFT(B151,1)&gt;="0",LEFT(B151,1)&lt;="9"),LEFT(B151,7),""),"")</f>
        <v>1027233</v>
      </c>
      <c r="D151" s="182" t="s">
        <v>1560</v>
      </c>
      <c r="E151" s="206"/>
      <c r="F151" s="207">
        <v>599</v>
      </c>
      <c r="G151" s="207"/>
      <c r="H151" s="205"/>
      <c r="I151" s="167">
        <v>1496245345</v>
      </c>
      <c r="J151" s="166"/>
      <c r="K151" s="167">
        <v>1454155345</v>
      </c>
      <c r="L151" s="168">
        <v>42090000</v>
      </c>
      <c r="M151" s="168">
        <v>1496245345</v>
      </c>
      <c r="N151" s="168"/>
      <c r="O151" s="167">
        <v>1496245345</v>
      </c>
      <c r="P151" s="167">
        <v>1496245345</v>
      </c>
      <c r="Q151" s="168"/>
      <c r="S151" s="201">
        <f t="shared" si="108"/>
        <v>1496.245345</v>
      </c>
      <c r="T151" s="201">
        <f t="shared" si="109"/>
        <v>1496.245345</v>
      </c>
      <c r="U151" s="201">
        <f t="shared" si="110"/>
        <v>0</v>
      </c>
      <c r="V151" s="201">
        <f t="shared" si="111"/>
        <v>1496.245345</v>
      </c>
      <c r="W151" s="201">
        <f t="shared" si="112"/>
        <v>1496.245345</v>
      </c>
      <c r="X151" s="201">
        <f t="shared" si="113"/>
        <v>0</v>
      </c>
    </row>
    <row r="152" spans="1:24" s="169" customFormat="1" ht="26.4">
      <c r="A152" s="192">
        <v>130</v>
      </c>
      <c r="B152" s="165" t="s">
        <v>716</v>
      </c>
      <c r="C152" s="183" t="str">
        <f t="shared" si="114"/>
        <v>1012077</v>
      </c>
      <c r="D152" s="182" t="s">
        <v>1537</v>
      </c>
      <c r="E152" s="206"/>
      <c r="F152" s="207">
        <v>422</v>
      </c>
      <c r="G152" s="207"/>
      <c r="H152" s="205"/>
      <c r="I152" s="167">
        <v>4857048174</v>
      </c>
      <c r="J152" s="167">
        <v>56000174</v>
      </c>
      <c r="K152" s="167">
        <v>4651911000</v>
      </c>
      <c r="L152" s="168">
        <v>149137000</v>
      </c>
      <c r="M152" s="168">
        <v>4857048174</v>
      </c>
      <c r="N152" s="168"/>
      <c r="O152" s="167">
        <v>4810916674</v>
      </c>
      <c r="P152" s="167">
        <v>4810916674</v>
      </c>
      <c r="Q152" s="168"/>
      <c r="S152" s="201">
        <f t="shared" si="108"/>
        <v>4857.0481739999996</v>
      </c>
      <c r="T152" s="201">
        <f t="shared" si="109"/>
        <v>4857.0481739999996</v>
      </c>
      <c r="U152" s="201">
        <f t="shared" si="110"/>
        <v>0</v>
      </c>
      <c r="V152" s="201">
        <f t="shared" si="111"/>
        <v>4810.9166740000001</v>
      </c>
      <c r="W152" s="201">
        <f t="shared" si="112"/>
        <v>4810.9166740000001</v>
      </c>
      <c r="X152" s="201">
        <f t="shared" si="113"/>
        <v>0</v>
      </c>
    </row>
    <row r="153" spans="1:24" s="169" customFormat="1" ht="27">
      <c r="A153" s="192">
        <v>131</v>
      </c>
      <c r="B153" s="165" t="s">
        <v>728</v>
      </c>
      <c r="C153" s="183" t="str">
        <f t="shared" si="114"/>
        <v>1014915</v>
      </c>
      <c r="D153" s="182" t="s">
        <v>1556</v>
      </c>
      <c r="E153" s="206"/>
      <c r="F153" s="207">
        <v>412</v>
      </c>
      <c r="G153" s="207"/>
      <c r="H153" s="205"/>
      <c r="I153" s="167">
        <v>2371016000</v>
      </c>
      <c r="J153" s="167">
        <v>64000000</v>
      </c>
      <c r="K153" s="167">
        <v>1697000000</v>
      </c>
      <c r="L153" s="168">
        <v>610016000</v>
      </c>
      <c r="M153" s="168">
        <v>2371016000</v>
      </c>
      <c r="N153" s="168"/>
      <c r="O153" s="167">
        <v>2046807375</v>
      </c>
      <c r="P153" s="167">
        <v>2046807375</v>
      </c>
      <c r="Q153" s="168"/>
      <c r="S153" s="201">
        <f t="shared" si="108"/>
        <v>2371.0160000000001</v>
      </c>
      <c r="T153" s="201">
        <f t="shared" si="109"/>
        <v>2371.0160000000001</v>
      </c>
      <c r="U153" s="201">
        <f t="shared" si="110"/>
        <v>0</v>
      </c>
      <c r="V153" s="201">
        <f t="shared" si="111"/>
        <v>2046.8073750000001</v>
      </c>
      <c r="W153" s="201">
        <f t="shared" si="112"/>
        <v>2046.8073750000001</v>
      </c>
      <c r="X153" s="201">
        <f t="shared" si="113"/>
        <v>0</v>
      </c>
    </row>
    <row r="154" spans="1:24" s="169" customFormat="1" ht="26.4">
      <c r="A154" s="192">
        <v>132</v>
      </c>
      <c r="B154" s="165" t="s">
        <v>1305</v>
      </c>
      <c r="C154" s="183" t="str">
        <f t="shared" si="114"/>
        <v>1105924</v>
      </c>
      <c r="D154" s="182" t="s">
        <v>1657</v>
      </c>
      <c r="E154" s="206"/>
      <c r="F154" s="207">
        <v>511</v>
      </c>
      <c r="G154" s="207"/>
      <c r="H154" s="205"/>
      <c r="I154" s="167">
        <v>445000000</v>
      </c>
      <c r="J154" s="166"/>
      <c r="K154" s="167">
        <v>445000000</v>
      </c>
      <c r="L154" s="171"/>
      <c r="M154" s="168">
        <v>445000000</v>
      </c>
      <c r="N154" s="171"/>
      <c r="O154" s="167">
        <v>445000000</v>
      </c>
      <c r="P154" s="167">
        <v>445000000</v>
      </c>
      <c r="Q154" s="171"/>
      <c r="S154" s="201">
        <f t="shared" ref="S154:S161" si="115">I154/1000000</f>
        <v>445</v>
      </c>
      <c r="T154" s="201">
        <f t="shared" ref="T154:T161" si="116">M154/1000000</f>
        <v>445</v>
      </c>
      <c r="U154" s="201">
        <f t="shared" ref="U154:U161" si="117">N154/1000000</f>
        <v>0</v>
      </c>
      <c r="V154" s="201">
        <f t="shared" ref="V154:V161" si="118">O154/1000000</f>
        <v>445</v>
      </c>
      <c r="W154" s="201">
        <f t="shared" ref="W154:W161" si="119">P154/1000000</f>
        <v>445</v>
      </c>
      <c r="X154" s="201">
        <f t="shared" ref="X154:X161" si="120">Q154/1000000</f>
        <v>0</v>
      </c>
    </row>
    <row r="155" spans="1:24" s="169" customFormat="1" ht="27.6">
      <c r="A155" s="192">
        <v>133</v>
      </c>
      <c r="B155" s="165" t="s">
        <v>933</v>
      </c>
      <c r="C155" s="183" t="str">
        <f t="shared" si="114"/>
        <v>1037642</v>
      </c>
      <c r="D155" s="182" t="s">
        <v>1589</v>
      </c>
      <c r="E155" s="206"/>
      <c r="F155" s="207">
        <v>425</v>
      </c>
      <c r="G155" s="207"/>
      <c r="H155" s="205"/>
      <c r="I155" s="167">
        <v>7783848759</v>
      </c>
      <c r="J155" s="167">
        <v>90364759</v>
      </c>
      <c r="K155" s="167">
        <v>7548000000</v>
      </c>
      <c r="L155" s="168">
        <v>145484000</v>
      </c>
      <c r="M155" s="168">
        <v>7783848759</v>
      </c>
      <c r="N155" s="168"/>
      <c r="O155" s="167">
        <v>7756553419</v>
      </c>
      <c r="P155" s="167">
        <v>7756553419</v>
      </c>
      <c r="Q155" s="168"/>
      <c r="S155" s="201">
        <f t="shared" si="115"/>
        <v>7783.8487590000004</v>
      </c>
      <c r="T155" s="201">
        <f t="shared" si="116"/>
        <v>7783.8487590000004</v>
      </c>
      <c r="U155" s="201">
        <f t="shared" si="117"/>
        <v>0</v>
      </c>
      <c r="V155" s="201">
        <f t="shared" si="118"/>
        <v>7756.5534189999998</v>
      </c>
      <c r="W155" s="201">
        <f t="shared" si="119"/>
        <v>7756.5534189999998</v>
      </c>
      <c r="X155" s="201">
        <f t="shared" si="120"/>
        <v>0</v>
      </c>
    </row>
    <row r="156" spans="1:24" s="169" customFormat="1" ht="39.6">
      <c r="A156" s="192">
        <v>134</v>
      </c>
      <c r="B156" s="165" t="s">
        <v>1128</v>
      </c>
      <c r="C156" s="183" t="str">
        <f t="shared" si="114"/>
        <v>1060884</v>
      </c>
      <c r="D156" s="182" t="s">
        <v>1519</v>
      </c>
      <c r="E156" s="206"/>
      <c r="F156" s="207">
        <v>416</v>
      </c>
      <c r="G156" s="207"/>
      <c r="H156" s="205"/>
      <c r="I156" s="167">
        <v>2767971685</v>
      </c>
      <c r="J156" s="167">
        <v>646685</v>
      </c>
      <c r="K156" s="167">
        <v>3590000000</v>
      </c>
      <c r="L156" s="168">
        <v>-822675000</v>
      </c>
      <c r="M156" s="168">
        <v>2767971685</v>
      </c>
      <c r="N156" s="168"/>
      <c r="O156" s="167">
        <v>2634948685</v>
      </c>
      <c r="P156" s="167">
        <v>2634948685</v>
      </c>
      <c r="Q156" s="168"/>
      <c r="S156" s="201">
        <f t="shared" si="115"/>
        <v>2767.971685</v>
      </c>
      <c r="T156" s="201">
        <f t="shared" si="116"/>
        <v>2767.971685</v>
      </c>
      <c r="U156" s="201">
        <f t="shared" si="117"/>
        <v>0</v>
      </c>
      <c r="V156" s="201">
        <f t="shared" si="118"/>
        <v>2634.9486849999998</v>
      </c>
      <c r="W156" s="201">
        <f t="shared" si="119"/>
        <v>2634.9486849999998</v>
      </c>
      <c r="X156" s="201">
        <f t="shared" si="120"/>
        <v>0</v>
      </c>
    </row>
    <row r="157" spans="1:24" s="169" customFormat="1" ht="26.4">
      <c r="A157" s="192">
        <v>135</v>
      </c>
      <c r="B157" s="165" t="s">
        <v>725</v>
      </c>
      <c r="C157" s="183" t="str">
        <f t="shared" si="114"/>
        <v>1014914</v>
      </c>
      <c r="D157" s="182" t="s">
        <v>1539</v>
      </c>
      <c r="E157" s="206"/>
      <c r="F157" s="207">
        <v>412</v>
      </c>
      <c r="G157" s="207"/>
      <c r="H157" s="205"/>
      <c r="I157" s="167">
        <v>12521100000</v>
      </c>
      <c r="J157" s="167">
        <v>540000000</v>
      </c>
      <c r="K157" s="167">
        <v>11788000000</v>
      </c>
      <c r="L157" s="168">
        <v>193100000</v>
      </c>
      <c r="M157" s="168">
        <v>12521100000</v>
      </c>
      <c r="N157" s="168"/>
      <c r="O157" s="167">
        <v>11900946662</v>
      </c>
      <c r="P157" s="167">
        <v>11900946662</v>
      </c>
      <c r="Q157" s="168"/>
      <c r="S157" s="201">
        <f t="shared" si="115"/>
        <v>12521.1</v>
      </c>
      <c r="T157" s="201">
        <f t="shared" si="116"/>
        <v>12521.1</v>
      </c>
      <c r="U157" s="201">
        <f t="shared" si="117"/>
        <v>0</v>
      </c>
      <c r="V157" s="201">
        <f t="shared" si="118"/>
        <v>11900.946662</v>
      </c>
      <c r="W157" s="201">
        <f t="shared" si="119"/>
        <v>11900.946662</v>
      </c>
      <c r="X157" s="201">
        <f t="shared" si="120"/>
        <v>0</v>
      </c>
    </row>
    <row r="158" spans="1:24" s="169" customFormat="1" ht="26.4">
      <c r="A158" s="192">
        <v>136</v>
      </c>
      <c r="B158" s="165" t="s">
        <v>773</v>
      </c>
      <c r="C158" s="183" t="str">
        <f t="shared" si="114"/>
        <v>1029922</v>
      </c>
      <c r="D158" s="182" t="s">
        <v>1597</v>
      </c>
      <c r="E158" s="206"/>
      <c r="F158" s="207">
        <v>423</v>
      </c>
      <c r="G158" s="207"/>
      <c r="H158" s="205"/>
      <c r="I158" s="167">
        <v>1699710000</v>
      </c>
      <c r="J158" s="166"/>
      <c r="K158" s="167">
        <v>2456750000</v>
      </c>
      <c r="L158" s="168">
        <v>-757040000</v>
      </c>
      <c r="M158" s="168">
        <v>1699710000</v>
      </c>
      <c r="N158" s="168"/>
      <c r="O158" s="167">
        <v>1699702182</v>
      </c>
      <c r="P158" s="167">
        <v>1699702182</v>
      </c>
      <c r="Q158" s="168"/>
      <c r="S158" s="201">
        <f t="shared" si="115"/>
        <v>1699.71</v>
      </c>
      <c r="T158" s="201">
        <f t="shared" si="116"/>
        <v>1699.71</v>
      </c>
      <c r="U158" s="201">
        <f t="shared" si="117"/>
        <v>0</v>
      </c>
      <c r="V158" s="201">
        <f t="shared" si="118"/>
        <v>1699.702182</v>
      </c>
      <c r="W158" s="201">
        <f t="shared" si="119"/>
        <v>1699.702182</v>
      </c>
      <c r="X158" s="201">
        <f t="shared" si="120"/>
        <v>0</v>
      </c>
    </row>
    <row r="159" spans="1:24" s="169" customFormat="1" ht="27.6">
      <c r="A159" s="192">
        <v>137</v>
      </c>
      <c r="B159" s="176" t="s">
        <v>1005</v>
      </c>
      <c r="C159" s="183" t="str">
        <f t="shared" si="114"/>
        <v>1047958</v>
      </c>
      <c r="D159" s="182" t="s">
        <v>1596</v>
      </c>
      <c r="E159" s="206"/>
      <c r="F159" s="207">
        <v>423</v>
      </c>
      <c r="G159" s="207"/>
      <c r="H159" s="205"/>
      <c r="I159" s="167">
        <v>2770911000</v>
      </c>
      <c r="J159" s="166"/>
      <c r="K159" s="167">
        <v>2704120000</v>
      </c>
      <c r="L159" s="168">
        <v>66791000</v>
      </c>
      <c r="M159" s="168">
        <v>2770911000</v>
      </c>
      <c r="N159" s="168"/>
      <c r="O159" s="167">
        <v>2758075732</v>
      </c>
      <c r="P159" s="167">
        <v>2758075732</v>
      </c>
      <c r="Q159" s="168"/>
      <c r="S159" s="201">
        <f t="shared" si="115"/>
        <v>2770.9110000000001</v>
      </c>
      <c r="T159" s="201">
        <f t="shared" si="116"/>
        <v>2770.9110000000001</v>
      </c>
      <c r="U159" s="201">
        <f t="shared" si="117"/>
        <v>0</v>
      </c>
      <c r="V159" s="201">
        <f t="shared" si="118"/>
        <v>2758.0757319999998</v>
      </c>
      <c r="W159" s="201">
        <f t="shared" si="119"/>
        <v>2758.0757319999998</v>
      </c>
      <c r="X159" s="201">
        <f t="shared" si="120"/>
        <v>0</v>
      </c>
    </row>
    <row r="160" spans="1:24" s="169" customFormat="1" ht="26.4">
      <c r="A160" s="192">
        <v>138</v>
      </c>
      <c r="B160" s="165" t="s">
        <v>1028</v>
      </c>
      <c r="C160" s="183" t="str">
        <f t="shared" si="114"/>
        <v>1048059</v>
      </c>
      <c r="D160" s="182" t="s">
        <v>1609</v>
      </c>
      <c r="E160" s="206"/>
      <c r="F160" s="207">
        <v>423</v>
      </c>
      <c r="G160" s="207"/>
      <c r="H160" s="205"/>
      <c r="I160" s="167">
        <v>7711291000</v>
      </c>
      <c r="J160" s="166"/>
      <c r="K160" s="167">
        <v>6662000000</v>
      </c>
      <c r="L160" s="168">
        <v>1049291000</v>
      </c>
      <c r="M160" s="168">
        <v>7711291000</v>
      </c>
      <c r="N160" s="168"/>
      <c r="O160" s="167">
        <v>6886885750</v>
      </c>
      <c r="P160" s="167">
        <v>6886885750</v>
      </c>
      <c r="Q160" s="168"/>
      <c r="S160" s="201">
        <f t="shared" si="115"/>
        <v>7711.2910000000002</v>
      </c>
      <c r="T160" s="201">
        <f t="shared" si="116"/>
        <v>7711.2910000000002</v>
      </c>
      <c r="U160" s="201">
        <f t="shared" si="117"/>
        <v>0</v>
      </c>
      <c r="V160" s="201">
        <f t="shared" si="118"/>
        <v>6886.8857500000004</v>
      </c>
      <c r="W160" s="201">
        <f t="shared" si="119"/>
        <v>6886.8857500000004</v>
      </c>
      <c r="X160" s="201">
        <f t="shared" si="120"/>
        <v>0</v>
      </c>
    </row>
    <row r="161" spans="1:24" s="169" customFormat="1" ht="39.6">
      <c r="A161" s="192">
        <v>139</v>
      </c>
      <c r="B161" s="165" t="s">
        <v>1322</v>
      </c>
      <c r="C161" s="183" t="str">
        <f t="shared" si="114"/>
        <v>1109490</v>
      </c>
      <c r="D161" s="182" t="s">
        <v>1660</v>
      </c>
      <c r="E161" s="206"/>
      <c r="F161" s="207">
        <v>417</v>
      </c>
      <c r="G161" s="207"/>
      <c r="H161" s="205"/>
      <c r="I161" s="167">
        <v>741076918</v>
      </c>
      <c r="J161" s="167">
        <v>76918</v>
      </c>
      <c r="K161" s="167">
        <v>732700000</v>
      </c>
      <c r="L161" s="168">
        <v>8300000</v>
      </c>
      <c r="M161" s="168">
        <v>741076918</v>
      </c>
      <c r="N161" s="168"/>
      <c r="O161" s="167">
        <v>719092918</v>
      </c>
      <c r="P161" s="167">
        <v>719092918</v>
      </c>
      <c r="Q161" s="168"/>
      <c r="S161" s="201">
        <f t="shared" si="115"/>
        <v>741.07691799999998</v>
      </c>
      <c r="T161" s="201">
        <f t="shared" si="116"/>
        <v>741.07691799999998</v>
      </c>
      <c r="U161" s="201">
        <f t="shared" si="117"/>
        <v>0</v>
      </c>
      <c r="V161" s="201">
        <f t="shared" si="118"/>
        <v>719.09291800000005</v>
      </c>
      <c r="W161" s="201">
        <f t="shared" si="119"/>
        <v>719.09291800000005</v>
      </c>
      <c r="X161" s="201">
        <f t="shared" si="120"/>
        <v>0</v>
      </c>
    </row>
    <row r="162" spans="1:24" s="169" customFormat="1" ht="39.6">
      <c r="A162" s="192">
        <v>140</v>
      </c>
      <c r="B162" s="176" t="s">
        <v>1399</v>
      </c>
      <c r="C162" s="183" t="str">
        <f t="shared" si="114"/>
        <v>1125318</v>
      </c>
      <c r="D162" s="182" t="s">
        <v>1505</v>
      </c>
      <c r="E162" s="206"/>
      <c r="F162" s="207">
        <v>599</v>
      </c>
      <c r="G162" s="207"/>
      <c r="H162" s="205"/>
      <c r="I162" s="167">
        <v>1173877622</v>
      </c>
      <c r="J162" s="166"/>
      <c r="K162" s="167">
        <v>1150957622</v>
      </c>
      <c r="L162" s="168">
        <v>22920000</v>
      </c>
      <c r="M162" s="168">
        <v>1173877622</v>
      </c>
      <c r="N162" s="168"/>
      <c r="O162" s="167">
        <v>1173877622</v>
      </c>
      <c r="P162" s="167">
        <v>1173877622</v>
      </c>
      <c r="Q162" s="168"/>
      <c r="S162" s="201">
        <f t="shared" ref="S162:S171" si="121">I162/1000000</f>
        <v>1173.877622</v>
      </c>
      <c r="T162" s="201">
        <f t="shared" ref="T162:T171" si="122">M162/1000000</f>
        <v>1173.877622</v>
      </c>
      <c r="U162" s="201">
        <f t="shared" ref="U162:U171" si="123">N162/1000000</f>
        <v>0</v>
      </c>
      <c r="V162" s="201">
        <f t="shared" ref="V162:V171" si="124">O162/1000000</f>
        <v>1173.877622</v>
      </c>
      <c r="W162" s="201">
        <f t="shared" ref="W162:W171" si="125">P162/1000000</f>
        <v>1173.877622</v>
      </c>
      <c r="X162" s="201">
        <f t="shared" ref="X162:X171" si="126">Q162/1000000</f>
        <v>0</v>
      </c>
    </row>
    <row r="163" spans="1:24" s="169" customFormat="1" ht="26.4">
      <c r="A163" s="192">
        <v>141</v>
      </c>
      <c r="B163" s="165" t="s">
        <v>833</v>
      </c>
      <c r="C163" s="183" t="str">
        <f t="shared" si="114"/>
        <v>1037424</v>
      </c>
      <c r="D163" s="182" t="s">
        <v>1575</v>
      </c>
      <c r="E163" s="206"/>
      <c r="F163" s="207">
        <v>422</v>
      </c>
      <c r="G163" s="207"/>
      <c r="H163" s="205"/>
      <c r="I163" s="167">
        <v>1584079455</v>
      </c>
      <c r="J163" s="167">
        <v>300787455</v>
      </c>
      <c r="K163" s="167">
        <v>1283292000</v>
      </c>
      <c r="L163" s="171"/>
      <c r="M163" s="168">
        <v>1584079455</v>
      </c>
      <c r="N163" s="171"/>
      <c r="O163" s="167">
        <v>1538012413</v>
      </c>
      <c r="P163" s="167">
        <v>1538012413</v>
      </c>
      <c r="Q163" s="171"/>
      <c r="S163" s="201">
        <f t="shared" si="121"/>
        <v>1584.0794550000001</v>
      </c>
      <c r="T163" s="201">
        <f t="shared" si="122"/>
        <v>1584.0794550000001</v>
      </c>
      <c r="U163" s="201">
        <f t="shared" si="123"/>
        <v>0</v>
      </c>
      <c r="V163" s="201">
        <f t="shared" si="124"/>
        <v>1538.0124129999999</v>
      </c>
      <c r="W163" s="201">
        <f t="shared" si="125"/>
        <v>1538.0124129999999</v>
      </c>
      <c r="X163" s="201">
        <f t="shared" si="126"/>
        <v>0</v>
      </c>
    </row>
    <row r="164" spans="1:24" s="169" customFormat="1" ht="26.4">
      <c r="A164" s="192">
        <v>142</v>
      </c>
      <c r="B164" s="165" t="s">
        <v>734</v>
      </c>
      <c r="C164" s="183" t="str">
        <f t="shared" si="114"/>
        <v>1015165</v>
      </c>
      <c r="D164" s="182" t="s">
        <v>1478</v>
      </c>
      <c r="E164" s="206"/>
      <c r="F164" s="207">
        <v>412</v>
      </c>
      <c r="G164" s="207"/>
      <c r="H164" s="205"/>
      <c r="I164" s="167">
        <v>4966667000</v>
      </c>
      <c r="J164" s="167">
        <v>2823967000</v>
      </c>
      <c r="K164" s="167">
        <v>2114000000</v>
      </c>
      <c r="L164" s="168">
        <v>28700000</v>
      </c>
      <c r="M164" s="168">
        <v>4966667000</v>
      </c>
      <c r="N164" s="168"/>
      <c r="O164" s="167">
        <v>4757081000</v>
      </c>
      <c r="P164" s="167">
        <v>4757081000</v>
      </c>
      <c r="Q164" s="168"/>
      <c r="S164" s="201">
        <f t="shared" si="121"/>
        <v>4966.6670000000004</v>
      </c>
      <c r="T164" s="201">
        <f t="shared" si="122"/>
        <v>4966.6670000000004</v>
      </c>
      <c r="U164" s="201">
        <f t="shared" si="123"/>
        <v>0</v>
      </c>
      <c r="V164" s="201">
        <f t="shared" si="124"/>
        <v>4757.0810000000001</v>
      </c>
      <c r="W164" s="201">
        <f t="shared" si="125"/>
        <v>4757.0810000000001</v>
      </c>
      <c r="X164" s="201">
        <f t="shared" si="126"/>
        <v>0</v>
      </c>
    </row>
    <row r="165" spans="1:24" s="169" customFormat="1" ht="26.4">
      <c r="A165" s="192">
        <v>143</v>
      </c>
      <c r="B165" s="176" t="s">
        <v>1372</v>
      </c>
      <c r="C165" s="183" t="str">
        <f t="shared" si="114"/>
        <v>1123648</v>
      </c>
      <c r="D165" s="182" t="s">
        <v>1528</v>
      </c>
      <c r="E165" s="206"/>
      <c r="F165" s="207">
        <v>423</v>
      </c>
      <c r="G165" s="207"/>
      <c r="H165" s="205"/>
      <c r="I165" s="167">
        <v>1952810000</v>
      </c>
      <c r="J165" s="166"/>
      <c r="K165" s="167">
        <v>1452810000</v>
      </c>
      <c r="L165" s="168">
        <v>500000000</v>
      </c>
      <c r="M165" s="168">
        <v>1952810000</v>
      </c>
      <c r="N165" s="168"/>
      <c r="O165" s="167">
        <v>1952810000</v>
      </c>
      <c r="P165" s="167">
        <v>1952810000</v>
      </c>
      <c r="Q165" s="168"/>
      <c r="S165" s="201">
        <f t="shared" si="121"/>
        <v>1952.81</v>
      </c>
      <c r="T165" s="201">
        <f t="shared" si="122"/>
        <v>1952.81</v>
      </c>
      <c r="U165" s="201">
        <f t="shared" si="123"/>
        <v>0</v>
      </c>
      <c r="V165" s="201">
        <f t="shared" si="124"/>
        <v>1952.81</v>
      </c>
      <c r="W165" s="201">
        <f t="shared" si="125"/>
        <v>1952.81</v>
      </c>
      <c r="X165" s="201">
        <f t="shared" si="126"/>
        <v>0</v>
      </c>
    </row>
    <row r="166" spans="1:24" s="169" customFormat="1" ht="26.4">
      <c r="A166" s="192">
        <v>144</v>
      </c>
      <c r="B166" s="165" t="s">
        <v>793</v>
      </c>
      <c r="C166" s="183" t="str">
        <f t="shared" si="114"/>
        <v>1030470</v>
      </c>
      <c r="D166" s="182" t="s">
        <v>1564</v>
      </c>
      <c r="E166" s="206"/>
      <c r="F166" s="207">
        <v>425</v>
      </c>
      <c r="G166" s="207"/>
      <c r="H166" s="205"/>
      <c r="I166" s="167">
        <v>1301360000</v>
      </c>
      <c r="J166" s="166"/>
      <c r="K166" s="167">
        <v>1267000000</v>
      </c>
      <c r="L166" s="168">
        <v>34360000</v>
      </c>
      <c r="M166" s="168">
        <v>1301360000</v>
      </c>
      <c r="N166" s="168"/>
      <c r="O166" s="167">
        <v>1298169800</v>
      </c>
      <c r="P166" s="167">
        <v>1298169800</v>
      </c>
      <c r="Q166" s="168"/>
      <c r="S166" s="201">
        <f t="shared" si="121"/>
        <v>1301.3599999999999</v>
      </c>
      <c r="T166" s="201">
        <f t="shared" si="122"/>
        <v>1301.3599999999999</v>
      </c>
      <c r="U166" s="201">
        <f t="shared" si="123"/>
        <v>0</v>
      </c>
      <c r="V166" s="201">
        <f t="shared" si="124"/>
        <v>1298.1697999999999</v>
      </c>
      <c r="W166" s="201">
        <f t="shared" si="125"/>
        <v>1298.1697999999999</v>
      </c>
      <c r="X166" s="201">
        <f t="shared" si="126"/>
        <v>0</v>
      </c>
    </row>
    <row r="167" spans="1:24" s="169" customFormat="1" ht="26.4">
      <c r="A167" s="192">
        <v>145</v>
      </c>
      <c r="B167" s="170" t="s">
        <v>1187</v>
      </c>
      <c r="C167" s="183" t="str">
        <f t="shared" si="114"/>
        <v>1078439</v>
      </c>
      <c r="D167" s="182" t="s">
        <v>1640</v>
      </c>
      <c r="E167" s="206"/>
      <c r="F167" s="207">
        <v>426</v>
      </c>
      <c r="G167" s="207"/>
      <c r="H167" s="205"/>
      <c r="I167" s="167">
        <v>1319300000</v>
      </c>
      <c r="J167" s="166"/>
      <c r="K167" s="167">
        <v>574000000</v>
      </c>
      <c r="L167" s="168">
        <v>745300000</v>
      </c>
      <c r="M167" s="168">
        <v>1319300000</v>
      </c>
      <c r="N167" s="168"/>
      <c r="O167" s="167">
        <v>1209620328</v>
      </c>
      <c r="P167" s="167">
        <v>1209620328</v>
      </c>
      <c r="Q167" s="168"/>
      <c r="S167" s="201">
        <f t="shared" si="121"/>
        <v>1319.3</v>
      </c>
      <c r="T167" s="201">
        <f t="shared" si="122"/>
        <v>1319.3</v>
      </c>
      <c r="U167" s="201">
        <f t="shared" si="123"/>
        <v>0</v>
      </c>
      <c r="V167" s="201">
        <f t="shared" si="124"/>
        <v>1209.620328</v>
      </c>
      <c r="W167" s="201">
        <f t="shared" si="125"/>
        <v>1209.620328</v>
      </c>
      <c r="X167" s="201">
        <f t="shared" si="126"/>
        <v>0</v>
      </c>
    </row>
    <row r="168" spans="1:24" s="169" customFormat="1" ht="26.4">
      <c r="A168" s="192">
        <v>146</v>
      </c>
      <c r="B168" s="176" t="s">
        <v>1032</v>
      </c>
      <c r="C168" s="183" t="str">
        <f t="shared" si="114"/>
        <v>1048060</v>
      </c>
      <c r="D168" s="182" t="s">
        <v>1610</v>
      </c>
      <c r="E168" s="206"/>
      <c r="F168" s="207">
        <v>423</v>
      </c>
      <c r="G168" s="207"/>
      <c r="H168" s="205"/>
      <c r="I168" s="167">
        <v>10352900000</v>
      </c>
      <c r="J168" s="166"/>
      <c r="K168" s="167">
        <v>9590530000</v>
      </c>
      <c r="L168" s="168">
        <v>762370000</v>
      </c>
      <c r="M168" s="168">
        <v>10352900000</v>
      </c>
      <c r="N168" s="168"/>
      <c r="O168" s="167">
        <v>9844063383</v>
      </c>
      <c r="P168" s="167">
        <v>9844063383</v>
      </c>
      <c r="Q168" s="168"/>
      <c r="S168" s="201">
        <f t="shared" si="121"/>
        <v>10352.9</v>
      </c>
      <c r="T168" s="201">
        <f t="shared" si="122"/>
        <v>10352.9</v>
      </c>
      <c r="U168" s="201">
        <f t="shared" si="123"/>
        <v>0</v>
      </c>
      <c r="V168" s="201">
        <f t="shared" si="124"/>
        <v>9844.0633830000006</v>
      </c>
      <c r="W168" s="201">
        <f t="shared" si="125"/>
        <v>9844.0633830000006</v>
      </c>
      <c r="X168" s="201">
        <f t="shared" si="126"/>
        <v>0</v>
      </c>
    </row>
    <row r="169" spans="1:24" s="169" customFormat="1" ht="26.4">
      <c r="A169" s="192">
        <v>147</v>
      </c>
      <c r="B169" s="176" t="s">
        <v>1318</v>
      </c>
      <c r="C169" s="183" t="str">
        <f t="shared" si="114"/>
        <v>1108872</v>
      </c>
      <c r="D169" s="182" t="s">
        <v>1527</v>
      </c>
      <c r="E169" s="206"/>
      <c r="F169" s="207">
        <v>423</v>
      </c>
      <c r="G169" s="207"/>
      <c r="H169" s="205"/>
      <c r="I169" s="167">
        <v>3494539000</v>
      </c>
      <c r="J169" s="166"/>
      <c r="K169" s="167">
        <v>3286390000</v>
      </c>
      <c r="L169" s="168">
        <v>208149000</v>
      </c>
      <c r="M169" s="168">
        <v>3494539000</v>
      </c>
      <c r="N169" s="168"/>
      <c r="O169" s="167">
        <v>3494539000</v>
      </c>
      <c r="P169" s="167">
        <v>3494539000</v>
      </c>
      <c r="Q169" s="168"/>
      <c r="S169" s="201">
        <f t="shared" si="121"/>
        <v>3494.5390000000002</v>
      </c>
      <c r="T169" s="201">
        <f t="shared" si="122"/>
        <v>3494.5390000000002</v>
      </c>
      <c r="U169" s="201">
        <f t="shared" si="123"/>
        <v>0</v>
      </c>
      <c r="V169" s="201">
        <f t="shared" si="124"/>
        <v>3494.5390000000002</v>
      </c>
      <c r="W169" s="201">
        <f t="shared" si="125"/>
        <v>3494.5390000000002</v>
      </c>
      <c r="X169" s="201">
        <f t="shared" si="126"/>
        <v>0</v>
      </c>
    </row>
    <row r="170" spans="1:24" s="169" customFormat="1" ht="26.4">
      <c r="A170" s="192">
        <v>148</v>
      </c>
      <c r="B170" s="165" t="s">
        <v>983</v>
      </c>
      <c r="C170" s="183" t="str">
        <f t="shared" si="114"/>
        <v>1047849</v>
      </c>
      <c r="D170" s="182" t="s">
        <v>1489</v>
      </c>
      <c r="E170" s="206"/>
      <c r="F170" s="207">
        <v>423</v>
      </c>
      <c r="G170" s="207"/>
      <c r="H170" s="205"/>
      <c r="I170" s="167">
        <v>2776100000</v>
      </c>
      <c r="J170" s="166"/>
      <c r="K170" s="167">
        <v>2586159572</v>
      </c>
      <c r="L170" s="168">
        <v>189940428</v>
      </c>
      <c r="M170" s="168">
        <v>2776100000</v>
      </c>
      <c r="N170" s="168"/>
      <c r="O170" s="167">
        <v>2776100000</v>
      </c>
      <c r="P170" s="167">
        <v>2776100000</v>
      </c>
      <c r="Q170" s="168"/>
      <c r="S170" s="201">
        <f t="shared" si="121"/>
        <v>2776.1</v>
      </c>
      <c r="T170" s="201">
        <f t="shared" si="122"/>
        <v>2776.1</v>
      </c>
      <c r="U170" s="201">
        <f t="shared" si="123"/>
        <v>0</v>
      </c>
      <c r="V170" s="201">
        <f t="shared" si="124"/>
        <v>2776.1</v>
      </c>
      <c r="W170" s="201">
        <f t="shared" si="125"/>
        <v>2776.1</v>
      </c>
      <c r="X170" s="201">
        <f t="shared" si="126"/>
        <v>0</v>
      </c>
    </row>
    <row r="171" spans="1:24" s="169" customFormat="1" ht="27.6">
      <c r="A171" s="192">
        <v>149</v>
      </c>
      <c r="B171" s="165" t="s">
        <v>1261</v>
      </c>
      <c r="C171" s="183" t="str">
        <f t="shared" si="114"/>
        <v>1096607</v>
      </c>
      <c r="D171" s="182" t="s">
        <v>1525</v>
      </c>
      <c r="E171" s="206"/>
      <c r="F171" s="207">
        <v>426</v>
      </c>
      <c r="G171" s="207"/>
      <c r="H171" s="205"/>
      <c r="I171" s="167">
        <v>1069100000</v>
      </c>
      <c r="J171" s="166"/>
      <c r="K171" s="167">
        <v>1069100000</v>
      </c>
      <c r="L171" s="171"/>
      <c r="M171" s="168">
        <v>1069100000</v>
      </c>
      <c r="N171" s="171"/>
      <c r="O171" s="167">
        <v>1069100000</v>
      </c>
      <c r="P171" s="167">
        <v>1069100000</v>
      </c>
      <c r="Q171" s="171"/>
      <c r="S171" s="201">
        <f t="shared" si="121"/>
        <v>1069.0999999999999</v>
      </c>
      <c r="T171" s="201">
        <f t="shared" si="122"/>
        <v>1069.0999999999999</v>
      </c>
      <c r="U171" s="201">
        <f t="shared" si="123"/>
        <v>0</v>
      </c>
      <c r="V171" s="201">
        <f t="shared" si="124"/>
        <v>1069.0999999999999</v>
      </c>
      <c r="W171" s="201">
        <f t="shared" si="125"/>
        <v>1069.0999999999999</v>
      </c>
      <c r="X171" s="201">
        <f t="shared" si="126"/>
        <v>0</v>
      </c>
    </row>
    <row r="172" spans="1:24" s="169" customFormat="1" ht="39.6">
      <c r="A172" s="192">
        <v>150</v>
      </c>
      <c r="B172" s="176" t="s">
        <v>1393</v>
      </c>
      <c r="C172" s="183" t="str">
        <f t="shared" si="114"/>
        <v>1125232</v>
      </c>
      <c r="D172" s="182" t="s">
        <v>1531</v>
      </c>
      <c r="E172" s="206"/>
      <c r="F172" s="207">
        <v>417</v>
      </c>
      <c r="G172" s="207"/>
      <c r="H172" s="205"/>
      <c r="I172" s="167">
        <v>350000000</v>
      </c>
      <c r="J172" s="166"/>
      <c r="K172" s="167">
        <v>350000000</v>
      </c>
      <c r="L172" s="171"/>
      <c r="M172" s="168">
        <v>350000000</v>
      </c>
      <c r="N172" s="171"/>
      <c r="O172" s="167">
        <v>350000000</v>
      </c>
      <c r="P172" s="167">
        <v>350000000</v>
      </c>
      <c r="Q172" s="171"/>
      <c r="S172" s="201">
        <f t="shared" ref="S172:S182" si="127">I172/1000000</f>
        <v>350</v>
      </c>
      <c r="T172" s="201">
        <f t="shared" ref="T172:T182" si="128">M172/1000000</f>
        <v>350</v>
      </c>
      <c r="U172" s="201">
        <f t="shared" ref="U172:U182" si="129">N172/1000000</f>
        <v>0</v>
      </c>
      <c r="V172" s="201">
        <f t="shared" ref="V172:V182" si="130">O172/1000000</f>
        <v>350</v>
      </c>
      <c r="W172" s="201">
        <f t="shared" ref="W172:W182" si="131">P172/1000000</f>
        <v>350</v>
      </c>
      <c r="X172" s="201">
        <f t="shared" ref="X172:X182" si="132">Q172/1000000</f>
        <v>0</v>
      </c>
    </row>
    <row r="173" spans="1:24" s="169" customFormat="1" ht="26.4">
      <c r="A173" s="192">
        <v>151</v>
      </c>
      <c r="B173" s="165" t="s">
        <v>852</v>
      </c>
      <c r="C173" s="183" t="str">
        <f t="shared" si="114"/>
        <v>1037480</v>
      </c>
      <c r="D173" s="182" t="s">
        <v>1579</v>
      </c>
      <c r="E173" s="206"/>
      <c r="F173" s="207">
        <v>414</v>
      </c>
      <c r="G173" s="207"/>
      <c r="H173" s="205"/>
      <c r="I173" s="167">
        <v>1584600000</v>
      </c>
      <c r="J173" s="166"/>
      <c r="K173" s="167">
        <v>1558000000</v>
      </c>
      <c r="L173" s="168">
        <v>26600000</v>
      </c>
      <c r="M173" s="168">
        <v>1584600000</v>
      </c>
      <c r="N173" s="168"/>
      <c r="O173" s="167">
        <v>1365288000</v>
      </c>
      <c r="P173" s="167">
        <v>1365288000</v>
      </c>
      <c r="Q173" s="168"/>
      <c r="S173" s="201">
        <f t="shared" si="127"/>
        <v>1584.6</v>
      </c>
      <c r="T173" s="201">
        <f t="shared" si="128"/>
        <v>1584.6</v>
      </c>
      <c r="U173" s="201">
        <f t="shared" si="129"/>
        <v>0</v>
      </c>
      <c r="V173" s="201">
        <f t="shared" si="130"/>
        <v>1365.288</v>
      </c>
      <c r="W173" s="201">
        <f t="shared" si="131"/>
        <v>1365.288</v>
      </c>
      <c r="X173" s="201">
        <f t="shared" si="132"/>
        <v>0</v>
      </c>
    </row>
    <row r="174" spans="1:24" s="169" customFormat="1" ht="26.4">
      <c r="A174" s="192">
        <v>152</v>
      </c>
      <c r="B174" s="165" t="s">
        <v>1092</v>
      </c>
      <c r="C174" s="183" t="str">
        <f t="shared" si="114"/>
        <v>1050718</v>
      </c>
      <c r="D174" s="182" t="s">
        <v>1620</v>
      </c>
      <c r="E174" s="206"/>
      <c r="F174" s="207">
        <v>423</v>
      </c>
      <c r="G174" s="207"/>
      <c r="H174" s="205"/>
      <c r="I174" s="167">
        <v>2308000000</v>
      </c>
      <c r="J174" s="166"/>
      <c r="K174" s="167">
        <v>1911000000</v>
      </c>
      <c r="L174" s="168">
        <v>397000000</v>
      </c>
      <c r="M174" s="168">
        <v>2308000000</v>
      </c>
      <c r="N174" s="168"/>
      <c r="O174" s="167">
        <v>1950000000</v>
      </c>
      <c r="P174" s="167">
        <v>1950000000</v>
      </c>
      <c r="Q174" s="168"/>
      <c r="S174" s="201">
        <f t="shared" si="127"/>
        <v>2308</v>
      </c>
      <c r="T174" s="201">
        <f t="shared" si="128"/>
        <v>2308</v>
      </c>
      <c r="U174" s="201">
        <f t="shared" si="129"/>
        <v>0</v>
      </c>
      <c r="V174" s="201">
        <f t="shared" si="130"/>
        <v>1950</v>
      </c>
      <c r="W174" s="201">
        <f t="shared" si="131"/>
        <v>1950</v>
      </c>
      <c r="X174" s="201">
        <f t="shared" si="132"/>
        <v>0</v>
      </c>
    </row>
    <row r="175" spans="1:24" s="169" customFormat="1" ht="39.6">
      <c r="A175" s="192">
        <v>153</v>
      </c>
      <c r="B175" s="165" t="s">
        <v>1160</v>
      </c>
      <c r="C175" s="183" t="str">
        <f t="shared" si="114"/>
        <v>1065149</v>
      </c>
      <c r="D175" s="182" t="s">
        <v>1520</v>
      </c>
      <c r="E175" s="206"/>
      <c r="F175" s="207">
        <v>417</v>
      </c>
      <c r="G175" s="207"/>
      <c r="H175" s="205"/>
      <c r="I175" s="167">
        <v>1405882090</v>
      </c>
      <c r="J175" s="167">
        <v>65282090</v>
      </c>
      <c r="K175" s="167">
        <v>1338900000</v>
      </c>
      <c r="L175" s="168">
        <v>1700000</v>
      </c>
      <c r="M175" s="168">
        <v>1405882090</v>
      </c>
      <c r="N175" s="168"/>
      <c r="O175" s="167">
        <v>1337300106</v>
      </c>
      <c r="P175" s="167">
        <v>1337300106</v>
      </c>
      <c r="Q175" s="168"/>
      <c r="S175" s="201">
        <f t="shared" si="127"/>
        <v>1405.8820900000001</v>
      </c>
      <c r="T175" s="201">
        <f t="shared" si="128"/>
        <v>1405.8820900000001</v>
      </c>
      <c r="U175" s="201">
        <f t="shared" si="129"/>
        <v>0</v>
      </c>
      <c r="V175" s="201">
        <f t="shared" si="130"/>
        <v>1337.3001059999999</v>
      </c>
      <c r="W175" s="201">
        <f t="shared" si="131"/>
        <v>1337.3001059999999</v>
      </c>
      <c r="X175" s="201">
        <f t="shared" si="132"/>
        <v>0</v>
      </c>
    </row>
    <row r="176" spans="1:24" s="169" customFormat="1" ht="26.4">
      <c r="A176" s="192">
        <v>154</v>
      </c>
      <c r="B176" s="176" t="s">
        <v>921</v>
      </c>
      <c r="C176" s="183" t="str">
        <f t="shared" si="114"/>
        <v>1037584</v>
      </c>
      <c r="D176" s="182" t="s">
        <v>1587</v>
      </c>
      <c r="E176" s="206"/>
      <c r="F176" s="207">
        <v>425</v>
      </c>
      <c r="G176" s="207"/>
      <c r="H176" s="205"/>
      <c r="I176" s="167">
        <v>4484000000</v>
      </c>
      <c r="J176" s="166"/>
      <c r="K176" s="167">
        <v>4023000000</v>
      </c>
      <c r="L176" s="168">
        <v>461000000</v>
      </c>
      <c r="M176" s="168">
        <v>4484000000</v>
      </c>
      <c r="N176" s="168"/>
      <c r="O176" s="167">
        <v>4471904200</v>
      </c>
      <c r="P176" s="167">
        <v>4471904200</v>
      </c>
      <c r="Q176" s="168"/>
      <c r="S176" s="201">
        <f t="shared" si="127"/>
        <v>4484</v>
      </c>
      <c r="T176" s="201">
        <f t="shared" si="128"/>
        <v>4484</v>
      </c>
      <c r="U176" s="201">
        <f t="shared" si="129"/>
        <v>0</v>
      </c>
      <c r="V176" s="201">
        <f t="shared" si="130"/>
        <v>4471.9041999999999</v>
      </c>
      <c r="W176" s="201">
        <f t="shared" si="131"/>
        <v>4471.9041999999999</v>
      </c>
      <c r="X176" s="201">
        <f t="shared" si="132"/>
        <v>0</v>
      </c>
    </row>
    <row r="177" spans="1:24" s="169" customFormat="1" ht="26.4">
      <c r="A177" s="192">
        <v>155</v>
      </c>
      <c r="B177" s="165" t="s">
        <v>862</v>
      </c>
      <c r="C177" s="183" t="str">
        <f t="shared" si="114"/>
        <v>1037482</v>
      </c>
      <c r="D177" s="182" t="s">
        <v>1580</v>
      </c>
      <c r="E177" s="206"/>
      <c r="F177" s="207">
        <v>511</v>
      </c>
      <c r="G177" s="207"/>
      <c r="H177" s="205"/>
      <c r="I177" s="167">
        <v>2589834000</v>
      </c>
      <c r="J177" s="166"/>
      <c r="K177" s="167">
        <v>2200000000</v>
      </c>
      <c r="L177" s="168">
        <v>389834000</v>
      </c>
      <c r="M177" s="168">
        <v>2589834000</v>
      </c>
      <c r="N177" s="168"/>
      <c r="O177" s="167">
        <v>2589834000</v>
      </c>
      <c r="P177" s="167">
        <v>2589834000</v>
      </c>
      <c r="Q177" s="168"/>
      <c r="S177" s="201">
        <f t="shared" si="127"/>
        <v>2589.8339999999998</v>
      </c>
      <c r="T177" s="201">
        <f t="shared" si="128"/>
        <v>2589.8339999999998</v>
      </c>
      <c r="U177" s="201">
        <f t="shared" si="129"/>
        <v>0</v>
      </c>
      <c r="V177" s="201">
        <f t="shared" si="130"/>
        <v>2589.8339999999998</v>
      </c>
      <c r="W177" s="201">
        <f t="shared" si="131"/>
        <v>2589.8339999999998</v>
      </c>
      <c r="X177" s="201">
        <f t="shared" si="132"/>
        <v>0</v>
      </c>
    </row>
    <row r="178" spans="1:24" s="169" customFormat="1" ht="13.8">
      <c r="A178" s="192">
        <v>156</v>
      </c>
      <c r="B178" s="164" t="s">
        <v>918</v>
      </c>
      <c r="C178" s="183" t="str">
        <f t="shared" si="114"/>
        <v>1037583</v>
      </c>
      <c r="D178" s="182" t="s">
        <v>1486</v>
      </c>
      <c r="E178" s="206"/>
      <c r="F178" s="207">
        <v>425</v>
      </c>
      <c r="G178" s="207"/>
      <c r="H178" s="205"/>
      <c r="I178" s="167">
        <v>3766093000</v>
      </c>
      <c r="J178" s="166"/>
      <c r="K178" s="167">
        <v>3355000000</v>
      </c>
      <c r="L178" s="168">
        <v>411093000</v>
      </c>
      <c r="M178" s="168">
        <v>3766093000</v>
      </c>
      <c r="N178" s="168"/>
      <c r="O178" s="167">
        <v>3765673000</v>
      </c>
      <c r="P178" s="167">
        <v>3765673000</v>
      </c>
      <c r="Q178" s="168"/>
      <c r="S178" s="201">
        <f t="shared" si="127"/>
        <v>3766.0929999999998</v>
      </c>
      <c r="T178" s="201">
        <f t="shared" si="128"/>
        <v>3766.0929999999998</v>
      </c>
      <c r="U178" s="201">
        <f t="shared" si="129"/>
        <v>0</v>
      </c>
      <c r="V178" s="201">
        <f t="shared" si="130"/>
        <v>3765.6729999999998</v>
      </c>
      <c r="W178" s="201">
        <f t="shared" si="131"/>
        <v>3765.6729999999998</v>
      </c>
      <c r="X178" s="201">
        <f t="shared" si="132"/>
        <v>0</v>
      </c>
    </row>
    <row r="179" spans="1:24" s="169" customFormat="1" ht="26.4">
      <c r="A179" s="192">
        <v>157</v>
      </c>
      <c r="B179" s="165" t="s">
        <v>1408</v>
      </c>
      <c r="C179" s="183" t="str">
        <f t="shared" si="114"/>
        <v>3007431</v>
      </c>
      <c r="D179" s="182" t="s">
        <v>1671</v>
      </c>
      <c r="E179" s="206"/>
      <c r="F179" s="207">
        <v>413</v>
      </c>
      <c r="G179" s="207"/>
      <c r="H179" s="205"/>
      <c r="I179" s="167">
        <v>1826647000</v>
      </c>
      <c r="J179" s="166"/>
      <c r="K179" s="167">
        <v>1643000000</v>
      </c>
      <c r="L179" s="168">
        <v>183647000</v>
      </c>
      <c r="M179" s="168">
        <v>1826647000</v>
      </c>
      <c r="N179" s="168"/>
      <c r="O179" s="167">
        <v>1821979867</v>
      </c>
      <c r="P179" s="167">
        <v>1821979867</v>
      </c>
      <c r="Q179" s="168"/>
      <c r="S179" s="201">
        <f t="shared" si="127"/>
        <v>1826.6469999999999</v>
      </c>
      <c r="T179" s="201">
        <f t="shared" si="128"/>
        <v>1826.6469999999999</v>
      </c>
      <c r="U179" s="201">
        <f t="shared" si="129"/>
        <v>0</v>
      </c>
      <c r="V179" s="201">
        <f t="shared" si="130"/>
        <v>1821.979867</v>
      </c>
      <c r="W179" s="201">
        <f t="shared" si="131"/>
        <v>1821.979867</v>
      </c>
      <c r="X179" s="201">
        <f t="shared" si="132"/>
        <v>0</v>
      </c>
    </row>
    <row r="180" spans="1:24" s="169" customFormat="1" ht="26.4">
      <c r="A180" s="192">
        <v>158</v>
      </c>
      <c r="B180" s="176" t="s">
        <v>1012</v>
      </c>
      <c r="C180" s="183" t="str">
        <f t="shared" si="114"/>
        <v>1048055</v>
      </c>
      <c r="D180" s="182" t="s">
        <v>1600</v>
      </c>
      <c r="E180" s="206"/>
      <c r="F180" s="207">
        <v>423</v>
      </c>
      <c r="G180" s="207"/>
      <c r="H180" s="205"/>
      <c r="I180" s="167">
        <v>14199748277</v>
      </c>
      <c r="J180" s="166"/>
      <c r="K180" s="167">
        <v>13281017277</v>
      </c>
      <c r="L180" s="168">
        <v>918731000</v>
      </c>
      <c r="M180" s="168">
        <v>14199748277</v>
      </c>
      <c r="N180" s="168"/>
      <c r="O180" s="167">
        <v>13738174533</v>
      </c>
      <c r="P180" s="167">
        <v>13738174533</v>
      </c>
      <c r="Q180" s="168"/>
      <c r="S180" s="201">
        <f t="shared" si="127"/>
        <v>14199.748277000001</v>
      </c>
      <c r="T180" s="201">
        <f t="shared" si="128"/>
        <v>14199.748277000001</v>
      </c>
      <c r="U180" s="201">
        <f t="shared" si="129"/>
        <v>0</v>
      </c>
      <c r="V180" s="201">
        <f t="shared" si="130"/>
        <v>13738.174532999999</v>
      </c>
      <c r="W180" s="201">
        <f t="shared" si="131"/>
        <v>13738.174532999999</v>
      </c>
      <c r="X180" s="201">
        <f t="shared" si="132"/>
        <v>0</v>
      </c>
    </row>
    <row r="181" spans="1:24" s="169" customFormat="1" ht="26.4">
      <c r="A181" s="192">
        <v>159</v>
      </c>
      <c r="B181" s="170" t="s">
        <v>1024</v>
      </c>
      <c r="C181" s="183" t="str">
        <f t="shared" si="114"/>
        <v>1048058</v>
      </c>
      <c r="D181" s="182" t="s">
        <v>1608</v>
      </c>
      <c r="E181" s="206"/>
      <c r="F181" s="207">
        <v>423</v>
      </c>
      <c r="G181" s="207"/>
      <c r="H181" s="205"/>
      <c r="I181" s="167">
        <v>12064365403</v>
      </c>
      <c r="J181" s="166"/>
      <c r="K181" s="167">
        <v>11134485403</v>
      </c>
      <c r="L181" s="168">
        <v>929880000</v>
      </c>
      <c r="M181" s="168">
        <v>12064365403</v>
      </c>
      <c r="N181" s="168"/>
      <c r="O181" s="167">
        <v>11828545403</v>
      </c>
      <c r="P181" s="167">
        <v>11828545403</v>
      </c>
      <c r="Q181" s="168"/>
      <c r="S181" s="201">
        <f t="shared" si="127"/>
        <v>12064.365403</v>
      </c>
      <c r="T181" s="201">
        <f t="shared" si="128"/>
        <v>12064.365403</v>
      </c>
      <c r="U181" s="201">
        <f t="shared" si="129"/>
        <v>0</v>
      </c>
      <c r="V181" s="201">
        <f t="shared" si="130"/>
        <v>11828.545403</v>
      </c>
      <c r="W181" s="201">
        <f t="shared" si="131"/>
        <v>11828.545403</v>
      </c>
      <c r="X181" s="201">
        <f t="shared" si="132"/>
        <v>0</v>
      </c>
    </row>
    <row r="182" spans="1:24" s="169" customFormat="1" ht="26.4">
      <c r="A182" s="192">
        <v>160</v>
      </c>
      <c r="B182" s="176" t="s">
        <v>1008</v>
      </c>
      <c r="C182" s="183" t="str">
        <f t="shared" si="114"/>
        <v>1048054</v>
      </c>
      <c r="D182" s="182" t="s">
        <v>1599</v>
      </c>
      <c r="E182" s="206"/>
      <c r="F182" s="207">
        <v>423</v>
      </c>
      <c r="G182" s="207"/>
      <c r="H182" s="205"/>
      <c r="I182" s="167">
        <v>12326488666</v>
      </c>
      <c r="J182" s="166"/>
      <c r="K182" s="167">
        <v>10854750666</v>
      </c>
      <c r="L182" s="168">
        <v>1471738000</v>
      </c>
      <c r="M182" s="168">
        <v>12326488666</v>
      </c>
      <c r="N182" s="168"/>
      <c r="O182" s="167">
        <v>12140758666</v>
      </c>
      <c r="P182" s="167">
        <v>12140758666</v>
      </c>
      <c r="Q182" s="168"/>
      <c r="S182" s="201">
        <f t="shared" si="127"/>
        <v>12326.488665999999</v>
      </c>
      <c r="T182" s="201">
        <f t="shared" si="128"/>
        <v>12326.488665999999</v>
      </c>
      <c r="U182" s="201">
        <f t="shared" si="129"/>
        <v>0</v>
      </c>
      <c r="V182" s="201">
        <f t="shared" si="130"/>
        <v>12140.758666</v>
      </c>
      <c r="W182" s="201">
        <f t="shared" si="131"/>
        <v>12140.758666</v>
      </c>
      <c r="X182" s="201">
        <f t="shared" si="132"/>
        <v>0</v>
      </c>
    </row>
    <row r="183" spans="1:24" s="169" customFormat="1" ht="26.4">
      <c r="A183" s="192">
        <v>161</v>
      </c>
      <c r="B183" s="176" t="s">
        <v>1016</v>
      </c>
      <c r="C183" s="183" t="str">
        <f t="shared" si="114"/>
        <v>1048056</v>
      </c>
      <c r="D183" s="182" t="s">
        <v>1606</v>
      </c>
      <c r="E183" s="206"/>
      <c r="F183" s="207">
        <v>423</v>
      </c>
      <c r="G183" s="207"/>
      <c r="H183" s="205"/>
      <c r="I183" s="167">
        <v>15351229533</v>
      </c>
      <c r="J183" s="166"/>
      <c r="K183" s="167">
        <v>14947609533</v>
      </c>
      <c r="L183" s="168">
        <v>403620000</v>
      </c>
      <c r="M183" s="168">
        <v>15351229533</v>
      </c>
      <c r="N183" s="168"/>
      <c r="O183" s="167">
        <v>14888900391</v>
      </c>
      <c r="P183" s="167">
        <v>14888900391</v>
      </c>
      <c r="Q183" s="168"/>
      <c r="S183" s="201">
        <f t="shared" ref="S183:S190" si="133">I183/1000000</f>
        <v>15351.229533</v>
      </c>
      <c r="T183" s="201">
        <f t="shared" ref="T183:T190" si="134">M183/1000000</f>
        <v>15351.229533</v>
      </c>
      <c r="U183" s="201">
        <f t="shared" ref="U183:U190" si="135">N183/1000000</f>
        <v>0</v>
      </c>
      <c r="V183" s="201">
        <f t="shared" ref="V183:V190" si="136">O183/1000000</f>
        <v>14888.900390999999</v>
      </c>
      <c r="W183" s="201">
        <f t="shared" ref="W183:W190" si="137">P183/1000000</f>
        <v>14888.900390999999</v>
      </c>
      <c r="X183" s="201">
        <f t="shared" ref="X183:X190" si="138">Q183/1000000</f>
        <v>0</v>
      </c>
    </row>
    <row r="184" spans="1:24" s="169" customFormat="1" ht="26.4">
      <c r="A184" s="192">
        <v>162</v>
      </c>
      <c r="B184" s="176" t="s">
        <v>1103</v>
      </c>
      <c r="C184" s="183" t="str">
        <f t="shared" si="114"/>
        <v>1050726</v>
      </c>
      <c r="D184" s="182" t="s">
        <v>1601</v>
      </c>
      <c r="E184" s="206"/>
      <c r="F184" s="207">
        <v>424</v>
      </c>
      <c r="G184" s="207"/>
      <c r="H184" s="205"/>
      <c r="I184" s="167">
        <v>15653265169</v>
      </c>
      <c r="J184" s="166"/>
      <c r="K184" s="167">
        <v>15520964169</v>
      </c>
      <c r="L184" s="168">
        <v>132301000</v>
      </c>
      <c r="M184" s="168">
        <v>15653265169</v>
      </c>
      <c r="N184" s="168"/>
      <c r="O184" s="167">
        <v>15049982841</v>
      </c>
      <c r="P184" s="167">
        <v>15049982841</v>
      </c>
      <c r="Q184" s="168"/>
      <c r="S184" s="201">
        <f t="shared" si="133"/>
        <v>15653.265169</v>
      </c>
      <c r="T184" s="201">
        <f t="shared" si="134"/>
        <v>15653.265169</v>
      </c>
      <c r="U184" s="201">
        <f t="shared" si="135"/>
        <v>0</v>
      </c>
      <c r="V184" s="201">
        <f t="shared" si="136"/>
        <v>15049.982840999999</v>
      </c>
      <c r="W184" s="201">
        <f t="shared" si="137"/>
        <v>15049.982840999999</v>
      </c>
      <c r="X184" s="201">
        <f t="shared" si="138"/>
        <v>0</v>
      </c>
    </row>
    <row r="185" spans="1:24" s="169" customFormat="1" ht="26.4">
      <c r="A185" s="192">
        <v>163</v>
      </c>
      <c r="B185" s="165" t="s">
        <v>1362</v>
      </c>
      <c r="C185" s="183" t="str">
        <f t="shared" si="114"/>
        <v>1122826</v>
      </c>
      <c r="D185" s="182" t="s">
        <v>1604</v>
      </c>
      <c r="E185" s="206"/>
      <c r="F185" s="207">
        <v>423</v>
      </c>
      <c r="G185" s="207"/>
      <c r="H185" s="205"/>
      <c r="I185" s="167">
        <v>7497797682</v>
      </c>
      <c r="J185" s="167">
        <v>138277682</v>
      </c>
      <c r="K185" s="167">
        <v>5925000000</v>
      </c>
      <c r="L185" s="168">
        <v>1434520000</v>
      </c>
      <c r="M185" s="168">
        <v>7497797682</v>
      </c>
      <c r="N185" s="168"/>
      <c r="O185" s="167">
        <v>7186802082</v>
      </c>
      <c r="P185" s="167">
        <v>7186802082</v>
      </c>
      <c r="Q185" s="168"/>
      <c r="S185" s="201">
        <f t="shared" si="133"/>
        <v>7497.7976820000003</v>
      </c>
      <c r="T185" s="201">
        <f t="shared" si="134"/>
        <v>7497.7976820000003</v>
      </c>
      <c r="U185" s="201">
        <f t="shared" si="135"/>
        <v>0</v>
      </c>
      <c r="V185" s="201">
        <f t="shared" si="136"/>
        <v>7186.8020820000002</v>
      </c>
      <c r="W185" s="201">
        <f t="shared" si="137"/>
        <v>7186.8020820000002</v>
      </c>
      <c r="X185" s="201">
        <f t="shared" si="138"/>
        <v>0</v>
      </c>
    </row>
    <row r="186" spans="1:24" s="169" customFormat="1" ht="26.4">
      <c r="A186" s="192">
        <v>164</v>
      </c>
      <c r="B186" s="176" t="s">
        <v>1036</v>
      </c>
      <c r="C186" s="183" t="str">
        <f t="shared" si="114"/>
        <v>1048061</v>
      </c>
      <c r="D186" s="182" t="s">
        <v>1611</v>
      </c>
      <c r="E186" s="206"/>
      <c r="F186" s="207">
        <v>423</v>
      </c>
      <c r="G186" s="207"/>
      <c r="H186" s="205"/>
      <c r="I186" s="167">
        <v>11616508549</v>
      </c>
      <c r="J186" s="167">
        <v>31460376</v>
      </c>
      <c r="K186" s="167">
        <v>11166664173</v>
      </c>
      <c r="L186" s="168">
        <v>418384000</v>
      </c>
      <c r="M186" s="168">
        <v>11616508549</v>
      </c>
      <c r="N186" s="168"/>
      <c r="O186" s="167">
        <v>11285947331</v>
      </c>
      <c r="P186" s="167">
        <v>11285947331</v>
      </c>
      <c r="Q186" s="168"/>
      <c r="S186" s="201">
        <f t="shared" si="133"/>
        <v>11616.508549</v>
      </c>
      <c r="T186" s="201">
        <f t="shared" si="134"/>
        <v>11616.508549</v>
      </c>
      <c r="U186" s="201">
        <f t="shared" si="135"/>
        <v>0</v>
      </c>
      <c r="V186" s="201">
        <f t="shared" si="136"/>
        <v>11285.947330999999</v>
      </c>
      <c r="W186" s="201">
        <f t="shared" si="137"/>
        <v>11285.947330999999</v>
      </c>
      <c r="X186" s="201">
        <f t="shared" si="138"/>
        <v>0</v>
      </c>
    </row>
    <row r="187" spans="1:24" s="169" customFormat="1" ht="26.4">
      <c r="A187" s="192">
        <v>165</v>
      </c>
      <c r="B187" s="165" t="s">
        <v>998</v>
      </c>
      <c r="C187" s="183" t="str">
        <f t="shared" si="114"/>
        <v>1047956</v>
      </c>
      <c r="D187" s="182" t="s">
        <v>1594</v>
      </c>
      <c r="E187" s="206"/>
      <c r="F187" s="207">
        <v>423</v>
      </c>
      <c r="G187" s="207"/>
      <c r="H187" s="205"/>
      <c r="I187" s="167">
        <v>15116539957</v>
      </c>
      <c r="J187" s="167">
        <v>24465155</v>
      </c>
      <c r="K187" s="167">
        <v>13564922802</v>
      </c>
      <c r="L187" s="168">
        <v>1527152000</v>
      </c>
      <c r="M187" s="168">
        <v>15116539957</v>
      </c>
      <c r="N187" s="168"/>
      <c r="O187" s="167">
        <v>14499984217</v>
      </c>
      <c r="P187" s="167">
        <v>14499984217</v>
      </c>
      <c r="Q187" s="168"/>
      <c r="S187" s="201">
        <f t="shared" si="133"/>
        <v>15116.539957000001</v>
      </c>
      <c r="T187" s="201">
        <f t="shared" si="134"/>
        <v>15116.539957000001</v>
      </c>
      <c r="U187" s="201">
        <f t="shared" si="135"/>
        <v>0</v>
      </c>
      <c r="V187" s="201">
        <f t="shared" si="136"/>
        <v>14499.984216999999</v>
      </c>
      <c r="W187" s="201">
        <f t="shared" si="137"/>
        <v>14499.984216999999</v>
      </c>
      <c r="X187" s="201">
        <f t="shared" si="138"/>
        <v>0</v>
      </c>
    </row>
    <row r="188" spans="1:24" s="169" customFormat="1" ht="26.4">
      <c r="A188" s="192">
        <v>166</v>
      </c>
      <c r="B188" s="176" t="s">
        <v>1147</v>
      </c>
      <c r="C188" s="183" t="str">
        <f t="shared" si="114"/>
        <v>1063796</v>
      </c>
      <c r="D188" s="182" t="s">
        <v>1602</v>
      </c>
      <c r="E188" s="206"/>
      <c r="F188" s="207">
        <v>423</v>
      </c>
      <c r="G188" s="207"/>
      <c r="H188" s="205"/>
      <c r="I188" s="167">
        <v>15993039189</v>
      </c>
      <c r="J188" s="167">
        <v>144800000</v>
      </c>
      <c r="K188" s="167">
        <v>15270427189</v>
      </c>
      <c r="L188" s="168">
        <v>577812000</v>
      </c>
      <c r="M188" s="168">
        <v>15993039189</v>
      </c>
      <c r="N188" s="168"/>
      <c r="O188" s="167">
        <v>15513181899</v>
      </c>
      <c r="P188" s="167">
        <v>15513181899</v>
      </c>
      <c r="Q188" s="168"/>
      <c r="S188" s="201">
        <f t="shared" si="133"/>
        <v>15993.039188999999</v>
      </c>
      <c r="T188" s="201">
        <f t="shared" si="134"/>
        <v>15993.039188999999</v>
      </c>
      <c r="U188" s="201">
        <f t="shared" si="135"/>
        <v>0</v>
      </c>
      <c r="V188" s="201">
        <f t="shared" si="136"/>
        <v>15513.181898999999</v>
      </c>
      <c r="W188" s="201">
        <f t="shared" si="137"/>
        <v>15513.181898999999</v>
      </c>
      <c r="X188" s="201">
        <f t="shared" si="138"/>
        <v>0</v>
      </c>
    </row>
    <row r="189" spans="1:24" s="169" customFormat="1" ht="26.4">
      <c r="A189" s="192">
        <v>167</v>
      </c>
      <c r="B189" s="165" t="s">
        <v>1020</v>
      </c>
      <c r="C189" s="183" t="str">
        <f t="shared" si="114"/>
        <v>1048057</v>
      </c>
      <c r="D189" s="182" t="s">
        <v>1607</v>
      </c>
      <c r="E189" s="206"/>
      <c r="F189" s="207">
        <v>423</v>
      </c>
      <c r="G189" s="207"/>
      <c r="H189" s="205"/>
      <c r="I189" s="167">
        <v>19410417206</v>
      </c>
      <c r="J189" s="166"/>
      <c r="K189" s="167">
        <v>18325711806</v>
      </c>
      <c r="L189" s="168">
        <v>1084705400</v>
      </c>
      <c r="M189" s="168">
        <v>19410417206</v>
      </c>
      <c r="N189" s="168"/>
      <c r="O189" s="167">
        <v>17604265716</v>
      </c>
      <c r="P189" s="167">
        <v>17604265716</v>
      </c>
      <c r="Q189" s="168"/>
      <c r="S189" s="201">
        <f t="shared" si="133"/>
        <v>19410.417205999998</v>
      </c>
      <c r="T189" s="201">
        <f t="shared" si="134"/>
        <v>19410.417205999998</v>
      </c>
      <c r="U189" s="201">
        <f t="shared" si="135"/>
        <v>0</v>
      </c>
      <c r="V189" s="201">
        <f t="shared" si="136"/>
        <v>17604.265716000002</v>
      </c>
      <c r="W189" s="201">
        <f t="shared" si="137"/>
        <v>17604.265716000002</v>
      </c>
      <c r="X189" s="201">
        <f t="shared" si="138"/>
        <v>0</v>
      </c>
    </row>
    <row r="190" spans="1:24" s="169" customFormat="1" ht="26.4">
      <c r="A190" s="192">
        <v>168</v>
      </c>
      <c r="B190" s="165" t="s">
        <v>1071</v>
      </c>
      <c r="C190" s="183" t="str">
        <f t="shared" si="114"/>
        <v>1049264</v>
      </c>
      <c r="D190" s="182" t="s">
        <v>1518</v>
      </c>
      <c r="E190" s="206"/>
      <c r="F190" s="207">
        <v>422</v>
      </c>
      <c r="G190" s="207"/>
      <c r="H190" s="205"/>
      <c r="I190" s="167">
        <v>10129019042</v>
      </c>
      <c r="J190" s="167">
        <v>100314042</v>
      </c>
      <c r="K190" s="167">
        <v>8529958000</v>
      </c>
      <c r="L190" s="168">
        <v>1498747000</v>
      </c>
      <c r="M190" s="168">
        <v>9959019042</v>
      </c>
      <c r="N190" s="168">
        <v>170000000</v>
      </c>
      <c r="O190" s="167">
        <v>9375340472</v>
      </c>
      <c r="P190" s="167">
        <v>9344740472</v>
      </c>
      <c r="Q190" s="168">
        <v>30600000</v>
      </c>
      <c r="S190" s="201">
        <f t="shared" si="133"/>
        <v>10129.019042</v>
      </c>
      <c r="T190" s="201">
        <f t="shared" si="134"/>
        <v>9959.0190419999999</v>
      </c>
      <c r="U190" s="201">
        <f t="shared" si="135"/>
        <v>170</v>
      </c>
      <c r="V190" s="201">
        <f t="shared" si="136"/>
        <v>9375.3404719999999</v>
      </c>
      <c r="W190" s="201">
        <f t="shared" si="137"/>
        <v>9344.7404719999995</v>
      </c>
      <c r="X190" s="201">
        <f t="shared" si="138"/>
        <v>30.6</v>
      </c>
    </row>
    <row r="191" spans="1:24" s="169" customFormat="1" ht="26.4">
      <c r="A191" s="192">
        <v>169</v>
      </c>
      <c r="B191" s="165" t="s">
        <v>896</v>
      </c>
      <c r="C191" s="183" t="str">
        <f t="shared" si="114"/>
        <v>1037574</v>
      </c>
      <c r="D191" s="182" t="s">
        <v>1584</v>
      </c>
      <c r="E191" s="206"/>
      <c r="F191" s="207">
        <v>422</v>
      </c>
      <c r="G191" s="207"/>
      <c r="H191" s="205"/>
      <c r="I191" s="167">
        <v>18238310000</v>
      </c>
      <c r="J191" s="167">
        <v>399984000</v>
      </c>
      <c r="K191" s="167">
        <v>15355900000</v>
      </c>
      <c r="L191" s="168">
        <v>2482426000</v>
      </c>
      <c r="M191" s="168">
        <v>18238310000</v>
      </c>
      <c r="N191" s="168"/>
      <c r="O191" s="167">
        <v>15140896398</v>
      </c>
      <c r="P191" s="167">
        <v>15140896398</v>
      </c>
      <c r="Q191" s="168"/>
      <c r="S191" s="201">
        <f t="shared" ref="S191:S199" si="139">I191/1000000</f>
        <v>18238.310000000001</v>
      </c>
      <c r="T191" s="201">
        <f t="shared" ref="T191:T199" si="140">M191/1000000</f>
        <v>18238.310000000001</v>
      </c>
      <c r="U191" s="201">
        <f t="shared" ref="U191:U199" si="141">N191/1000000</f>
        <v>0</v>
      </c>
      <c r="V191" s="201">
        <f t="shared" ref="V191:V199" si="142">O191/1000000</f>
        <v>15140.896398000001</v>
      </c>
      <c r="W191" s="201">
        <f t="shared" ref="W191:W199" si="143">P191/1000000</f>
        <v>15140.896398000001</v>
      </c>
      <c r="X191" s="201">
        <f t="shared" ref="X191:X199" si="144">Q191/1000000</f>
        <v>0</v>
      </c>
    </row>
    <row r="192" spans="1:24" s="169" customFormat="1" ht="26.4">
      <c r="A192" s="192">
        <v>170</v>
      </c>
      <c r="B192" s="170" t="s">
        <v>1117</v>
      </c>
      <c r="C192" s="183" t="str">
        <f t="shared" si="114"/>
        <v>1058267</v>
      </c>
      <c r="D192" s="182" t="s">
        <v>1541</v>
      </c>
      <c r="E192" s="206"/>
      <c r="F192" s="207">
        <v>509</v>
      </c>
      <c r="G192" s="207"/>
      <c r="H192" s="205"/>
      <c r="I192" s="167">
        <v>7054900000</v>
      </c>
      <c r="J192" s="167">
        <v>1015200000</v>
      </c>
      <c r="K192" s="167">
        <v>5952000000</v>
      </c>
      <c r="L192" s="168">
        <v>87700000</v>
      </c>
      <c r="M192" s="168">
        <v>7054900000</v>
      </c>
      <c r="N192" s="168"/>
      <c r="O192" s="167">
        <v>7016444403</v>
      </c>
      <c r="P192" s="167">
        <v>7016444403</v>
      </c>
      <c r="Q192" s="168"/>
      <c r="S192" s="201">
        <f t="shared" si="139"/>
        <v>7054.9</v>
      </c>
      <c r="T192" s="201">
        <f t="shared" si="140"/>
        <v>7054.9</v>
      </c>
      <c r="U192" s="201">
        <f t="shared" si="141"/>
        <v>0</v>
      </c>
      <c r="V192" s="201">
        <f t="shared" si="142"/>
        <v>7016.4444030000004</v>
      </c>
      <c r="W192" s="201">
        <f t="shared" si="143"/>
        <v>7016.4444030000004</v>
      </c>
      <c r="X192" s="201">
        <f t="shared" si="144"/>
        <v>0</v>
      </c>
    </row>
    <row r="193" spans="1:24" s="169" customFormat="1" ht="26.4">
      <c r="A193" s="192">
        <v>171</v>
      </c>
      <c r="B193" s="165" t="s">
        <v>1131</v>
      </c>
      <c r="C193" s="183" t="str">
        <f t="shared" si="114"/>
        <v>1061580</v>
      </c>
      <c r="D193" s="182" t="s">
        <v>1495</v>
      </c>
      <c r="E193" s="206"/>
      <c r="F193" s="207">
        <v>422</v>
      </c>
      <c r="G193" s="207"/>
      <c r="H193" s="205"/>
      <c r="I193" s="167">
        <v>9919142424</v>
      </c>
      <c r="J193" s="167">
        <v>28570424</v>
      </c>
      <c r="K193" s="167">
        <v>9715652000</v>
      </c>
      <c r="L193" s="168">
        <v>174920000</v>
      </c>
      <c r="M193" s="168">
        <v>9919142424</v>
      </c>
      <c r="N193" s="168"/>
      <c r="O193" s="167">
        <v>9552136191</v>
      </c>
      <c r="P193" s="167">
        <v>9552136191</v>
      </c>
      <c r="Q193" s="168"/>
      <c r="S193" s="201">
        <f t="shared" si="139"/>
        <v>9919.1424239999997</v>
      </c>
      <c r="T193" s="201">
        <f t="shared" si="140"/>
        <v>9919.1424239999997</v>
      </c>
      <c r="U193" s="201">
        <f t="shared" si="141"/>
        <v>0</v>
      </c>
      <c r="V193" s="201">
        <f t="shared" si="142"/>
        <v>9552.1361909999996</v>
      </c>
      <c r="W193" s="201">
        <f t="shared" si="143"/>
        <v>9552.1361909999996</v>
      </c>
      <c r="X193" s="201">
        <f t="shared" si="144"/>
        <v>0</v>
      </c>
    </row>
    <row r="194" spans="1:24" s="169" customFormat="1" ht="26.4">
      <c r="A194" s="192">
        <v>172</v>
      </c>
      <c r="B194" s="176" t="s">
        <v>687</v>
      </c>
      <c r="C194" s="183" t="str">
        <f t="shared" si="114"/>
        <v>1007205</v>
      </c>
      <c r="D194" s="182" t="s">
        <v>1536</v>
      </c>
      <c r="E194" s="206"/>
      <c r="F194" s="207" t="s">
        <v>677</v>
      </c>
      <c r="G194" s="207"/>
      <c r="H194" s="205"/>
      <c r="I194" s="167">
        <v>4048788000</v>
      </c>
      <c r="J194" s="167">
        <v>152420000</v>
      </c>
      <c r="K194" s="167">
        <v>3859368000</v>
      </c>
      <c r="L194" s="168">
        <v>37000000</v>
      </c>
      <c r="M194" s="168">
        <v>4048788000</v>
      </c>
      <c r="N194" s="168"/>
      <c r="O194" s="167">
        <v>4042708000</v>
      </c>
      <c r="P194" s="167">
        <v>4042708000</v>
      </c>
      <c r="Q194" s="168"/>
      <c r="S194" s="201">
        <f t="shared" si="139"/>
        <v>4048.788</v>
      </c>
      <c r="T194" s="201">
        <f t="shared" si="140"/>
        <v>4048.788</v>
      </c>
      <c r="U194" s="201">
        <f t="shared" si="141"/>
        <v>0</v>
      </c>
      <c r="V194" s="201">
        <f t="shared" si="142"/>
        <v>4042.7080000000001</v>
      </c>
      <c r="W194" s="201">
        <f t="shared" si="143"/>
        <v>4042.7080000000001</v>
      </c>
      <c r="X194" s="201">
        <f t="shared" si="144"/>
        <v>0</v>
      </c>
    </row>
    <row r="195" spans="1:24" s="169" customFormat="1" ht="26.4">
      <c r="A195" s="192">
        <v>173</v>
      </c>
      <c r="B195" s="165" t="s">
        <v>1247</v>
      </c>
      <c r="C195" s="183" t="str">
        <f t="shared" si="114"/>
        <v>1093941</v>
      </c>
      <c r="D195" s="182" t="s">
        <v>1648</v>
      </c>
      <c r="E195" s="206"/>
      <c r="F195" s="207">
        <v>422</v>
      </c>
      <c r="G195" s="207"/>
      <c r="H195" s="205"/>
      <c r="I195" s="167">
        <v>9229943000</v>
      </c>
      <c r="J195" s="166"/>
      <c r="K195" s="167">
        <v>8294934000</v>
      </c>
      <c r="L195" s="168">
        <v>935009000</v>
      </c>
      <c r="M195" s="168">
        <v>9229943000</v>
      </c>
      <c r="N195" s="168"/>
      <c r="O195" s="167">
        <v>8459215000</v>
      </c>
      <c r="P195" s="167">
        <v>8459215000</v>
      </c>
      <c r="Q195" s="168"/>
      <c r="S195" s="201">
        <f t="shared" si="139"/>
        <v>9229.9429999999993</v>
      </c>
      <c r="T195" s="201">
        <f t="shared" si="140"/>
        <v>9229.9429999999993</v>
      </c>
      <c r="U195" s="201">
        <f t="shared" si="141"/>
        <v>0</v>
      </c>
      <c r="V195" s="201">
        <f t="shared" si="142"/>
        <v>8459.2150000000001</v>
      </c>
      <c r="W195" s="201">
        <f t="shared" si="143"/>
        <v>8459.2150000000001</v>
      </c>
      <c r="X195" s="201">
        <f t="shared" si="144"/>
        <v>0</v>
      </c>
    </row>
    <row r="196" spans="1:24" s="169" customFormat="1" ht="27.6">
      <c r="A196" s="192">
        <v>174</v>
      </c>
      <c r="B196" s="165" t="s">
        <v>770</v>
      </c>
      <c r="C196" s="183" t="str">
        <f t="shared" si="114"/>
        <v>1029870</v>
      </c>
      <c r="D196" s="182" t="s">
        <v>1561</v>
      </c>
      <c r="E196" s="206"/>
      <c r="F196" s="207">
        <v>422</v>
      </c>
      <c r="G196" s="207"/>
      <c r="H196" s="205"/>
      <c r="I196" s="167">
        <v>11160435000</v>
      </c>
      <c r="J196" s="166"/>
      <c r="K196" s="167">
        <v>10464770000</v>
      </c>
      <c r="L196" s="168">
        <v>695665000</v>
      </c>
      <c r="M196" s="168">
        <v>11160435000</v>
      </c>
      <c r="N196" s="168"/>
      <c r="O196" s="167">
        <v>10289322500</v>
      </c>
      <c r="P196" s="167">
        <v>10289322500</v>
      </c>
      <c r="Q196" s="168"/>
      <c r="S196" s="201">
        <f t="shared" si="139"/>
        <v>11160.434999999999</v>
      </c>
      <c r="T196" s="201">
        <f t="shared" si="140"/>
        <v>11160.434999999999</v>
      </c>
      <c r="U196" s="201">
        <f t="shared" si="141"/>
        <v>0</v>
      </c>
      <c r="V196" s="201">
        <f t="shared" si="142"/>
        <v>10289.3225</v>
      </c>
      <c r="W196" s="201">
        <f t="shared" si="143"/>
        <v>10289.3225</v>
      </c>
      <c r="X196" s="201">
        <f t="shared" si="144"/>
        <v>0</v>
      </c>
    </row>
    <row r="197" spans="1:24" s="169" customFormat="1" ht="26.4">
      <c r="A197" s="192">
        <v>175</v>
      </c>
      <c r="B197" s="165" t="s">
        <v>1078</v>
      </c>
      <c r="C197" s="183" t="str">
        <f t="shared" si="114"/>
        <v>1049266</v>
      </c>
      <c r="D197" s="182" t="s">
        <v>1617</v>
      </c>
      <c r="E197" s="206"/>
      <c r="F197" s="207">
        <v>422</v>
      </c>
      <c r="G197" s="207"/>
      <c r="H197" s="205"/>
      <c r="I197" s="167">
        <v>16447633000</v>
      </c>
      <c r="J197" s="167">
        <v>171195000</v>
      </c>
      <c r="K197" s="167">
        <v>15407799000</v>
      </c>
      <c r="L197" s="168">
        <v>868639000</v>
      </c>
      <c r="M197" s="168">
        <v>16447633000</v>
      </c>
      <c r="N197" s="168"/>
      <c r="O197" s="167">
        <v>15476333000</v>
      </c>
      <c r="P197" s="167">
        <v>15476333000</v>
      </c>
      <c r="Q197" s="168"/>
      <c r="S197" s="201">
        <f t="shared" si="139"/>
        <v>16447.633000000002</v>
      </c>
      <c r="T197" s="201">
        <f t="shared" si="140"/>
        <v>16447.633000000002</v>
      </c>
      <c r="U197" s="201">
        <f t="shared" si="141"/>
        <v>0</v>
      </c>
      <c r="V197" s="201">
        <f t="shared" si="142"/>
        <v>15476.333000000001</v>
      </c>
      <c r="W197" s="201">
        <f t="shared" si="143"/>
        <v>15476.333000000001</v>
      </c>
      <c r="X197" s="201">
        <f t="shared" si="144"/>
        <v>0</v>
      </c>
    </row>
    <row r="198" spans="1:24" s="169" customFormat="1" ht="26.4">
      <c r="A198" s="192">
        <v>176</v>
      </c>
      <c r="B198" s="165" t="s">
        <v>1085</v>
      </c>
      <c r="C198" s="183" t="str">
        <f t="shared" si="114"/>
        <v>1049800</v>
      </c>
      <c r="D198" s="182" t="s">
        <v>1944</v>
      </c>
      <c r="E198" s="206"/>
      <c r="F198" s="207">
        <v>422</v>
      </c>
      <c r="G198" s="207"/>
      <c r="H198" s="205"/>
      <c r="I198" s="167">
        <v>11940320000</v>
      </c>
      <c r="J198" s="166"/>
      <c r="K198" s="167">
        <v>11687485000</v>
      </c>
      <c r="L198" s="168">
        <v>252835000</v>
      </c>
      <c r="M198" s="168">
        <v>11940320000</v>
      </c>
      <c r="N198" s="168"/>
      <c r="O198" s="167">
        <v>11926320000</v>
      </c>
      <c r="P198" s="167">
        <v>11926320000</v>
      </c>
      <c r="Q198" s="168"/>
      <c r="S198" s="201">
        <f t="shared" si="139"/>
        <v>11940.32</v>
      </c>
      <c r="T198" s="201">
        <f t="shared" si="140"/>
        <v>11940.32</v>
      </c>
      <c r="U198" s="201">
        <f t="shared" si="141"/>
        <v>0</v>
      </c>
      <c r="V198" s="201">
        <f t="shared" si="142"/>
        <v>11926.32</v>
      </c>
      <c r="W198" s="201">
        <f t="shared" si="143"/>
        <v>11926.32</v>
      </c>
      <c r="X198" s="201">
        <f t="shared" si="144"/>
        <v>0</v>
      </c>
    </row>
    <row r="199" spans="1:24" s="169" customFormat="1" ht="26.4">
      <c r="A199" s="192">
        <v>177</v>
      </c>
      <c r="B199" s="165" t="s">
        <v>711</v>
      </c>
      <c r="C199" s="183" t="str">
        <f t="shared" si="114"/>
        <v>1012070</v>
      </c>
      <c r="D199" s="182" t="s">
        <v>1554</v>
      </c>
      <c r="E199" s="206"/>
      <c r="F199" s="207">
        <v>422</v>
      </c>
      <c r="G199" s="207"/>
      <c r="H199" s="205"/>
      <c r="I199" s="167">
        <v>9183011000</v>
      </c>
      <c r="J199" s="166"/>
      <c r="K199" s="167">
        <v>8920897000</v>
      </c>
      <c r="L199" s="168">
        <v>262114000</v>
      </c>
      <c r="M199" s="168">
        <v>9183011000</v>
      </c>
      <c r="N199" s="168"/>
      <c r="O199" s="167">
        <v>8355089456</v>
      </c>
      <c r="P199" s="167">
        <v>8355089456</v>
      </c>
      <c r="Q199" s="168"/>
      <c r="S199" s="201">
        <f t="shared" si="139"/>
        <v>9183.0110000000004</v>
      </c>
      <c r="T199" s="201">
        <f t="shared" si="140"/>
        <v>9183.0110000000004</v>
      </c>
      <c r="U199" s="201">
        <f t="shared" si="141"/>
        <v>0</v>
      </c>
      <c r="V199" s="201">
        <f t="shared" si="142"/>
        <v>8355.0894559999997</v>
      </c>
      <c r="W199" s="201">
        <f t="shared" si="143"/>
        <v>8355.0894559999997</v>
      </c>
      <c r="X199" s="201">
        <f t="shared" si="144"/>
        <v>0</v>
      </c>
    </row>
    <row r="200" spans="1:24" s="169" customFormat="1" ht="26.4">
      <c r="A200" s="192">
        <v>178</v>
      </c>
      <c r="B200" s="165" t="s">
        <v>708</v>
      </c>
      <c r="C200" s="183" t="str">
        <f t="shared" si="114"/>
        <v>1012069</v>
      </c>
      <c r="D200" s="182" t="s">
        <v>1553</v>
      </c>
      <c r="E200" s="206"/>
      <c r="F200" s="207">
        <v>422</v>
      </c>
      <c r="G200" s="207"/>
      <c r="H200" s="205"/>
      <c r="I200" s="167">
        <v>11893387000</v>
      </c>
      <c r="J200" s="166"/>
      <c r="K200" s="167">
        <v>10733687000</v>
      </c>
      <c r="L200" s="168">
        <v>1159700000</v>
      </c>
      <c r="M200" s="168">
        <v>11893387000</v>
      </c>
      <c r="N200" s="168"/>
      <c r="O200" s="167">
        <v>10761596900</v>
      </c>
      <c r="P200" s="167">
        <v>10761596900</v>
      </c>
      <c r="Q200" s="168"/>
      <c r="S200" s="201">
        <f t="shared" ref="S200:S208" si="145">I200/1000000</f>
        <v>11893.387000000001</v>
      </c>
      <c r="T200" s="201">
        <f t="shared" ref="T200:T208" si="146">M200/1000000</f>
        <v>11893.387000000001</v>
      </c>
      <c r="U200" s="201">
        <f t="shared" ref="U200:U208" si="147">N200/1000000</f>
        <v>0</v>
      </c>
      <c r="V200" s="201">
        <f t="shared" ref="V200:V208" si="148">O200/1000000</f>
        <v>10761.5969</v>
      </c>
      <c r="W200" s="201">
        <f t="shared" ref="W200:W208" si="149">P200/1000000</f>
        <v>10761.5969</v>
      </c>
      <c r="X200" s="201">
        <f t="shared" ref="X200:X208" si="150">Q200/1000000</f>
        <v>0</v>
      </c>
    </row>
    <row r="201" spans="1:24" s="169" customFormat="1" ht="26.4">
      <c r="A201" s="192">
        <v>179</v>
      </c>
      <c r="B201" s="165" t="s">
        <v>836</v>
      </c>
      <c r="C201" s="183" t="str">
        <f t="shared" si="114"/>
        <v>1037425</v>
      </c>
      <c r="D201" s="182" t="s">
        <v>1576</v>
      </c>
      <c r="E201" s="206"/>
      <c r="F201" s="207">
        <v>422</v>
      </c>
      <c r="G201" s="207"/>
      <c r="H201" s="205"/>
      <c r="I201" s="167">
        <v>11523083000</v>
      </c>
      <c r="J201" s="166"/>
      <c r="K201" s="167">
        <v>11235770000</v>
      </c>
      <c r="L201" s="168">
        <v>287313000</v>
      </c>
      <c r="M201" s="168">
        <v>11523083000</v>
      </c>
      <c r="N201" s="168"/>
      <c r="O201" s="167">
        <v>11214569000</v>
      </c>
      <c r="P201" s="167">
        <v>11214569000</v>
      </c>
      <c r="Q201" s="168"/>
      <c r="S201" s="201">
        <f t="shared" si="145"/>
        <v>11523.083000000001</v>
      </c>
      <c r="T201" s="201">
        <f t="shared" si="146"/>
        <v>11523.083000000001</v>
      </c>
      <c r="U201" s="201">
        <f t="shared" si="147"/>
        <v>0</v>
      </c>
      <c r="V201" s="201">
        <f t="shared" si="148"/>
        <v>11214.569</v>
      </c>
      <c r="W201" s="201">
        <f t="shared" si="149"/>
        <v>11214.569</v>
      </c>
      <c r="X201" s="201">
        <f t="shared" si="150"/>
        <v>0</v>
      </c>
    </row>
    <row r="202" spans="1:24" s="169" customFormat="1" ht="26.4">
      <c r="A202" s="192">
        <v>180</v>
      </c>
      <c r="B202" s="165" t="s">
        <v>900</v>
      </c>
      <c r="C202" s="183" t="str">
        <f t="shared" si="114"/>
        <v>1037575</v>
      </c>
      <c r="D202" s="182" t="s">
        <v>1585</v>
      </c>
      <c r="E202" s="206"/>
      <c r="F202" s="207">
        <v>422</v>
      </c>
      <c r="G202" s="207"/>
      <c r="H202" s="205"/>
      <c r="I202" s="167">
        <v>10113566153</v>
      </c>
      <c r="J202" s="167">
        <v>41660153</v>
      </c>
      <c r="K202" s="167">
        <v>9290577000</v>
      </c>
      <c r="L202" s="168">
        <v>781329000</v>
      </c>
      <c r="M202" s="168">
        <v>10113566153</v>
      </c>
      <c r="N202" s="168"/>
      <c r="O202" s="167">
        <v>9486884003</v>
      </c>
      <c r="P202" s="167">
        <v>9486884003</v>
      </c>
      <c r="Q202" s="168"/>
      <c r="S202" s="201">
        <f t="shared" si="145"/>
        <v>10113.566153</v>
      </c>
      <c r="T202" s="201">
        <f t="shared" si="146"/>
        <v>10113.566153</v>
      </c>
      <c r="U202" s="201">
        <f t="shared" si="147"/>
        <v>0</v>
      </c>
      <c r="V202" s="201">
        <f t="shared" si="148"/>
        <v>9486.8840029999992</v>
      </c>
      <c r="W202" s="201">
        <f t="shared" si="149"/>
        <v>9486.8840029999992</v>
      </c>
      <c r="X202" s="201">
        <f t="shared" si="150"/>
        <v>0</v>
      </c>
    </row>
    <row r="203" spans="1:24" s="169" customFormat="1" ht="26.4">
      <c r="A203" s="192">
        <v>181</v>
      </c>
      <c r="B203" s="165" t="s">
        <v>1075</v>
      </c>
      <c r="C203" s="183" t="str">
        <f t="shared" si="114"/>
        <v>1049265</v>
      </c>
      <c r="D203" s="182" t="s">
        <v>1616</v>
      </c>
      <c r="E203" s="206"/>
      <c r="F203" s="207">
        <v>422</v>
      </c>
      <c r="G203" s="207"/>
      <c r="H203" s="205"/>
      <c r="I203" s="167">
        <v>12208454000</v>
      </c>
      <c r="J203" s="166"/>
      <c r="K203" s="167">
        <v>10532557000</v>
      </c>
      <c r="L203" s="168">
        <v>1675897000</v>
      </c>
      <c r="M203" s="168">
        <v>12208454000</v>
      </c>
      <c r="N203" s="168"/>
      <c r="O203" s="167">
        <v>11140034000</v>
      </c>
      <c r="P203" s="167">
        <v>11140034000</v>
      </c>
      <c r="Q203" s="168"/>
      <c r="S203" s="201">
        <f t="shared" si="145"/>
        <v>12208.454</v>
      </c>
      <c r="T203" s="201">
        <f t="shared" si="146"/>
        <v>12208.454</v>
      </c>
      <c r="U203" s="201">
        <f t="shared" si="147"/>
        <v>0</v>
      </c>
      <c r="V203" s="201">
        <f t="shared" si="148"/>
        <v>11140.034</v>
      </c>
      <c r="W203" s="201">
        <f t="shared" si="149"/>
        <v>11140.034</v>
      </c>
      <c r="X203" s="201">
        <f t="shared" si="150"/>
        <v>0</v>
      </c>
    </row>
    <row r="204" spans="1:24" s="169" customFormat="1" ht="26.4">
      <c r="A204" s="192">
        <v>182</v>
      </c>
      <c r="B204" s="165" t="s">
        <v>888</v>
      </c>
      <c r="C204" s="183" t="str">
        <f t="shared" si="114"/>
        <v>1037518</v>
      </c>
      <c r="D204" s="182" t="s">
        <v>1512</v>
      </c>
      <c r="E204" s="206"/>
      <c r="F204" s="207">
        <v>422</v>
      </c>
      <c r="G204" s="207"/>
      <c r="H204" s="205"/>
      <c r="I204" s="167">
        <v>8813188000</v>
      </c>
      <c r="J204" s="166"/>
      <c r="K204" s="167">
        <v>8588588000</v>
      </c>
      <c r="L204" s="168">
        <v>224600000</v>
      </c>
      <c r="M204" s="168">
        <v>8813188000</v>
      </c>
      <c r="N204" s="168"/>
      <c r="O204" s="167">
        <v>8811888000</v>
      </c>
      <c r="P204" s="167">
        <v>8811888000</v>
      </c>
      <c r="Q204" s="168"/>
      <c r="S204" s="201">
        <f t="shared" si="145"/>
        <v>8813.1880000000001</v>
      </c>
      <c r="T204" s="201">
        <f t="shared" si="146"/>
        <v>8813.1880000000001</v>
      </c>
      <c r="U204" s="201">
        <f t="shared" si="147"/>
        <v>0</v>
      </c>
      <c r="V204" s="201">
        <f t="shared" si="148"/>
        <v>8811.8880000000008</v>
      </c>
      <c r="W204" s="201">
        <f t="shared" si="149"/>
        <v>8811.8880000000008</v>
      </c>
      <c r="X204" s="201">
        <f t="shared" si="150"/>
        <v>0</v>
      </c>
    </row>
    <row r="205" spans="1:24" s="169" customFormat="1" ht="13.8">
      <c r="A205" s="192">
        <v>183</v>
      </c>
      <c r="B205" s="164" t="s">
        <v>1099</v>
      </c>
      <c r="C205" s="183" t="str">
        <f t="shared" si="114"/>
        <v>1050724</v>
      </c>
      <c r="D205" s="182" t="s">
        <v>1621</v>
      </c>
      <c r="E205" s="206"/>
      <c r="F205" s="207">
        <v>424</v>
      </c>
      <c r="G205" s="207"/>
      <c r="H205" s="205"/>
      <c r="I205" s="167">
        <v>10485549332</v>
      </c>
      <c r="J205" s="167">
        <v>26221332</v>
      </c>
      <c r="K205" s="167">
        <v>6756000000</v>
      </c>
      <c r="L205" s="168">
        <v>3703328000</v>
      </c>
      <c r="M205" s="168">
        <v>10485549332</v>
      </c>
      <c r="N205" s="168"/>
      <c r="O205" s="167">
        <v>7226570726</v>
      </c>
      <c r="P205" s="167">
        <v>7226570726</v>
      </c>
      <c r="Q205" s="168"/>
      <c r="S205" s="201">
        <f t="shared" si="145"/>
        <v>10485.549332000001</v>
      </c>
      <c r="T205" s="201">
        <f t="shared" si="146"/>
        <v>10485.549332000001</v>
      </c>
      <c r="U205" s="201">
        <f t="shared" si="147"/>
        <v>0</v>
      </c>
      <c r="V205" s="201">
        <f t="shared" si="148"/>
        <v>7226.5707259999999</v>
      </c>
      <c r="W205" s="201">
        <f t="shared" si="149"/>
        <v>7226.5707259999999</v>
      </c>
      <c r="X205" s="201">
        <f t="shared" si="150"/>
        <v>0</v>
      </c>
    </row>
    <row r="206" spans="1:24" s="169" customFormat="1" ht="26.4">
      <c r="A206" s="192">
        <v>184</v>
      </c>
      <c r="B206" s="165" t="s">
        <v>990</v>
      </c>
      <c r="C206" s="183" t="str">
        <f t="shared" si="114"/>
        <v>1047851</v>
      </c>
      <c r="D206" s="182" t="s">
        <v>1598</v>
      </c>
      <c r="E206" s="206"/>
      <c r="F206" s="207">
        <v>423</v>
      </c>
      <c r="G206" s="207"/>
      <c r="H206" s="205"/>
      <c r="I206" s="167">
        <v>3762678000</v>
      </c>
      <c r="J206" s="167">
        <v>25168000</v>
      </c>
      <c r="K206" s="167">
        <v>2562100000</v>
      </c>
      <c r="L206" s="168">
        <v>1175410000</v>
      </c>
      <c r="M206" s="168">
        <v>3762678000</v>
      </c>
      <c r="N206" s="168"/>
      <c r="O206" s="167">
        <v>2759250000</v>
      </c>
      <c r="P206" s="167">
        <v>2759250000</v>
      </c>
      <c r="Q206" s="168"/>
      <c r="S206" s="201">
        <f t="shared" si="145"/>
        <v>3762.6779999999999</v>
      </c>
      <c r="T206" s="201">
        <f t="shared" si="146"/>
        <v>3762.6779999999999</v>
      </c>
      <c r="U206" s="201">
        <f t="shared" si="147"/>
        <v>0</v>
      </c>
      <c r="V206" s="201">
        <f t="shared" si="148"/>
        <v>2759.25</v>
      </c>
      <c r="W206" s="201">
        <f t="shared" si="149"/>
        <v>2759.25</v>
      </c>
      <c r="X206" s="201">
        <f t="shared" si="150"/>
        <v>0</v>
      </c>
    </row>
    <row r="207" spans="1:24" s="169" customFormat="1" ht="39.6">
      <c r="A207" s="192">
        <v>185</v>
      </c>
      <c r="B207" s="215" t="s">
        <v>1535</v>
      </c>
      <c r="C207" s="183" t="str">
        <f t="shared" si="114"/>
        <v>006948-</v>
      </c>
      <c r="D207" s="182" t="s">
        <v>1625</v>
      </c>
      <c r="E207" s="206"/>
      <c r="F207" s="207">
        <v>422</v>
      </c>
      <c r="G207" s="207"/>
      <c r="H207" s="205"/>
      <c r="I207" s="166">
        <v>11338067000</v>
      </c>
      <c r="J207" s="167">
        <v>21000000</v>
      </c>
      <c r="K207" s="172">
        <v>10891513000</v>
      </c>
      <c r="L207" s="168">
        <v>425554000</v>
      </c>
      <c r="M207" s="168">
        <v>11338067000</v>
      </c>
      <c r="N207" s="168"/>
      <c r="O207" s="167">
        <v>11037267000</v>
      </c>
      <c r="P207" s="167">
        <v>11037267000</v>
      </c>
      <c r="Q207" s="168"/>
      <c r="S207" s="201">
        <f t="shared" si="145"/>
        <v>11338.066999999999</v>
      </c>
      <c r="T207" s="201">
        <f t="shared" si="146"/>
        <v>11338.066999999999</v>
      </c>
      <c r="U207" s="201">
        <f t="shared" si="147"/>
        <v>0</v>
      </c>
      <c r="V207" s="201">
        <f t="shared" si="148"/>
        <v>11037.267</v>
      </c>
      <c r="W207" s="201">
        <f t="shared" si="149"/>
        <v>11037.267</v>
      </c>
      <c r="X207" s="201">
        <f t="shared" si="150"/>
        <v>0</v>
      </c>
    </row>
    <row r="208" spans="1:24" s="169" customFormat="1" ht="39.6">
      <c r="A208" s="192">
        <v>186</v>
      </c>
      <c r="B208" s="165" t="s">
        <v>1197</v>
      </c>
      <c r="C208" s="183" t="str">
        <f t="shared" si="114"/>
        <v>1082133</v>
      </c>
      <c r="D208" s="182" t="s">
        <v>1637</v>
      </c>
      <c r="E208" s="206"/>
      <c r="F208" s="207">
        <v>422</v>
      </c>
      <c r="G208" s="207"/>
      <c r="H208" s="205"/>
      <c r="I208" s="167">
        <v>4279674000</v>
      </c>
      <c r="J208" s="166"/>
      <c r="K208" s="167">
        <v>4213856000</v>
      </c>
      <c r="L208" s="168">
        <v>65818000</v>
      </c>
      <c r="M208" s="168">
        <v>4279674000</v>
      </c>
      <c r="N208" s="168"/>
      <c r="O208" s="167">
        <v>4234641000</v>
      </c>
      <c r="P208" s="167">
        <v>4234641000</v>
      </c>
      <c r="Q208" s="168"/>
      <c r="S208" s="201">
        <f t="shared" si="145"/>
        <v>4279.674</v>
      </c>
      <c r="T208" s="201">
        <f t="shared" si="146"/>
        <v>4279.674</v>
      </c>
      <c r="U208" s="201">
        <f t="shared" si="147"/>
        <v>0</v>
      </c>
      <c r="V208" s="201">
        <f t="shared" si="148"/>
        <v>4234.6409999999996</v>
      </c>
      <c r="W208" s="201">
        <f t="shared" si="149"/>
        <v>4234.6409999999996</v>
      </c>
      <c r="X208" s="201">
        <f t="shared" si="150"/>
        <v>0</v>
      </c>
    </row>
    <row r="209" spans="1:24" s="169" customFormat="1" ht="27.6">
      <c r="A209" s="192">
        <v>187</v>
      </c>
      <c r="B209" s="165" t="s">
        <v>839</v>
      </c>
      <c r="C209" s="183" t="str">
        <f t="shared" si="114"/>
        <v>1037427</v>
      </c>
      <c r="D209" s="182" t="s">
        <v>1577</v>
      </c>
      <c r="E209" s="206"/>
      <c r="F209" s="207">
        <v>422</v>
      </c>
      <c r="G209" s="207"/>
      <c r="H209" s="205"/>
      <c r="I209" s="167">
        <v>12676065000</v>
      </c>
      <c r="J209" s="167">
        <v>2420000</v>
      </c>
      <c r="K209" s="167">
        <v>12605649000</v>
      </c>
      <c r="L209" s="168">
        <v>67996000</v>
      </c>
      <c r="M209" s="168">
        <v>12676065000</v>
      </c>
      <c r="N209" s="168"/>
      <c r="O209" s="167">
        <v>12671505000</v>
      </c>
      <c r="P209" s="167">
        <v>12671505000</v>
      </c>
      <c r="Q209" s="168"/>
      <c r="S209" s="201">
        <f t="shared" ref="S209:S217" si="151">I209/1000000</f>
        <v>12676.065000000001</v>
      </c>
      <c r="T209" s="201">
        <f t="shared" ref="T209:T217" si="152">M209/1000000</f>
        <v>12676.065000000001</v>
      </c>
      <c r="U209" s="201">
        <f t="shared" ref="U209:U217" si="153">N209/1000000</f>
        <v>0</v>
      </c>
      <c r="V209" s="201">
        <f t="shared" ref="V209:V217" si="154">O209/1000000</f>
        <v>12671.504999999999</v>
      </c>
      <c r="W209" s="201">
        <f t="shared" ref="W209:W217" si="155">P209/1000000</f>
        <v>12671.504999999999</v>
      </c>
      <c r="X209" s="201">
        <f t="shared" ref="X209:X217" si="156">Q209/1000000</f>
        <v>0</v>
      </c>
    </row>
    <row r="210" spans="1:24" s="169" customFormat="1" ht="26.4">
      <c r="A210" s="192">
        <v>188</v>
      </c>
      <c r="B210" s="165" t="s">
        <v>713</v>
      </c>
      <c r="C210" s="183" t="str">
        <f t="shared" si="114"/>
        <v>1012071</v>
      </c>
      <c r="D210" s="182" t="s">
        <v>1555</v>
      </c>
      <c r="E210" s="206"/>
      <c r="F210" s="207">
        <v>422</v>
      </c>
      <c r="G210" s="207"/>
      <c r="H210" s="205"/>
      <c r="I210" s="167">
        <v>9478749099</v>
      </c>
      <c r="J210" s="167">
        <v>316922099</v>
      </c>
      <c r="K210" s="167">
        <v>9082855000</v>
      </c>
      <c r="L210" s="168">
        <v>78972000</v>
      </c>
      <c r="M210" s="168">
        <v>9478749099</v>
      </c>
      <c r="N210" s="168"/>
      <c r="O210" s="167">
        <v>9381982810</v>
      </c>
      <c r="P210" s="167">
        <v>9381982810</v>
      </c>
      <c r="Q210" s="168"/>
      <c r="S210" s="201">
        <f t="shared" si="151"/>
        <v>9478.7490990000006</v>
      </c>
      <c r="T210" s="201">
        <f t="shared" si="152"/>
        <v>9478.7490990000006</v>
      </c>
      <c r="U210" s="201">
        <f t="shared" si="153"/>
        <v>0</v>
      </c>
      <c r="V210" s="201">
        <f t="shared" si="154"/>
        <v>9381.9828099999995</v>
      </c>
      <c r="W210" s="201">
        <f t="shared" si="155"/>
        <v>9381.9828099999995</v>
      </c>
      <c r="X210" s="201">
        <f t="shared" si="156"/>
        <v>0</v>
      </c>
    </row>
    <row r="211" spans="1:24" s="169" customFormat="1" ht="26.4">
      <c r="A211" s="192">
        <v>189</v>
      </c>
      <c r="B211" s="165" t="s">
        <v>1170</v>
      </c>
      <c r="C211" s="183" t="str">
        <f t="shared" si="114"/>
        <v>1067980</v>
      </c>
      <c r="D211" s="182" t="s">
        <v>1636</v>
      </c>
      <c r="E211" s="206"/>
      <c r="F211" s="207">
        <v>422</v>
      </c>
      <c r="G211" s="207"/>
      <c r="H211" s="205"/>
      <c r="I211" s="167">
        <v>7747523000</v>
      </c>
      <c r="J211" s="167">
        <v>145000000</v>
      </c>
      <c r="K211" s="167">
        <v>7527013000</v>
      </c>
      <c r="L211" s="168">
        <v>75510000</v>
      </c>
      <c r="M211" s="168">
        <v>7747523000</v>
      </c>
      <c r="N211" s="168"/>
      <c r="O211" s="167">
        <v>7741339129</v>
      </c>
      <c r="P211" s="167">
        <v>7741339129</v>
      </c>
      <c r="Q211" s="168"/>
      <c r="S211" s="201">
        <f t="shared" si="151"/>
        <v>7747.5230000000001</v>
      </c>
      <c r="T211" s="201">
        <f t="shared" si="152"/>
        <v>7747.5230000000001</v>
      </c>
      <c r="U211" s="201">
        <f t="shared" si="153"/>
        <v>0</v>
      </c>
      <c r="V211" s="201">
        <f t="shared" si="154"/>
        <v>7741.339129</v>
      </c>
      <c r="W211" s="201">
        <f t="shared" si="155"/>
        <v>7741.339129</v>
      </c>
      <c r="X211" s="201">
        <f t="shared" si="156"/>
        <v>0</v>
      </c>
    </row>
    <row r="212" spans="1:24" s="169" customFormat="1" ht="39.6">
      <c r="A212" s="192">
        <v>190</v>
      </c>
      <c r="B212" s="165" t="s">
        <v>1200</v>
      </c>
      <c r="C212" s="183" t="str">
        <f t="shared" si="114"/>
        <v>1082134</v>
      </c>
      <c r="D212" s="182" t="s">
        <v>1638</v>
      </c>
      <c r="E212" s="206"/>
      <c r="F212" s="207">
        <v>422</v>
      </c>
      <c r="G212" s="207"/>
      <c r="H212" s="205"/>
      <c r="I212" s="167">
        <v>5627652000</v>
      </c>
      <c r="J212" s="166"/>
      <c r="K212" s="167">
        <v>5495688000</v>
      </c>
      <c r="L212" s="168">
        <v>131964000</v>
      </c>
      <c r="M212" s="168">
        <v>5627652000</v>
      </c>
      <c r="N212" s="168"/>
      <c r="O212" s="167">
        <v>5581075860</v>
      </c>
      <c r="P212" s="167">
        <v>5581075860</v>
      </c>
      <c r="Q212" s="168"/>
      <c r="S212" s="201">
        <f t="shared" si="151"/>
        <v>5627.652</v>
      </c>
      <c r="T212" s="201">
        <f t="shared" si="152"/>
        <v>5627.652</v>
      </c>
      <c r="U212" s="201">
        <f t="shared" si="153"/>
        <v>0</v>
      </c>
      <c r="V212" s="201">
        <f t="shared" si="154"/>
        <v>5581.0758599999999</v>
      </c>
      <c r="W212" s="201">
        <f t="shared" si="155"/>
        <v>5581.0758599999999</v>
      </c>
      <c r="X212" s="201">
        <f t="shared" si="156"/>
        <v>0</v>
      </c>
    </row>
    <row r="213" spans="1:24" s="169" customFormat="1" ht="39.6">
      <c r="A213" s="192">
        <v>191</v>
      </c>
      <c r="B213" s="165" t="s">
        <v>1275</v>
      </c>
      <c r="C213" s="183" t="str">
        <f t="shared" si="114"/>
        <v>1098455</v>
      </c>
      <c r="D213" s="182" t="s">
        <v>1639</v>
      </c>
      <c r="E213" s="206"/>
      <c r="F213" s="207">
        <v>422</v>
      </c>
      <c r="G213" s="207"/>
      <c r="H213" s="205"/>
      <c r="I213" s="167">
        <v>8669501000</v>
      </c>
      <c r="J213" s="166"/>
      <c r="K213" s="167">
        <v>8328490000</v>
      </c>
      <c r="L213" s="168">
        <v>341011000</v>
      </c>
      <c r="M213" s="168">
        <v>8669501000</v>
      </c>
      <c r="N213" s="168"/>
      <c r="O213" s="167">
        <v>8361115000</v>
      </c>
      <c r="P213" s="167">
        <v>8361115000</v>
      </c>
      <c r="Q213" s="168"/>
      <c r="S213" s="201">
        <f t="shared" si="151"/>
        <v>8669.5010000000002</v>
      </c>
      <c r="T213" s="201">
        <f t="shared" si="152"/>
        <v>8669.5010000000002</v>
      </c>
      <c r="U213" s="201">
        <f t="shared" si="153"/>
        <v>0</v>
      </c>
      <c r="V213" s="201">
        <f t="shared" si="154"/>
        <v>8361.1149999999998</v>
      </c>
      <c r="W213" s="201">
        <f t="shared" si="155"/>
        <v>8361.1149999999998</v>
      </c>
      <c r="X213" s="201">
        <f t="shared" si="156"/>
        <v>0</v>
      </c>
    </row>
    <row r="214" spans="1:24" s="169" customFormat="1" ht="26.4">
      <c r="A214" s="192">
        <v>192</v>
      </c>
      <c r="B214" s="165" t="s">
        <v>798</v>
      </c>
      <c r="C214" s="183" t="str">
        <f t="shared" si="114"/>
        <v>1035637</v>
      </c>
      <c r="D214" s="182" t="s">
        <v>1565</v>
      </c>
      <c r="E214" s="206"/>
      <c r="F214" s="207">
        <v>422</v>
      </c>
      <c r="G214" s="207"/>
      <c r="H214" s="205"/>
      <c r="I214" s="167">
        <v>4988381000</v>
      </c>
      <c r="J214" s="166"/>
      <c r="K214" s="167">
        <v>4940146000</v>
      </c>
      <c r="L214" s="168">
        <v>48235000</v>
      </c>
      <c r="M214" s="168">
        <v>4988381000</v>
      </c>
      <c r="N214" s="168"/>
      <c r="O214" s="167">
        <v>4974983229</v>
      </c>
      <c r="P214" s="167">
        <v>4974983229</v>
      </c>
      <c r="Q214" s="168"/>
      <c r="S214" s="201">
        <f t="shared" si="151"/>
        <v>4988.3810000000003</v>
      </c>
      <c r="T214" s="201">
        <f t="shared" si="152"/>
        <v>4988.3810000000003</v>
      </c>
      <c r="U214" s="201">
        <f t="shared" si="153"/>
        <v>0</v>
      </c>
      <c r="V214" s="201">
        <f t="shared" si="154"/>
        <v>4974.9832290000004</v>
      </c>
      <c r="W214" s="201">
        <f t="shared" si="155"/>
        <v>4974.9832290000004</v>
      </c>
      <c r="X214" s="201">
        <f t="shared" si="156"/>
        <v>0</v>
      </c>
    </row>
    <row r="215" spans="1:24" s="169" customFormat="1" ht="27.6">
      <c r="A215" s="192">
        <v>193</v>
      </c>
      <c r="B215" s="165" t="s">
        <v>1154</v>
      </c>
      <c r="C215" s="183" t="str">
        <f t="shared" ref="C215:C228" si="157">IF(B215&lt;&gt;"",IF(AND(LEFT(B215,1)&gt;="0",LEFT(B215,1)&lt;="9"),LEFT(B215,7),""),"")</f>
        <v>1063798</v>
      </c>
      <c r="D215" s="182" t="s">
        <v>1635</v>
      </c>
      <c r="E215" s="206"/>
      <c r="F215" s="207">
        <v>422</v>
      </c>
      <c r="G215" s="207"/>
      <c r="H215" s="205"/>
      <c r="I215" s="167">
        <v>6347944000</v>
      </c>
      <c r="J215" s="166"/>
      <c r="K215" s="167">
        <v>6247081000</v>
      </c>
      <c r="L215" s="168">
        <v>100863000</v>
      </c>
      <c r="M215" s="168">
        <v>6347944000</v>
      </c>
      <c r="N215" s="168"/>
      <c r="O215" s="167">
        <v>6347014500</v>
      </c>
      <c r="P215" s="167">
        <v>6347014500</v>
      </c>
      <c r="Q215" s="168"/>
      <c r="S215" s="201">
        <f t="shared" si="151"/>
        <v>6347.9440000000004</v>
      </c>
      <c r="T215" s="201">
        <f t="shared" si="152"/>
        <v>6347.9440000000004</v>
      </c>
      <c r="U215" s="201">
        <f t="shared" si="153"/>
        <v>0</v>
      </c>
      <c r="V215" s="201">
        <f t="shared" si="154"/>
        <v>6347.0145000000002</v>
      </c>
      <c r="W215" s="201">
        <f t="shared" si="155"/>
        <v>6347.0145000000002</v>
      </c>
      <c r="X215" s="201">
        <f t="shared" si="156"/>
        <v>0</v>
      </c>
    </row>
    <row r="216" spans="1:24" s="169" customFormat="1" ht="26.4">
      <c r="A216" s="192">
        <v>194</v>
      </c>
      <c r="B216" s="176" t="s">
        <v>752</v>
      </c>
      <c r="C216" s="183" t="str">
        <f t="shared" si="157"/>
        <v>1016743</v>
      </c>
      <c r="D216" s="182" t="s">
        <v>1558</v>
      </c>
      <c r="E216" s="206"/>
      <c r="F216" s="207">
        <v>422</v>
      </c>
      <c r="G216" s="207"/>
      <c r="H216" s="205"/>
      <c r="I216" s="167">
        <v>6737583000</v>
      </c>
      <c r="J216" s="167">
        <v>1000000</v>
      </c>
      <c r="K216" s="167">
        <v>6495427000</v>
      </c>
      <c r="L216" s="168">
        <v>241156000</v>
      </c>
      <c r="M216" s="168">
        <v>6737583000</v>
      </c>
      <c r="N216" s="168"/>
      <c r="O216" s="167">
        <v>6683067556</v>
      </c>
      <c r="P216" s="167">
        <v>6683067556</v>
      </c>
      <c r="Q216" s="168"/>
      <c r="S216" s="201">
        <f t="shared" si="151"/>
        <v>6737.5829999999996</v>
      </c>
      <c r="T216" s="201">
        <f t="shared" si="152"/>
        <v>6737.5829999999996</v>
      </c>
      <c r="U216" s="201">
        <f t="shared" si="153"/>
        <v>0</v>
      </c>
      <c r="V216" s="201">
        <f t="shared" si="154"/>
        <v>6683.067556</v>
      </c>
      <c r="W216" s="201">
        <f t="shared" si="155"/>
        <v>6683.067556</v>
      </c>
      <c r="X216" s="201">
        <f t="shared" si="156"/>
        <v>0</v>
      </c>
    </row>
    <row r="217" spans="1:24" s="169" customFormat="1" ht="28.8">
      <c r="A217" s="192">
        <v>195</v>
      </c>
      <c r="B217" s="165" t="s">
        <v>1308</v>
      </c>
      <c r="C217" s="183" t="str">
        <f t="shared" si="157"/>
        <v>1106147</v>
      </c>
      <c r="D217" s="182" t="s">
        <v>1658</v>
      </c>
      <c r="E217" s="206"/>
      <c r="F217" s="207">
        <v>422</v>
      </c>
      <c r="G217" s="207"/>
      <c r="H217" s="205"/>
      <c r="I217" s="167">
        <v>3926822000</v>
      </c>
      <c r="J217" s="166"/>
      <c r="K217" s="167">
        <v>3923421000</v>
      </c>
      <c r="L217" s="168">
        <v>3401000</v>
      </c>
      <c r="M217" s="168">
        <v>3926822000</v>
      </c>
      <c r="N217" s="168"/>
      <c r="O217" s="167">
        <v>3922581500</v>
      </c>
      <c r="P217" s="167">
        <v>3922581500</v>
      </c>
      <c r="Q217" s="168"/>
      <c r="S217" s="201">
        <f t="shared" si="151"/>
        <v>3926.8220000000001</v>
      </c>
      <c r="T217" s="201">
        <f t="shared" si="152"/>
        <v>3926.8220000000001</v>
      </c>
      <c r="U217" s="201">
        <f t="shared" si="153"/>
        <v>0</v>
      </c>
      <c r="V217" s="201">
        <f t="shared" si="154"/>
        <v>3922.5814999999998</v>
      </c>
      <c r="W217" s="201">
        <f t="shared" si="155"/>
        <v>3922.5814999999998</v>
      </c>
      <c r="X217" s="201">
        <f t="shared" si="156"/>
        <v>0</v>
      </c>
    </row>
    <row r="218" spans="1:24" s="169" customFormat="1" ht="42">
      <c r="A218" s="192">
        <v>196</v>
      </c>
      <c r="B218" s="165" t="s">
        <v>1311</v>
      </c>
      <c r="C218" s="183" t="str">
        <f t="shared" si="157"/>
        <v>1106537</v>
      </c>
      <c r="D218" s="182" t="s">
        <v>1659</v>
      </c>
      <c r="E218" s="206"/>
      <c r="F218" s="207">
        <v>422</v>
      </c>
      <c r="G218" s="207"/>
      <c r="H218" s="205"/>
      <c r="I218" s="167">
        <v>4520596288</v>
      </c>
      <c r="J218" s="167">
        <v>106288</v>
      </c>
      <c r="K218" s="167">
        <v>4055280000</v>
      </c>
      <c r="L218" s="168">
        <v>465210000</v>
      </c>
      <c r="M218" s="168">
        <v>4520596288</v>
      </c>
      <c r="N218" s="168"/>
      <c r="O218" s="167">
        <v>4091981890</v>
      </c>
      <c r="P218" s="167">
        <v>4091981890</v>
      </c>
      <c r="Q218" s="168"/>
      <c r="S218" s="201">
        <f t="shared" ref="S218:S228" si="158">I218/1000000</f>
        <v>4520.5962879999997</v>
      </c>
      <c r="T218" s="201">
        <f t="shared" ref="T218:T228" si="159">M218/1000000</f>
        <v>4520.5962879999997</v>
      </c>
      <c r="U218" s="201">
        <f t="shared" ref="U218:U228" si="160">N218/1000000</f>
        <v>0</v>
      </c>
      <c r="V218" s="201">
        <f t="shared" ref="V218:V228" si="161">O218/1000000</f>
        <v>4091.98189</v>
      </c>
      <c r="W218" s="201">
        <f t="shared" ref="W218:W228" si="162">P218/1000000</f>
        <v>4091.98189</v>
      </c>
      <c r="X218" s="201">
        <f t="shared" ref="X218:X228" si="163">Q218/1000000</f>
        <v>0</v>
      </c>
    </row>
    <row r="219" spans="1:24" s="169" customFormat="1" ht="26.4">
      <c r="A219" s="192">
        <v>197</v>
      </c>
      <c r="B219" s="165" t="s">
        <v>1190</v>
      </c>
      <c r="C219" s="183" t="str">
        <f t="shared" si="157"/>
        <v>1081016</v>
      </c>
      <c r="D219" s="182" t="s">
        <v>1641</v>
      </c>
      <c r="E219" s="206"/>
      <c r="F219" s="207">
        <v>422</v>
      </c>
      <c r="G219" s="207"/>
      <c r="H219" s="205"/>
      <c r="I219" s="167">
        <v>6575268000</v>
      </c>
      <c r="J219" s="166"/>
      <c r="K219" s="167">
        <v>6026358000</v>
      </c>
      <c r="L219" s="168">
        <v>548910000</v>
      </c>
      <c r="M219" s="168">
        <v>6575268000</v>
      </c>
      <c r="N219" s="168"/>
      <c r="O219" s="167">
        <v>6149240500</v>
      </c>
      <c r="P219" s="167">
        <v>6149240500</v>
      </c>
      <c r="Q219" s="168"/>
      <c r="S219" s="201">
        <f t="shared" si="158"/>
        <v>6575.268</v>
      </c>
      <c r="T219" s="201">
        <f t="shared" si="159"/>
        <v>6575.268</v>
      </c>
      <c r="U219" s="201">
        <f t="shared" si="160"/>
        <v>0</v>
      </c>
      <c r="V219" s="201">
        <f t="shared" si="161"/>
        <v>6149.2404999999999</v>
      </c>
      <c r="W219" s="201">
        <f t="shared" si="162"/>
        <v>6149.2404999999999</v>
      </c>
      <c r="X219" s="201">
        <f t="shared" si="163"/>
        <v>0</v>
      </c>
    </row>
    <row r="220" spans="1:24" s="169" customFormat="1" ht="26.4">
      <c r="A220" s="192">
        <v>198</v>
      </c>
      <c r="B220" s="215" t="s">
        <v>1468</v>
      </c>
      <c r="C220" s="183" t="str">
        <f t="shared" si="157"/>
        <v>002685-</v>
      </c>
      <c r="D220" s="182" t="s">
        <v>1551</v>
      </c>
      <c r="E220" s="206"/>
      <c r="F220" s="207" t="s">
        <v>677</v>
      </c>
      <c r="G220" s="207"/>
      <c r="H220" s="205"/>
      <c r="I220" s="166">
        <v>7921874000</v>
      </c>
      <c r="J220" s="166"/>
      <c r="K220" s="167">
        <v>7908434000</v>
      </c>
      <c r="L220" s="168">
        <v>13440000</v>
      </c>
      <c r="M220" s="168">
        <v>7921874000</v>
      </c>
      <c r="N220" s="168"/>
      <c r="O220" s="167">
        <v>7921274000</v>
      </c>
      <c r="P220" s="167">
        <v>7921274000</v>
      </c>
      <c r="Q220" s="168"/>
      <c r="S220" s="201">
        <f t="shared" si="158"/>
        <v>7921.8739999999998</v>
      </c>
      <c r="T220" s="201">
        <f t="shared" si="159"/>
        <v>7921.8739999999998</v>
      </c>
      <c r="U220" s="201">
        <f t="shared" si="160"/>
        <v>0</v>
      </c>
      <c r="V220" s="201">
        <f t="shared" si="161"/>
        <v>7921.2740000000003</v>
      </c>
      <c r="W220" s="201">
        <f t="shared" si="162"/>
        <v>7921.2740000000003</v>
      </c>
      <c r="X220" s="201">
        <f t="shared" si="163"/>
        <v>0</v>
      </c>
    </row>
    <row r="221" spans="1:24" s="169" customFormat="1" ht="39.6">
      <c r="A221" s="192">
        <v>199</v>
      </c>
      <c r="B221" s="176" t="s">
        <v>1299</v>
      </c>
      <c r="C221" s="183" t="str">
        <f t="shared" si="157"/>
        <v>1105650</v>
      </c>
      <c r="D221" s="182" t="s">
        <v>1656</v>
      </c>
      <c r="E221" s="206"/>
      <c r="F221" s="207">
        <v>422</v>
      </c>
      <c r="G221" s="207"/>
      <c r="H221" s="205"/>
      <c r="I221" s="167">
        <v>7474643364</v>
      </c>
      <c r="J221" s="167">
        <v>73727364</v>
      </c>
      <c r="K221" s="167">
        <v>7267388000</v>
      </c>
      <c r="L221" s="168">
        <v>133528000</v>
      </c>
      <c r="M221" s="168">
        <v>7474643364</v>
      </c>
      <c r="N221" s="168"/>
      <c r="O221" s="167">
        <v>7454327414</v>
      </c>
      <c r="P221" s="167">
        <v>7454327414</v>
      </c>
      <c r="Q221" s="168"/>
      <c r="S221" s="201">
        <f t="shared" si="158"/>
        <v>7474.6433639999996</v>
      </c>
      <c r="T221" s="201">
        <f t="shared" si="159"/>
        <v>7474.6433639999996</v>
      </c>
      <c r="U221" s="201">
        <f t="shared" si="160"/>
        <v>0</v>
      </c>
      <c r="V221" s="201">
        <f t="shared" si="161"/>
        <v>7454.3274140000003</v>
      </c>
      <c r="W221" s="201">
        <f t="shared" si="162"/>
        <v>7454.3274140000003</v>
      </c>
      <c r="X221" s="201">
        <f t="shared" si="163"/>
        <v>0</v>
      </c>
    </row>
    <row r="222" spans="1:24" s="169" customFormat="1" ht="26.4">
      <c r="A222" s="192">
        <v>200</v>
      </c>
      <c r="B222" s="165" t="s">
        <v>1063</v>
      </c>
      <c r="C222" s="183" t="str">
        <f t="shared" si="157"/>
        <v>1048278</v>
      </c>
      <c r="D222" s="182" t="s">
        <v>1633</v>
      </c>
      <c r="E222" s="206"/>
      <c r="F222" s="207">
        <v>510</v>
      </c>
      <c r="G222" s="207"/>
      <c r="H222" s="205"/>
      <c r="I222" s="167">
        <v>6481200000</v>
      </c>
      <c r="J222" s="166"/>
      <c r="K222" s="167">
        <v>6201000000</v>
      </c>
      <c r="L222" s="168">
        <v>280200000</v>
      </c>
      <c r="M222" s="168">
        <v>6481200000</v>
      </c>
      <c r="N222" s="168"/>
      <c r="O222" s="167">
        <v>6292113575</v>
      </c>
      <c r="P222" s="167">
        <v>6292113575</v>
      </c>
      <c r="Q222" s="168"/>
      <c r="S222" s="201">
        <f t="shared" si="158"/>
        <v>6481.2</v>
      </c>
      <c r="T222" s="201">
        <f t="shared" si="159"/>
        <v>6481.2</v>
      </c>
      <c r="U222" s="201">
        <f t="shared" si="160"/>
        <v>0</v>
      </c>
      <c r="V222" s="201">
        <f t="shared" si="161"/>
        <v>6292.1135750000003</v>
      </c>
      <c r="W222" s="201">
        <f t="shared" si="162"/>
        <v>6292.1135750000003</v>
      </c>
      <c r="X222" s="201">
        <f t="shared" si="163"/>
        <v>0</v>
      </c>
    </row>
    <row r="223" spans="1:24" s="169" customFormat="1" ht="26.4">
      <c r="A223" s="192">
        <v>201</v>
      </c>
      <c r="B223" s="165" t="s">
        <v>1282</v>
      </c>
      <c r="C223" s="183" t="str">
        <f t="shared" si="157"/>
        <v>1098957</v>
      </c>
      <c r="D223" s="182" t="s">
        <v>1652</v>
      </c>
      <c r="E223" s="206"/>
      <c r="F223" s="207">
        <v>511</v>
      </c>
      <c r="G223" s="207"/>
      <c r="H223" s="205"/>
      <c r="I223" s="167">
        <v>171000000</v>
      </c>
      <c r="J223" s="166"/>
      <c r="K223" s="167">
        <v>171000000</v>
      </c>
      <c r="L223" s="171"/>
      <c r="M223" s="168">
        <v>171000000</v>
      </c>
      <c r="N223" s="171"/>
      <c r="O223" s="167">
        <v>171000000</v>
      </c>
      <c r="P223" s="167">
        <v>171000000</v>
      </c>
      <c r="Q223" s="171"/>
      <c r="S223" s="201">
        <f t="shared" si="158"/>
        <v>171</v>
      </c>
      <c r="T223" s="201">
        <f t="shared" si="159"/>
        <v>171</v>
      </c>
      <c r="U223" s="201">
        <f t="shared" si="160"/>
        <v>0</v>
      </c>
      <c r="V223" s="201">
        <f t="shared" si="161"/>
        <v>171</v>
      </c>
      <c r="W223" s="201">
        <f t="shared" si="162"/>
        <v>171</v>
      </c>
      <c r="X223" s="201">
        <f t="shared" si="163"/>
        <v>0</v>
      </c>
    </row>
    <row r="224" spans="1:24" s="169" customFormat="1" ht="26.4">
      <c r="A224" s="192">
        <v>202</v>
      </c>
      <c r="B224" s="165" t="s">
        <v>1184</v>
      </c>
      <c r="C224" s="183" t="str">
        <f t="shared" si="157"/>
        <v>1078438</v>
      </c>
      <c r="D224" s="182" t="s">
        <v>1522</v>
      </c>
      <c r="E224" s="206"/>
      <c r="F224" s="207">
        <v>426</v>
      </c>
      <c r="G224" s="207"/>
      <c r="H224" s="205"/>
      <c r="I224" s="167">
        <v>7742311853</v>
      </c>
      <c r="J224" s="167">
        <v>2011411853</v>
      </c>
      <c r="K224" s="167">
        <v>3338900000</v>
      </c>
      <c r="L224" s="168">
        <v>2392000000</v>
      </c>
      <c r="M224" s="168">
        <v>7742311853</v>
      </c>
      <c r="N224" s="168"/>
      <c r="O224" s="167">
        <v>6949211171</v>
      </c>
      <c r="P224" s="167">
        <v>6949211171</v>
      </c>
      <c r="Q224" s="168"/>
      <c r="S224" s="201">
        <f t="shared" si="158"/>
        <v>7742.3118530000002</v>
      </c>
      <c r="T224" s="201">
        <f t="shared" si="159"/>
        <v>7742.3118530000002</v>
      </c>
      <c r="U224" s="201">
        <f t="shared" si="160"/>
        <v>0</v>
      </c>
      <c r="V224" s="201">
        <f t="shared" si="161"/>
        <v>6949.2111709999999</v>
      </c>
      <c r="W224" s="201">
        <f t="shared" si="162"/>
        <v>6949.2111709999999</v>
      </c>
      <c r="X224" s="201">
        <f t="shared" si="163"/>
        <v>0</v>
      </c>
    </row>
    <row r="225" spans="1:24" s="169" customFormat="1" ht="39.6">
      <c r="A225" s="192">
        <v>203</v>
      </c>
      <c r="B225" s="165" t="s">
        <v>1414</v>
      </c>
      <c r="C225" s="183" t="str">
        <f t="shared" si="157"/>
        <v>3016323</v>
      </c>
      <c r="D225" s="182" t="s">
        <v>1672</v>
      </c>
      <c r="E225" s="206"/>
      <c r="F225" s="207">
        <v>412</v>
      </c>
      <c r="G225" s="207"/>
      <c r="H225" s="205"/>
      <c r="I225" s="167">
        <v>1059920000</v>
      </c>
      <c r="J225" s="167">
        <v>162920000</v>
      </c>
      <c r="K225" s="167">
        <v>350000000</v>
      </c>
      <c r="L225" s="168">
        <v>547000000</v>
      </c>
      <c r="M225" s="168">
        <v>350000000</v>
      </c>
      <c r="N225" s="168">
        <v>709920000</v>
      </c>
      <c r="O225" s="167">
        <v>983381912</v>
      </c>
      <c r="P225" s="167">
        <v>328271912</v>
      </c>
      <c r="Q225" s="168">
        <v>655110000</v>
      </c>
      <c r="S225" s="201">
        <f t="shared" si="158"/>
        <v>1059.92</v>
      </c>
      <c r="T225" s="201">
        <f t="shared" si="159"/>
        <v>350</v>
      </c>
      <c r="U225" s="201">
        <f t="shared" si="160"/>
        <v>709.92</v>
      </c>
      <c r="V225" s="201">
        <f t="shared" si="161"/>
        <v>983.38191200000006</v>
      </c>
      <c r="W225" s="201">
        <f t="shared" si="162"/>
        <v>328.27191199999999</v>
      </c>
      <c r="X225" s="201">
        <f t="shared" si="163"/>
        <v>655.11</v>
      </c>
    </row>
    <row r="226" spans="1:24" s="169" customFormat="1" ht="26.4">
      <c r="A226" s="192">
        <v>204</v>
      </c>
      <c r="B226" s="165" t="s">
        <v>723</v>
      </c>
      <c r="C226" s="183" t="str">
        <f t="shared" si="157"/>
        <v>1012444</v>
      </c>
      <c r="D226" s="182" t="s">
        <v>1538</v>
      </c>
      <c r="E226" s="206"/>
      <c r="F226" s="207">
        <v>402</v>
      </c>
      <c r="G226" s="207"/>
      <c r="H226" s="205"/>
      <c r="I226" s="167">
        <v>6363445518</v>
      </c>
      <c r="J226" s="167">
        <v>69785318</v>
      </c>
      <c r="K226" s="167">
        <v>5759000000</v>
      </c>
      <c r="L226" s="168">
        <v>534660200</v>
      </c>
      <c r="M226" s="168">
        <v>6363445518</v>
      </c>
      <c r="N226" s="168"/>
      <c r="O226" s="167">
        <v>6294910105</v>
      </c>
      <c r="P226" s="167">
        <v>6294910105</v>
      </c>
      <c r="Q226" s="168"/>
      <c r="S226" s="201">
        <f t="shared" si="158"/>
        <v>6363.4455180000004</v>
      </c>
      <c r="T226" s="201">
        <f t="shared" si="159"/>
        <v>6363.4455180000004</v>
      </c>
      <c r="U226" s="201">
        <f t="shared" si="160"/>
        <v>0</v>
      </c>
      <c r="V226" s="201">
        <f t="shared" si="161"/>
        <v>6294.9101049999999</v>
      </c>
      <c r="W226" s="201">
        <f t="shared" si="162"/>
        <v>6294.9101049999999</v>
      </c>
      <c r="X226" s="201">
        <f t="shared" si="163"/>
        <v>0</v>
      </c>
    </row>
    <row r="227" spans="1:24" s="169" customFormat="1" ht="26.4">
      <c r="A227" s="192">
        <v>205</v>
      </c>
      <c r="B227" s="165" t="s">
        <v>720</v>
      </c>
      <c r="C227" s="183" t="str">
        <f t="shared" si="157"/>
        <v>1012078</v>
      </c>
      <c r="D227" s="182" t="s">
        <v>1477</v>
      </c>
      <c r="E227" s="206"/>
      <c r="F227" s="207">
        <v>405</v>
      </c>
      <c r="G227" s="207"/>
      <c r="H227" s="205"/>
      <c r="I227" s="167">
        <v>17689258000</v>
      </c>
      <c r="J227" s="166"/>
      <c r="K227" s="167">
        <v>16584000000</v>
      </c>
      <c r="L227" s="168">
        <v>1105258000</v>
      </c>
      <c r="M227" s="168">
        <v>17689258000</v>
      </c>
      <c r="N227" s="168"/>
      <c r="O227" s="167">
        <v>17148632375</v>
      </c>
      <c r="P227" s="167">
        <v>17148632375</v>
      </c>
      <c r="Q227" s="168"/>
      <c r="S227" s="201">
        <f t="shared" si="158"/>
        <v>17689.258000000002</v>
      </c>
      <c r="T227" s="201">
        <f t="shared" si="159"/>
        <v>17689.258000000002</v>
      </c>
      <c r="U227" s="201">
        <f t="shared" si="160"/>
        <v>0</v>
      </c>
      <c r="V227" s="201">
        <f t="shared" si="161"/>
        <v>17148.632375000001</v>
      </c>
      <c r="W227" s="201">
        <f t="shared" si="162"/>
        <v>17148.632375000001</v>
      </c>
      <c r="X227" s="201">
        <f t="shared" si="163"/>
        <v>0</v>
      </c>
    </row>
    <row r="228" spans="1:24" s="169" customFormat="1" ht="39.6">
      <c r="A228" s="192">
        <v>206</v>
      </c>
      <c r="B228" s="165" t="s">
        <v>1350</v>
      </c>
      <c r="C228" s="183" t="str">
        <f t="shared" si="157"/>
        <v>1118341</v>
      </c>
      <c r="D228" s="182" t="s">
        <v>1679</v>
      </c>
      <c r="E228" s="206"/>
      <c r="F228" s="207">
        <v>422</v>
      </c>
      <c r="G228" s="207"/>
      <c r="H228" s="205"/>
      <c r="I228" s="167">
        <v>4513019000</v>
      </c>
      <c r="J228" s="167">
        <v>28215000</v>
      </c>
      <c r="K228" s="167">
        <v>4153169000</v>
      </c>
      <c r="L228" s="168">
        <v>331635000</v>
      </c>
      <c r="M228" s="168">
        <v>4513019000</v>
      </c>
      <c r="N228" s="168"/>
      <c r="O228" s="167">
        <v>4229034000</v>
      </c>
      <c r="P228" s="167">
        <v>4229034000</v>
      </c>
      <c r="Q228" s="168"/>
      <c r="S228" s="201">
        <f t="shared" si="158"/>
        <v>4513.0190000000002</v>
      </c>
      <c r="T228" s="201">
        <f t="shared" si="159"/>
        <v>4513.0190000000002</v>
      </c>
      <c r="U228" s="201">
        <f t="shared" si="160"/>
        <v>0</v>
      </c>
      <c r="V228" s="201">
        <f t="shared" si="161"/>
        <v>4229.0339999999997</v>
      </c>
      <c r="W228" s="201">
        <f t="shared" si="162"/>
        <v>4229.0339999999997</v>
      </c>
      <c r="X228" s="201">
        <f t="shared" si="163"/>
        <v>0</v>
      </c>
    </row>
  </sheetData>
  <sortState ref="A23:Q228">
    <sortCondition ref="D23:D228"/>
    <sortCondition ref="F23:F228"/>
  </sortState>
  <mergeCells count="30">
    <mergeCell ref="W14:X14"/>
    <mergeCell ref="S15:S17"/>
    <mergeCell ref="T15:U15"/>
    <mergeCell ref="W15:W17"/>
    <mergeCell ref="X15:X17"/>
    <mergeCell ref="T16:T17"/>
    <mergeCell ref="U16:U17"/>
    <mergeCell ref="S14:U14"/>
    <mergeCell ref="V14:V17"/>
    <mergeCell ref="M16:M17"/>
    <mergeCell ref="N16:N17"/>
    <mergeCell ref="O14:O17"/>
    <mergeCell ref="P14:Q14"/>
    <mergeCell ref="P15:P17"/>
    <mergeCell ref="Q15:Q17"/>
    <mergeCell ref="I14:N14"/>
    <mergeCell ref="M15:N15"/>
    <mergeCell ref="I15:I17"/>
    <mergeCell ref="J15:L15"/>
    <mergeCell ref="J16:J17"/>
    <mergeCell ref="K16:K17"/>
    <mergeCell ref="L16:L17"/>
    <mergeCell ref="F14:F17"/>
    <mergeCell ref="G14:G17"/>
    <mergeCell ref="H14:H17"/>
    <mergeCell ref="A14:A17"/>
    <mergeCell ref="B14:B17"/>
    <mergeCell ref="E14:E17"/>
    <mergeCell ref="D14:D17"/>
    <mergeCell ref="C14:C17"/>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228"/>
  <sheetViews>
    <sheetView topLeftCell="A13" workbookViewId="0">
      <selection activeCell="D25" sqref="D25"/>
    </sheetView>
  </sheetViews>
  <sheetFormatPr defaultColWidth="9.109375" defaultRowHeight="13.2" outlineLevelRow="1" outlineLevelCol="1"/>
  <cols>
    <col min="1" max="1" width="9.109375" style="190"/>
    <col min="2" max="2" width="31.33203125" style="149" hidden="1" customWidth="1" outlineLevel="1"/>
    <col min="3" max="3" width="10.33203125" style="149" hidden="1" customWidth="1" outlineLevel="1"/>
    <col min="4" max="4" width="46.6640625" style="149" customWidth="1" collapsed="1"/>
    <col min="5" max="7" width="9.109375" style="190"/>
    <col min="8" max="8" width="9.109375" style="208"/>
    <col min="9" max="9" width="18.5546875" style="149" customWidth="1"/>
    <col min="10" max="10" width="15" style="149" hidden="1" customWidth="1" outlineLevel="1"/>
    <col min="11" max="11" width="17.6640625" style="149" hidden="1" customWidth="1" outlineLevel="1"/>
    <col min="12" max="12" width="16" style="150" hidden="1" customWidth="1" outlineLevel="1"/>
    <col min="13" max="13" width="18.33203125" style="150" customWidth="1" collapsed="1"/>
    <col min="14" max="14" width="16" style="150" customWidth="1"/>
    <col min="15" max="17" width="17.6640625" style="149" customWidth="1"/>
    <col min="18" max="16384" width="9.109375" style="149"/>
  </cols>
  <sheetData>
    <row r="1" spans="1:24" hidden="1" outlineLevel="1">
      <c r="A1" s="189" t="s">
        <v>635</v>
      </c>
    </row>
    <row r="2" spans="1:24" hidden="1" outlineLevel="1">
      <c r="A2" s="189" t="s">
        <v>636</v>
      </c>
    </row>
    <row r="3" spans="1:24" hidden="1" outlineLevel="1"/>
    <row r="4" spans="1:24" hidden="1" outlineLevel="1">
      <c r="A4" s="189" t="s">
        <v>637</v>
      </c>
    </row>
    <row r="5" spans="1:24" hidden="1" outlineLevel="1">
      <c r="A5" s="189" t="s">
        <v>638</v>
      </c>
    </row>
    <row r="6" spans="1:24" hidden="1" outlineLevel="1">
      <c r="A6" s="189" t="s">
        <v>639</v>
      </c>
    </row>
    <row r="7" spans="1:24" hidden="1" outlineLevel="1">
      <c r="A7" s="189" t="s">
        <v>640</v>
      </c>
    </row>
    <row r="8" spans="1:24" hidden="1" outlineLevel="1"/>
    <row r="9" spans="1:24" hidden="1" outlineLevel="1">
      <c r="A9" s="189" t="s">
        <v>641</v>
      </c>
    </row>
    <row r="10" spans="1:24" hidden="1" outlineLevel="1">
      <c r="A10" s="189" t="s">
        <v>642</v>
      </c>
    </row>
    <row r="11" spans="1:24" hidden="1" outlineLevel="1"/>
    <row r="12" spans="1:24" hidden="1" outlineLevel="1">
      <c r="A12" s="189" t="s">
        <v>643</v>
      </c>
    </row>
    <row r="13" spans="1:24" ht="18.75" customHeight="1" collapsed="1">
      <c r="F13" s="216">
        <f t="shared" ref="F13:H13" si="0">F22-F19</f>
        <v>0</v>
      </c>
      <c r="G13" s="216">
        <f t="shared" si="0"/>
        <v>0</v>
      </c>
      <c r="H13" s="216">
        <f t="shared" si="0"/>
        <v>0</v>
      </c>
      <c r="I13" s="216">
        <f>I22-I19</f>
        <v>0</v>
      </c>
      <c r="J13" s="216">
        <f t="shared" ref="J13:N13" si="1">J22-J19</f>
        <v>0</v>
      </c>
      <c r="K13" s="216">
        <f t="shared" si="1"/>
        <v>0</v>
      </c>
      <c r="L13" s="216">
        <f t="shared" si="1"/>
        <v>0</v>
      </c>
      <c r="M13" s="216">
        <f t="shared" si="1"/>
        <v>1356067046973</v>
      </c>
      <c r="N13" s="216">
        <f t="shared" si="1"/>
        <v>11049920000</v>
      </c>
      <c r="O13" s="216">
        <f>O22-O19</f>
        <v>0</v>
      </c>
      <c r="W13" s="149" t="s">
        <v>1439</v>
      </c>
    </row>
    <row r="14" spans="1:24" s="197" customFormat="1" ht="15" customHeight="1">
      <c r="A14" s="846" t="s">
        <v>644</v>
      </c>
      <c r="B14" s="846" t="s">
        <v>645</v>
      </c>
      <c r="C14" s="848" t="s">
        <v>1433</v>
      </c>
      <c r="D14" s="847" t="s">
        <v>1434</v>
      </c>
      <c r="E14" s="840" t="s">
        <v>646</v>
      </c>
      <c r="F14" s="840" t="s">
        <v>647</v>
      </c>
      <c r="G14" s="840" t="s">
        <v>648</v>
      </c>
      <c r="H14" s="843" t="s">
        <v>649</v>
      </c>
      <c r="I14" s="854" t="s">
        <v>1438</v>
      </c>
      <c r="J14" s="854"/>
      <c r="K14" s="854"/>
      <c r="L14" s="854"/>
      <c r="M14" s="854"/>
      <c r="N14" s="854"/>
      <c r="O14" s="849" t="s">
        <v>1435</v>
      </c>
      <c r="P14" s="850" t="s">
        <v>162</v>
      </c>
      <c r="Q14" s="851"/>
      <c r="S14" s="854" t="s">
        <v>1438</v>
      </c>
      <c r="T14" s="854"/>
      <c r="U14" s="854"/>
      <c r="V14" s="849" t="s">
        <v>1435</v>
      </c>
      <c r="W14" s="850" t="s">
        <v>162</v>
      </c>
      <c r="X14" s="851"/>
    </row>
    <row r="15" spans="1:24" s="197" customFormat="1">
      <c r="A15" s="846"/>
      <c r="B15" s="846"/>
      <c r="C15" s="848"/>
      <c r="D15" s="847"/>
      <c r="E15" s="841"/>
      <c r="F15" s="841"/>
      <c r="G15" s="841"/>
      <c r="H15" s="844"/>
      <c r="I15" s="855" t="s">
        <v>650</v>
      </c>
      <c r="J15" s="855" t="s">
        <v>651</v>
      </c>
      <c r="K15" s="855"/>
      <c r="L15" s="855"/>
      <c r="M15" s="850" t="s">
        <v>162</v>
      </c>
      <c r="N15" s="851"/>
      <c r="O15" s="849"/>
      <c r="P15" s="852" t="s">
        <v>1436</v>
      </c>
      <c r="Q15" s="853" t="s">
        <v>1437</v>
      </c>
      <c r="S15" s="855" t="s">
        <v>650</v>
      </c>
      <c r="T15" s="850" t="s">
        <v>162</v>
      </c>
      <c r="U15" s="851"/>
      <c r="V15" s="849"/>
      <c r="W15" s="852" t="s">
        <v>1436</v>
      </c>
      <c r="X15" s="853" t="s">
        <v>1437</v>
      </c>
    </row>
    <row r="16" spans="1:24" s="197" customFormat="1" ht="12.75" customHeight="1">
      <c r="A16" s="846"/>
      <c r="B16" s="846"/>
      <c r="C16" s="848"/>
      <c r="D16" s="847"/>
      <c r="E16" s="841"/>
      <c r="F16" s="841"/>
      <c r="G16" s="841"/>
      <c r="H16" s="844"/>
      <c r="I16" s="846"/>
      <c r="J16" s="856" t="s">
        <v>652</v>
      </c>
      <c r="K16" s="856" t="s">
        <v>653</v>
      </c>
      <c r="L16" s="857" t="s">
        <v>654</v>
      </c>
      <c r="M16" s="843" t="s">
        <v>1436</v>
      </c>
      <c r="N16" s="843" t="s">
        <v>1437</v>
      </c>
      <c r="O16" s="849"/>
      <c r="P16" s="852"/>
      <c r="Q16" s="853"/>
      <c r="S16" s="846"/>
      <c r="T16" s="843" t="s">
        <v>1436</v>
      </c>
      <c r="U16" s="843" t="s">
        <v>1437</v>
      </c>
      <c r="V16" s="849"/>
      <c r="W16" s="852"/>
      <c r="X16" s="853"/>
    </row>
    <row r="17" spans="1:24" s="197" customFormat="1" ht="59.25" customHeight="1">
      <c r="A17" s="846"/>
      <c r="B17" s="846"/>
      <c r="C17" s="848"/>
      <c r="D17" s="847"/>
      <c r="E17" s="842"/>
      <c r="F17" s="842"/>
      <c r="G17" s="842"/>
      <c r="H17" s="845"/>
      <c r="I17" s="846"/>
      <c r="J17" s="856"/>
      <c r="K17" s="856"/>
      <c r="L17" s="857"/>
      <c r="M17" s="844"/>
      <c r="N17" s="845"/>
      <c r="O17" s="849"/>
      <c r="P17" s="852"/>
      <c r="Q17" s="853"/>
      <c r="S17" s="846"/>
      <c r="T17" s="844"/>
      <c r="U17" s="845"/>
      <c r="V17" s="849"/>
      <c r="W17" s="852"/>
      <c r="X17" s="853"/>
    </row>
    <row r="18" spans="1:24">
      <c r="A18" s="151" t="s">
        <v>655</v>
      </c>
      <c r="B18" s="151" t="s">
        <v>656</v>
      </c>
      <c r="C18" s="151"/>
      <c r="D18" s="151"/>
      <c r="E18" s="151" t="s">
        <v>657</v>
      </c>
      <c r="F18" s="151" t="s">
        <v>658</v>
      </c>
      <c r="G18" s="151" t="s">
        <v>659</v>
      </c>
      <c r="H18" s="209" t="s">
        <v>660</v>
      </c>
      <c r="I18" s="152" t="s">
        <v>661</v>
      </c>
      <c r="J18" s="151" t="s">
        <v>662</v>
      </c>
      <c r="K18" s="151" t="s">
        <v>663</v>
      </c>
      <c r="L18" s="198" t="s">
        <v>664</v>
      </c>
      <c r="M18" s="200"/>
      <c r="N18" s="200"/>
      <c r="O18" s="199" t="s">
        <v>665</v>
      </c>
      <c r="P18" s="151"/>
      <c r="Q18" s="151"/>
      <c r="S18" s="152" t="s">
        <v>661</v>
      </c>
      <c r="T18" s="200"/>
      <c r="U18" s="200"/>
      <c r="V18" s="199" t="s">
        <v>665</v>
      </c>
      <c r="W18" s="151"/>
      <c r="X18" s="151"/>
    </row>
    <row r="19" spans="1:24" s="153" customFormat="1" hidden="1" outlineLevel="1">
      <c r="A19" s="104"/>
      <c r="B19" s="154" t="s">
        <v>148</v>
      </c>
      <c r="C19" s="181"/>
      <c r="D19" s="181"/>
      <c r="E19" s="202"/>
      <c r="F19" s="202"/>
      <c r="G19" s="202"/>
      <c r="H19" s="203"/>
      <c r="I19" s="155">
        <v>1367116966973</v>
      </c>
      <c r="J19" s="155">
        <v>92332580561</v>
      </c>
      <c r="K19" s="156">
        <v>1064982786772</v>
      </c>
      <c r="L19" s="157">
        <v>209801599640</v>
      </c>
      <c r="M19" s="157"/>
      <c r="N19" s="157"/>
      <c r="O19" s="158">
        <v>1245405587745</v>
      </c>
      <c r="P19" s="158"/>
      <c r="Q19" s="158"/>
    </row>
    <row r="20" spans="1:24" s="153" customFormat="1" hidden="1" outlineLevel="1">
      <c r="A20" s="191"/>
      <c r="B20" s="159"/>
      <c r="C20" s="159"/>
      <c r="D20" s="185" t="s">
        <v>670</v>
      </c>
      <c r="E20" s="204"/>
      <c r="F20" s="204"/>
      <c r="G20" s="204"/>
      <c r="H20" s="205"/>
      <c r="I20" s="160">
        <v>1271860559373</v>
      </c>
      <c r="J20" s="160">
        <v>72903660561</v>
      </c>
      <c r="K20" s="161">
        <v>1064212496772</v>
      </c>
      <c r="L20" s="162">
        <v>134744402040</v>
      </c>
      <c r="M20" s="162"/>
      <c r="N20" s="162"/>
      <c r="O20" s="160">
        <v>1195665138417</v>
      </c>
      <c r="P20" s="160"/>
      <c r="Q20" s="160"/>
    </row>
    <row r="21" spans="1:24" s="153" customFormat="1" hidden="1" outlineLevel="1">
      <c r="A21" s="191"/>
      <c r="B21" s="159"/>
      <c r="C21" s="159"/>
      <c r="D21" s="185" t="s">
        <v>671</v>
      </c>
      <c r="E21" s="204"/>
      <c r="F21" s="204"/>
      <c r="G21" s="204"/>
      <c r="H21" s="205"/>
      <c r="I21" s="163">
        <v>95256407600</v>
      </c>
      <c r="J21" s="160">
        <v>19428920000</v>
      </c>
      <c r="K21" s="160">
        <v>770290000</v>
      </c>
      <c r="L21" s="162">
        <v>75057197600</v>
      </c>
      <c r="M21" s="162"/>
      <c r="N21" s="162"/>
      <c r="O21" s="160">
        <v>49740449328</v>
      </c>
      <c r="P21" s="160"/>
      <c r="Q21" s="160"/>
    </row>
    <row r="22" spans="1:24" s="153" customFormat="1" collapsed="1">
      <c r="A22" s="191"/>
      <c r="B22" s="159"/>
      <c r="C22" s="159"/>
      <c r="D22" s="191" t="s">
        <v>126</v>
      </c>
      <c r="E22" s="204"/>
      <c r="F22" s="204"/>
      <c r="G22" s="204"/>
      <c r="H22" s="205"/>
      <c r="I22" s="163">
        <f>SUM(I23:I228)</f>
        <v>1367116966973</v>
      </c>
      <c r="J22" s="163">
        <f t="shared" ref="J22:Q22" si="2">SUM(J23:J228)</f>
        <v>92332580561</v>
      </c>
      <c r="K22" s="163">
        <f t="shared" si="2"/>
        <v>1064982786772</v>
      </c>
      <c r="L22" s="163">
        <f t="shared" si="2"/>
        <v>209801599640</v>
      </c>
      <c r="M22" s="163">
        <f t="shared" si="2"/>
        <v>1356067046973</v>
      </c>
      <c r="N22" s="163">
        <f t="shared" si="2"/>
        <v>11049920000</v>
      </c>
      <c r="O22" s="163">
        <f t="shared" si="2"/>
        <v>1245405587745</v>
      </c>
      <c r="P22" s="163">
        <f t="shared" si="2"/>
        <v>1236961817455</v>
      </c>
      <c r="Q22" s="163">
        <f t="shared" si="2"/>
        <v>8443770290</v>
      </c>
    </row>
    <row r="23" spans="1:24" s="169" customFormat="1" ht="26.4">
      <c r="A23" s="192" t="s">
        <v>672</v>
      </c>
      <c r="B23" s="215" t="s">
        <v>1468</v>
      </c>
      <c r="C23" s="183" t="str">
        <f t="shared" ref="C23:C86" si="3">IF(B23&lt;&gt;"",IF(AND(LEFT(B23,1)&gt;="0",LEFT(B23,1)&lt;="9"),LEFT(B23,7),""),"")</f>
        <v>002685-</v>
      </c>
      <c r="D23" s="182" t="s">
        <v>1551</v>
      </c>
      <c r="E23" s="206"/>
      <c r="F23" s="192" t="s">
        <v>677</v>
      </c>
      <c r="G23" s="207"/>
      <c r="H23" s="205"/>
      <c r="I23" s="166">
        <v>7921874000</v>
      </c>
      <c r="J23" s="166"/>
      <c r="K23" s="167">
        <v>7908434000</v>
      </c>
      <c r="L23" s="168">
        <v>13440000</v>
      </c>
      <c r="M23" s="168">
        <v>7921874000</v>
      </c>
      <c r="N23" s="168"/>
      <c r="O23" s="167">
        <v>7921274000</v>
      </c>
      <c r="P23" s="167">
        <v>7921274000</v>
      </c>
      <c r="Q23" s="168"/>
      <c r="S23" s="201">
        <f>I23/1000000</f>
        <v>7921.8739999999998</v>
      </c>
      <c r="T23" s="201">
        <f>M23/1000000</f>
        <v>7921.8739999999998</v>
      </c>
      <c r="U23" s="201">
        <f>N23/1000000</f>
        <v>0</v>
      </c>
      <c r="V23" s="201">
        <f>O23/1000000</f>
        <v>7921.2740000000003</v>
      </c>
      <c r="W23" s="201">
        <f t="shared" ref="W23:X38" si="4">P23/1000000</f>
        <v>7921.2740000000003</v>
      </c>
      <c r="X23" s="201">
        <f t="shared" si="4"/>
        <v>0</v>
      </c>
    </row>
    <row r="24" spans="1:24" s="169" customFormat="1" ht="39.6">
      <c r="A24" s="192" t="s">
        <v>682</v>
      </c>
      <c r="B24" s="215" t="s">
        <v>1535</v>
      </c>
      <c r="C24" s="183" t="str">
        <f t="shared" si="3"/>
        <v>006948-</v>
      </c>
      <c r="D24" s="182" t="s">
        <v>1625</v>
      </c>
      <c r="E24" s="206"/>
      <c r="F24" s="192">
        <v>422</v>
      </c>
      <c r="G24" s="207"/>
      <c r="H24" s="205"/>
      <c r="I24" s="166">
        <v>11338067000</v>
      </c>
      <c r="J24" s="167">
        <v>21000000</v>
      </c>
      <c r="K24" s="172">
        <v>10891513000</v>
      </c>
      <c r="L24" s="168">
        <v>425554000</v>
      </c>
      <c r="M24" s="168">
        <v>11338067000</v>
      </c>
      <c r="N24" s="168"/>
      <c r="O24" s="167">
        <v>11037267000</v>
      </c>
      <c r="P24" s="167">
        <v>11037267000</v>
      </c>
      <c r="Q24" s="168"/>
      <c r="S24" s="201">
        <f t="shared" ref="S24:S87" si="5">I24/1000000</f>
        <v>11338.066999999999</v>
      </c>
      <c r="T24" s="201">
        <f t="shared" ref="T24:X39" si="6">M24/1000000</f>
        <v>11338.066999999999</v>
      </c>
      <c r="U24" s="201">
        <f t="shared" si="6"/>
        <v>0</v>
      </c>
      <c r="V24" s="201">
        <f t="shared" si="6"/>
        <v>11037.267</v>
      </c>
      <c r="W24" s="201">
        <f t="shared" si="4"/>
        <v>11037.267</v>
      </c>
      <c r="X24" s="201">
        <f t="shared" si="4"/>
        <v>0</v>
      </c>
    </row>
    <row r="25" spans="1:24" s="169" customFormat="1" ht="26.4">
      <c r="A25" s="192" t="s">
        <v>657</v>
      </c>
      <c r="B25" s="176" t="s">
        <v>687</v>
      </c>
      <c r="C25" s="183" t="str">
        <f t="shared" si="3"/>
        <v>1007205</v>
      </c>
      <c r="D25" s="182" t="s">
        <v>1536</v>
      </c>
      <c r="E25" s="206"/>
      <c r="F25" s="192" t="s">
        <v>677</v>
      </c>
      <c r="G25" s="207"/>
      <c r="H25" s="205"/>
      <c r="I25" s="167">
        <v>4048788000</v>
      </c>
      <c r="J25" s="167">
        <v>152420000</v>
      </c>
      <c r="K25" s="167">
        <v>3859368000</v>
      </c>
      <c r="L25" s="168">
        <v>37000000</v>
      </c>
      <c r="M25" s="168">
        <v>4048788000</v>
      </c>
      <c r="N25" s="168"/>
      <c r="O25" s="167">
        <v>4042708000</v>
      </c>
      <c r="P25" s="167">
        <v>4042708000</v>
      </c>
      <c r="Q25" s="168"/>
      <c r="S25" s="201">
        <f t="shared" si="5"/>
        <v>4048.788</v>
      </c>
      <c r="T25" s="201">
        <f t="shared" si="6"/>
        <v>4048.788</v>
      </c>
      <c r="U25" s="201">
        <f t="shared" si="6"/>
        <v>0</v>
      </c>
      <c r="V25" s="201">
        <f t="shared" si="6"/>
        <v>4042.7080000000001</v>
      </c>
      <c r="W25" s="201">
        <f t="shared" si="4"/>
        <v>4042.7080000000001</v>
      </c>
      <c r="X25" s="201">
        <f t="shared" si="4"/>
        <v>0</v>
      </c>
    </row>
    <row r="26" spans="1:24" s="169" customFormat="1" ht="26.4">
      <c r="A26" s="192" t="s">
        <v>658</v>
      </c>
      <c r="B26" s="176" t="s">
        <v>692</v>
      </c>
      <c r="C26" s="183" t="str">
        <f t="shared" si="3"/>
        <v>1008744</v>
      </c>
      <c r="D26" s="182" t="s">
        <v>1507</v>
      </c>
      <c r="E26" s="206"/>
      <c r="F26" s="192" t="s">
        <v>694</v>
      </c>
      <c r="G26" s="207"/>
      <c r="H26" s="205"/>
      <c r="I26" s="167">
        <v>270000000</v>
      </c>
      <c r="J26" s="166"/>
      <c r="K26" s="167">
        <v>270000000</v>
      </c>
      <c r="L26" s="171"/>
      <c r="M26" s="168">
        <v>270000000</v>
      </c>
      <c r="N26" s="171"/>
      <c r="O26" s="167">
        <v>270000000</v>
      </c>
      <c r="P26" s="167">
        <v>270000000</v>
      </c>
      <c r="Q26" s="171"/>
      <c r="S26" s="201">
        <f t="shared" si="5"/>
        <v>270</v>
      </c>
      <c r="T26" s="201">
        <f t="shared" si="6"/>
        <v>270</v>
      </c>
      <c r="U26" s="201">
        <f t="shared" si="6"/>
        <v>0</v>
      </c>
      <c r="V26" s="201">
        <f t="shared" si="6"/>
        <v>270</v>
      </c>
      <c r="W26" s="201">
        <f t="shared" si="4"/>
        <v>270</v>
      </c>
      <c r="X26" s="201">
        <f t="shared" si="4"/>
        <v>0</v>
      </c>
    </row>
    <row r="27" spans="1:24" s="169" customFormat="1" ht="26.4">
      <c r="A27" s="192" t="s">
        <v>659</v>
      </c>
      <c r="B27" s="176" t="s">
        <v>696</v>
      </c>
      <c r="C27" s="183" t="str">
        <f t="shared" si="3"/>
        <v>1010558</v>
      </c>
      <c r="D27" s="182" t="s">
        <v>1476</v>
      </c>
      <c r="E27" s="206"/>
      <c r="F27" s="207">
        <v>412</v>
      </c>
      <c r="G27" s="207"/>
      <c r="H27" s="205"/>
      <c r="I27" s="167">
        <v>13708487000</v>
      </c>
      <c r="J27" s="167">
        <v>3787000000</v>
      </c>
      <c r="K27" s="167">
        <v>4813000000</v>
      </c>
      <c r="L27" s="168">
        <v>5108487000</v>
      </c>
      <c r="M27" s="168">
        <v>13708487000</v>
      </c>
      <c r="N27" s="168"/>
      <c r="O27" s="167">
        <v>8889988150</v>
      </c>
      <c r="P27" s="167">
        <v>8889988150</v>
      </c>
      <c r="Q27" s="168"/>
      <c r="S27" s="201">
        <f t="shared" si="5"/>
        <v>13708.486999999999</v>
      </c>
      <c r="T27" s="201">
        <f t="shared" si="6"/>
        <v>13708.486999999999</v>
      </c>
      <c r="U27" s="201">
        <f t="shared" si="6"/>
        <v>0</v>
      </c>
      <c r="V27" s="201">
        <f t="shared" si="6"/>
        <v>8889.9881499999992</v>
      </c>
      <c r="W27" s="201">
        <f t="shared" si="4"/>
        <v>8889.9881499999992</v>
      </c>
      <c r="X27" s="201">
        <f t="shared" si="4"/>
        <v>0</v>
      </c>
    </row>
    <row r="28" spans="1:24" s="169" customFormat="1" ht="26.4">
      <c r="A28" s="192" t="s">
        <v>702</v>
      </c>
      <c r="B28" s="176" t="s">
        <v>703</v>
      </c>
      <c r="C28" s="183" t="str">
        <f t="shared" si="3"/>
        <v>1010559</v>
      </c>
      <c r="D28" s="182" t="s">
        <v>1552</v>
      </c>
      <c r="E28" s="206"/>
      <c r="F28" s="207">
        <v>423</v>
      </c>
      <c r="G28" s="207"/>
      <c r="H28" s="205"/>
      <c r="I28" s="167">
        <v>174000000</v>
      </c>
      <c r="J28" s="166"/>
      <c r="K28" s="167">
        <v>174000000</v>
      </c>
      <c r="L28" s="171"/>
      <c r="M28" s="168">
        <v>174000000</v>
      </c>
      <c r="N28" s="171"/>
      <c r="O28" s="167">
        <v>174000000</v>
      </c>
      <c r="P28" s="167">
        <v>174000000</v>
      </c>
      <c r="Q28" s="171"/>
      <c r="S28" s="201">
        <f t="shared" si="5"/>
        <v>174</v>
      </c>
      <c r="T28" s="201">
        <f t="shared" si="6"/>
        <v>174</v>
      </c>
      <c r="U28" s="201">
        <f t="shared" si="6"/>
        <v>0</v>
      </c>
      <c r="V28" s="201">
        <f t="shared" si="6"/>
        <v>174</v>
      </c>
      <c r="W28" s="201">
        <f t="shared" si="4"/>
        <v>174</v>
      </c>
      <c r="X28" s="201">
        <f t="shared" si="4"/>
        <v>0</v>
      </c>
    </row>
    <row r="29" spans="1:24" s="169" customFormat="1" ht="26.4">
      <c r="A29" s="192" t="s">
        <v>707</v>
      </c>
      <c r="B29" s="165" t="s">
        <v>708</v>
      </c>
      <c r="C29" s="183" t="str">
        <f t="shared" si="3"/>
        <v>1012069</v>
      </c>
      <c r="D29" s="182" t="s">
        <v>1553</v>
      </c>
      <c r="E29" s="206"/>
      <c r="F29" s="207">
        <v>422</v>
      </c>
      <c r="G29" s="207"/>
      <c r="H29" s="205"/>
      <c r="I29" s="167">
        <v>11893387000</v>
      </c>
      <c r="J29" s="166"/>
      <c r="K29" s="167">
        <v>10733687000</v>
      </c>
      <c r="L29" s="168">
        <v>1159700000</v>
      </c>
      <c r="M29" s="168">
        <v>11893387000</v>
      </c>
      <c r="N29" s="168"/>
      <c r="O29" s="167">
        <v>10761596900</v>
      </c>
      <c r="P29" s="167">
        <v>10761596900</v>
      </c>
      <c r="Q29" s="168"/>
      <c r="S29" s="201">
        <f t="shared" si="5"/>
        <v>11893.387000000001</v>
      </c>
      <c r="T29" s="201">
        <f t="shared" si="6"/>
        <v>11893.387000000001</v>
      </c>
      <c r="U29" s="201">
        <f t="shared" si="6"/>
        <v>0</v>
      </c>
      <c r="V29" s="201">
        <f t="shared" si="6"/>
        <v>10761.5969</v>
      </c>
      <c r="W29" s="201">
        <f t="shared" si="4"/>
        <v>10761.5969</v>
      </c>
      <c r="X29" s="201">
        <f t="shared" si="4"/>
        <v>0</v>
      </c>
    </row>
    <row r="30" spans="1:24" s="169" customFormat="1" ht="26.4">
      <c r="A30" s="192" t="s">
        <v>710</v>
      </c>
      <c r="B30" s="165" t="s">
        <v>711</v>
      </c>
      <c r="C30" s="183" t="str">
        <f t="shared" si="3"/>
        <v>1012070</v>
      </c>
      <c r="D30" s="182" t="s">
        <v>1554</v>
      </c>
      <c r="E30" s="206"/>
      <c r="F30" s="207">
        <v>422</v>
      </c>
      <c r="G30" s="207"/>
      <c r="H30" s="205"/>
      <c r="I30" s="167">
        <v>9183011000</v>
      </c>
      <c r="J30" s="166"/>
      <c r="K30" s="167">
        <v>8920897000</v>
      </c>
      <c r="L30" s="168">
        <v>262114000</v>
      </c>
      <c r="M30" s="168">
        <v>9183011000</v>
      </c>
      <c r="N30" s="168"/>
      <c r="O30" s="167">
        <v>8355089456</v>
      </c>
      <c r="P30" s="167">
        <v>8355089456</v>
      </c>
      <c r="Q30" s="168"/>
      <c r="S30" s="201">
        <f t="shared" si="5"/>
        <v>9183.0110000000004</v>
      </c>
      <c r="T30" s="201">
        <f t="shared" si="6"/>
        <v>9183.0110000000004</v>
      </c>
      <c r="U30" s="201">
        <f t="shared" si="6"/>
        <v>0</v>
      </c>
      <c r="V30" s="201">
        <f t="shared" si="6"/>
        <v>8355.0894559999997</v>
      </c>
      <c r="W30" s="201">
        <f t="shared" si="4"/>
        <v>8355.0894559999997</v>
      </c>
      <c r="X30" s="201">
        <f t="shared" si="4"/>
        <v>0</v>
      </c>
    </row>
    <row r="31" spans="1:24" s="169" customFormat="1" ht="26.4">
      <c r="A31" s="192" t="s">
        <v>663</v>
      </c>
      <c r="B31" s="165" t="s">
        <v>713</v>
      </c>
      <c r="C31" s="183" t="str">
        <f t="shared" si="3"/>
        <v>1012071</v>
      </c>
      <c r="D31" s="182" t="s">
        <v>1555</v>
      </c>
      <c r="E31" s="206"/>
      <c r="F31" s="207">
        <v>422</v>
      </c>
      <c r="G31" s="207"/>
      <c r="H31" s="205"/>
      <c r="I31" s="167">
        <v>9478749099</v>
      </c>
      <c r="J31" s="167">
        <v>316922099</v>
      </c>
      <c r="K31" s="167">
        <v>9082855000</v>
      </c>
      <c r="L31" s="168">
        <v>78972000</v>
      </c>
      <c r="M31" s="168">
        <v>9478749099</v>
      </c>
      <c r="N31" s="168"/>
      <c r="O31" s="167">
        <v>9381982810</v>
      </c>
      <c r="P31" s="167">
        <v>9381982810</v>
      </c>
      <c r="Q31" s="168"/>
      <c r="S31" s="201">
        <f t="shared" si="5"/>
        <v>9478.7490990000006</v>
      </c>
      <c r="T31" s="201">
        <f t="shared" si="6"/>
        <v>9478.7490990000006</v>
      </c>
      <c r="U31" s="201">
        <f t="shared" si="6"/>
        <v>0</v>
      </c>
      <c r="V31" s="201">
        <f t="shared" si="6"/>
        <v>9381.9828099999995</v>
      </c>
      <c r="W31" s="201">
        <f t="shared" si="4"/>
        <v>9381.9828099999995</v>
      </c>
      <c r="X31" s="201">
        <f t="shared" si="4"/>
        <v>0</v>
      </c>
    </row>
    <row r="32" spans="1:24" s="169" customFormat="1" ht="26.4">
      <c r="A32" s="192" t="s">
        <v>715</v>
      </c>
      <c r="B32" s="165" t="s">
        <v>716</v>
      </c>
      <c r="C32" s="183" t="str">
        <f t="shared" si="3"/>
        <v>1012077</v>
      </c>
      <c r="D32" s="182" t="s">
        <v>1537</v>
      </c>
      <c r="E32" s="206"/>
      <c r="F32" s="207">
        <v>422</v>
      </c>
      <c r="G32" s="207"/>
      <c r="H32" s="205"/>
      <c r="I32" s="167">
        <v>4857048174</v>
      </c>
      <c r="J32" s="167">
        <v>56000174</v>
      </c>
      <c r="K32" s="167">
        <v>4651911000</v>
      </c>
      <c r="L32" s="168">
        <v>149137000</v>
      </c>
      <c r="M32" s="168">
        <v>4857048174</v>
      </c>
      <c r="N32" s="168"/>
      <c r="O32" s="167">
        <v>4810916674</v>
      </c>
      <c r="P32" s="167">
        <v>4810916674</v>
      </c>
      <c r="Q32" s="168"/>
      <c r="S32" s="201">
        <f t="shared" si="5"/>
        <v>4857.0481739999996</v>
      </c>
      <c r="T32" s="201">
        <f t="shared" si="6"/>
        <v>4857.0481739999996</v>
      </c>
      <c r="U32" s="201">
        <f t="shared" si="6"/>
        <v>0</v>
      </c>
      <c r="V32" s="201">
        <f t="shared" si="6"/>
        <v>4810.9166740000001</v>
      </c>
      <c r="W32" s="201">
        <f t="shared" si="4"/>
        <v>4810.9166740000001</v>
      </c>
      <c r="X32" s="201">
        <f t="shared" si="4"/>
        <v>0</v>
      </c>
    </row>
    <row r="33" spans="1:24" s="169" customFormat="1" ht="26.4">
      <c r="A33" s="192" t="s">
        <v>719</v>
      </c>
      <c r="B33" s="165" t="s">
        <v>720</v>
      </c>
      <c r="C33" s="183" t="str">
        <f t="shared" si="3"/>
        <v>1012078</v>
      </c>
      <c r="D33" s="182" t="s">
        <v>1477</v>
      </c>
      <c r="E33" s="206"/>
      <c r="F33" s="207">
        <v>405</v>
      </c>
      <c r="G33" s="207"/>
      <c r="H33" s="205"/>
      <c r="I33" s="167">
        <v>17689258000</v>
      </c>
      <c r="J33" s="166"/>
      <c r="K33" s="167">
        <v>16584000000</v>
      </c>
      <c r="L33" s="168">
        <v>1105258000</v>
      </c>
      <c r="M33" s="168">
        <v>17689258000</v>
      </c>
      <c r="N33" s="168"/>
      <c r="O33" s="167">
        <v>17148632375</v>
      </c>
      <c r="P33" s="167">
        <v>17148632375</v>
      </c>
      <c r="Q33" s="168"/>
      <c r="S33" s="201">
        <f t="shared" si="5"/>
        <v>17689.258000000002</v>
      </c>
      <c r="T33" s="201">
        <f t="shared" si="6"/>
        <v>17689.258000000002</v>
      </c>
      <c r="U33" s="201">
        <f t="shared" si="6"/>
        <v>0</v>
      </c>
      <c r="V33" s="201">
        <f t="shared" si="6"/>
        <v>17148.632375000001</v>
      </c>
      <c r="W33" s="201">
        <f t="shared" si="4"/>
        <v>17148.632375000001</v>
      </c>
      <c r="X33" s="201">
        <f t="shared" si="4"/>
        <v>0</v>
      </c>
    </row>
    <row r="34" spans="1:24" s="169" customFormat="1" ht="26.4">
      <c r="A34" s="192" t="s">
        <v>681</v>
      </c>
      <c r="B34" s="165" t="s">
        <v>723</v>
      </c>
      <c r="C34" s="183" t="str">
        <f t="shared" si="3"/>
        <v>1012444</v>
      </c>
      <c r="D34" s="182" t="s">
        <v>1538</v>
      </c>
      <c r="E34" s="206"/>
      <c r="F34" s="207">
        <v>402</v>
      </c>
      <c r="G34" s="207"/>
      <c r="H34" s="205"/>
      <c r="I34" s="167">
        <v>6363445518</v>
      </c>
      <c r="J34" s="167">
        <v>69785318</v>
      </c>
      <c r="K34" s="167">
        <v>5759000000</v>
      </c>
      <c r="L34" s="168">
        <v>534660200</v>
      </c>
      <c r="M34" s="168">
        <v>6363445518</v>
      </c>
      <c r="N34" s="168"/>
      <c r="O34" s="167">
        <v>6294910105</v>
      </c>
      <c r="P34" s="167">
        <v>6294910105</v>
      </c>
      <c r="Q34" s="168"/>
      <c r="S34" s="201">
        <f t="shared" si="5"/>
        <v>6363.4455180000004</v>
      </c>
      <c r="T34" s="201">
        <f t="shared" si="6"/>
        <v>6363.4455180000004</v>
      </c>
      <c r="U34" s="201">
        <f t="shared" si="6"/>
        <v>0</v>
      </c>
      <c r="V34" s="201">
        <f t="shared" si="6"/>
        <v>6294.9101049999999</v>
      </c>
      <c r="W34" s="201">
        <f t="shared" si="4"/>
        <v>6294.9101049999999</v>
      </c>
      <c r="X34" s="201">
        <f t="shared" si="4"/>
        <v>0</v>
      </c>
    </row>
    <row r="35" spans="1:24" s="169" customFormat="1" ht="26.4">
      <c r="A35" s="192" t="s">
        <v>666</v>
      </c>
      <c r="B35" s="165" t="s">
        <v>725</v>
      </c>
      <c r="C35" s="183" t="str">
        <f t="shared" si="3"/>
        <v>1014914</v>
      </c>
      <c r="D35" s="182" t="s">
        <v>1539</v>
      </c>
      <c r="E35" s="206"/>
      <c r="F35" s="207">
        <v>412</v>
      </c>
      <c r="G35" s="207"/>
      <c r="H35" s="205"/>
      <c r="I35" s="167">
        <v>12521100000</v>
      </c>
      <c r="J35" s="167">
        <v>540000000</v>
      </c>
      <c r="K35" s="167">
        <v>11788000000</v>
      </c>
      <c r="L35" s="168">
        <v>193100000</v>
      </c>
      <c r="M35" s="168">
        <v>12521100000</v>
      </c>
      <c r="N35" s="168"/>
      <c r="O35" s="167">
        <v>11900946662</v>
      </c>
      <c r="P35" s="167">
        <v>11900946662</v>
      </c>
      <c r="Q35" s="168"/>
      <c r="S35" s="201">
        <f t="shared" si="5"/>
        <v>12521.1</v>
      </c>
      <c r="T35" s="201">
        <f t="shared" si="6"/>
        <v>12521.1</v>
      </c>
      <c r="U35" s="201">
        <f t="shared" si="6"/>
        <v>0</v>
      </c>
      <c r="V35" s="201">
        <f t="shared" si="6"/>
        <v>11900.946662</v>
      </c>
      <c r="W35" s="201">
        <f t="shared" si="4"/>
        <v>11900.946662</v>
      </c>
      <c r="X35" s="201">
        <f t="shared" si="4"/>
        <v>0</v>
      </c>
    </row>
    <row r="36" spans="1:24" s="169" customFormat="1" ht="27">
      <c r="A36" s="192" t="s">
        <v>679</v>
      </c>
      <c r="B36" s="165" t="s">
        <v>728</v>
      </c>
      <c r="C36" s="183" t="str">
        <f t="shared" si="3"/>
        <v>1014915</v>
      </c>
      <c r="D36" s="182" t="s">
        <v>1556</v>
      </c>
      <c r="E36" s="206"/>
      <c r="F36" s="207">
        <v>412</v>
      </c>
      <c r="G36" s="207"/>
      <c r="H36" s="205"/>
      <c r="I36" s="167">
        <v>2371016000</v>
      </c>
      <c r="J36" s="167">
        <v>64000000</v>
      </c>
      <c r="K36" s="167">
        <v>1697000000</v>
      </c>
      <c r="L36" s="168">
        <v>610016000</v>
      </c>
      <c r="M36" s="168">
        <v>2371016000</v>
      </c>
      <c r="N36" s="168"/>
      <c r="O36" s="167">
        <v>2046807375</v>
      </c>
      <c r="P36" s="167">
        <v>2046807375</v>
      </c>
      <c r="Q36" s="168"/>
      <c r="S36" s="201">
        <f t="shared" si="5"/>
        <v>2371.0160000000001</v>
      </c>
      <c r="T36" s="201">
        <f t="shared" si="6"/>
        <v>2371.0160000000001</v>
      </c>
      <c r="U36" s="201">
        <f t="shared" si="6"/>
        <v>0</v>
      </c>
      <c r="V36" s="201">
        <f t="shared" si="6"/>
        <v>2046.8073750000001</v>
      </c>
      <c r="W36" s="201">
        <f t="shared" si="4"/>
        <v>2046.8073750000001</v>
      </c>
      <c r="X36" s="201">
        <f t="shared" si="4"/>
        <v>0</v>
      </c>
    </row>
    <row r="37" spans="1:24" s="169" customFormat="1" ht="26.4">
      <c r="A37" s="192" t="s">
        <v>667</v>
      </c>
      <c r="B37" s="165" t="s">
        <v>732</v>
      </c>
      <c r="C37" s="183" t="str">
        <f t="shared" si="3"/>
        <v>1015164</v>
      </c>
      <c r="D37" s="182" t="s">
        <v>1557</v>
      </c>
      <c r="E37" s="206"/>
      <c r="F37" s="207">
        <v>412</v>
      </c>
      <c r="G37" s="207"/>
      <c r="H37" s="205"/>
      <c r="I37" s="167">
        <v>6278654381</v>
      </c>
      <c r="J37" s="167">
        <v>130289381</v>
      </c>
      <c r="K37" s="167">
        <v>5546000000</v>
      </c>
      <c r="L37" s="168">
        <v>602365000</v>
      </c>
      <c r="M37" s="168">
        <v>6278654381</v>
      </c>
      <c r="N37" s="168"/>
      <c r="O37" s="167">
        <v>6272967381</v>
      </c>
      <c r="P37" s="167">
        <v>6272967381</v>
      </c>
      <c r="Q37" s="168"/>
      <c r="S37" s="201">
        <f t="shared" si="5"/>
        <v>6278.6543810000003</v>
      </c>
      <c r="T37" s="201">
        <f t="shared" si="6"/>
        <v>6278.6543810000003</v>
      </c>
      <c r="U37" s="201">
        <f t="shared" si="6"/>
        <v>0</v>
      </c>
      <c r="V37" s="201">
        <f t="shared" si="6"/>
        <v>6272.9673810000004</v>
      </c>
      <c r="W37" s="201">
        <f t="shared" si="4"/>
        <v>6272.9673810000004</v>
      </c>
      <c r="X37" s="201">
        <f t="shared" si="4"/>
        <v>0</v>
      </c>
    </row>
    <row r="38" spans="1:24" s="169" customFormat="1" ht="26.4">
      <c r="A38" s="192" t="s">
        <v>668</v>
      </c>
      <c r="B38" s="165" t="s">
        <v>734</v>
      </c>
      <c r="C38" s="183" t="str">
        <f t="shared" si="3"/>
        <v>1015165</v>
      </c>
      <c r="D38" s="182" t="s">
        <v>1478</v>
      </c>
      <c r="E38" s="206"/>
      <c r="F38" s="207">
        <v>412</v>
      </c>
      <c r="G38" s="207"/>
      <c r="H38" s="205"/>
      <c r="I38" s="167">
        <v>4966667000</v>
      </c>
      <c r="J38" s="167">
        <v>2823967000</v>
      </c>
      <c r="K38" s="167">
        <v>2114000000</v>
      </c>
      <c r="L38" s="168">
        <v>28700000</v>
      </c>
      <c r="M38" s="168">
        <v>4966667000</v>
      </c>
      <c r="N38" s="168"/>
      <c r="O38" s="167">
        <v>4757081000</v>
      </c>
      <c r="P38" s="167">
        <v>4757081000</v>
      </c>
      <c r="Q38" s="168"/>
      <c r="S38" s="201">
        <f t="shared" si="5"/>
        <v>4966.6670000000004</v>
      </c>
      <c r="T38" s="201">
        <f t="shared" si="6"/>
        <v>4966.6670000000004</v>
      </c>
      <c r="U38" s="201">
        <f t="shared" si="6"/>
        <v>0</v>
      </c>
      <c r="V38" s="201">
        <f t="shared" si="6"/>
        <v>4757.0810000000001</v>
      </c>
      <c r="W38" s="201">
        <f t="shared" si="4"/>
        <v>4757.0810000000001</v>
      </c>
      <c r="X38" s="201">
        <f t="shared" si="4"/>
        <v>0</v>
      </c>
    </row>
    <row r="39" spans="1:24" s="169" customFormat="1" ht="27">
      <c r="A39" s="192" t="s">
        <v>669</v>
      </c>
      <c r="B39" s="165" t="s">
        <v>737</v>
      </c>
      <c r="C39" s="183" t="str">
        <f t="shared" si="3"/>
        <v>1015168</v>
      </c>
      <c r="D39" s="182" t="s">
        <v>1626</v>
      </c>
      <c r="E39" s="206"/>
      <c r="F39" s="207">
        <v>412</v>
      </c>
      <c r="G39" s="207"/>
      <c r="H39" s="205"/>
      <c r="I39" s="167">
        <v>9958692000</v>
      </c>
      <c r="J39" s="167">
        <v>633592000</v>
      </c>
      <c r="K39" s="167">
        <v>8244000000</v>
      </c>
      <c r="L39" s="168">
        <v>1081100000</v>
      </c>
      <c r="M39" s="168">
        <v>9258692000</v>
      </c>
      <c r="N39" s="168">
        <v>700000000</v>
      </c>
      <c r="O39" s="167">
        <v>8909763600</v>
      </c>
      <c r="P39" s="167">
        <v>8750630600</v>
      </c>
      <c r="Q39" s="168">
        <v>159133000</v>
      </c>
      <c r="S39" s="201">
        <f t="shared" si="5"/>
        <v>9958.6919999999991</v>
      </c>
      <c r="T39" s="201">
        <f t="shared" si="6"/>
        <v>9258.6919999999991</v>
      </c>
      <c r="U39" s="201">
        <f t="shared" si="6"/>
        <v>700</v>
      </c>
      <c r="V39" s="201">
        <f t="shared" si="6"/>
        <v>8909.7636000000002</v>
      </c>
      <c r="W39" s="201">
        <f t="shared" si="6"/>
        <v>8750.6306000000004</v>
      </c>
      <c r="X39" s="201">
        <f t="shared" si="6"/>
        <v>159.13300000000001</v>
      </c>
    </row>
    <row r="40" spans="1:24" s="169" customFormat="1" ht="26.4">
      <c r="A40" s="192" t="s">
        <v>742</v>
      </c>
      <c r="B40" s="176" t="s">
        <v>743</v>
      </c>
      <c r="C40" s="183" t="str">
        <f t="shared" si="3"/>
        <v>1015425</v>
      </c>
      <c r="D40" s="182" t="s">
        <v>1479</v>
      </c>
      <c r="E40" s="206"/>
      <c r="F40" s="207">
        <v>412</v>
      </c>
      <c r="G40" s="207"/>
      <c r="H40" s="205"/>
      <c r="I40" s="167">
        <v>2832509000</v>
      </c>
      <c r="J40" s="167">
        <v>567000000</v>
      </c>
      <c r="K40" s="167">
        <v>1787000000</v>
      </c>
      <c r="L40" s="168">
        <v>478509000</v>
      </c>
      <c r="M40" s="168">
        <v>2832509000</v>
      </c>
      <c r="N40" s="168"/>
      <c r="O40" s="167">
        <v>2473728311</v>
      </c>
      <c r="P40" s="167">
        <v>2473728311</v>
      </c>
      <c r="Q40" s="168"/>
      <c r="S40" s="201">
        <f t="shared" si="5"/>
        <v>2832.509</v>
      </c>
      <c r="T40" s="201">
        <f t="shared" ref="T40:X55" si="7">M40/1000000</f>
        <v>2832.509</v>
      </c>
      <c r="U40" s="201">
        <f t="shared" si="7"/>
        <v>0</v>
      </c>
      <c r="V40" s="201">
        <f t="shared" si="7"/>
        <v>2473.7283109999998</v>
      </c>
      <c r="W40" s="201">
        <f t="shared" si="7"/>
        <v>2473.7283109999998</v>
      </c>
      <c r="X40" s="201">
        <f t="shared" si="7"/>
        <v>0</v>
      </c>
    </row>
    <row r="41" spans="1:24" s="169" customFormat="1" ht="26.4">
      <c r="A41" s="192" t="s">
        <v>746</v>
      </c>
      <c r="B41" s="176" t="s">
        <v>747</v>
      </c>
      <c r="C41" s="183" t="str">
        <f t="shared" si="3"/>
        <v>1015428</v>
      </c>
      <c r="D41" s="182" t="s">
        <v>1508</v>
      </c>
      <c r="E41" s="206"/>
      <c r="F41" s="207">
        <v>412</v>
      </c>
      <c r="G41" s="207"/>
      <c r="H41" s="205"/>
      <c r="I41" s="167">
        <v>18364075920</v>
      </c>
      <c r="J41" s="167">
        <v>270435420</v>
      </c>
      <c r="K41" s="167">
        <v>11576300000</v>
      </c>
      <c r="L41" s="168">
        <v>6517340500</v>
      </c>
      <c r="M41" s="168">
        <v>13906075920</v>
      </c>
      <c r="N41" s="168">
        <v>4458000000</v>
      </c>
      <c r="O41" s="167">
        <v>18057664370</v>
      </c>
      <c r="P41" s="167">
        <v>13601989370</v>
      </c>
      <c r="Q41" s="168">
        <v>4455675000</v>
      </c>
      <c r="S41" s="201">
        <f t="shared" si="5"/>
        <v>18364.075919999999</v>
      </c>
      <c r="T41" s="201">
        <f t="shared" si="7"/>
        <v>13906.075919999999</v>
      </c>
      <c r="U41" s="201">
        <f t="shared" si="7"/>
        <v>4458</v>
      </c>
      <c r="V41" s="201">
        <f t="shared" si="7"/>
        <v>18057.664369999999</v>
      </c>
      <c r="W41" s="201">
        <f t="shared" si="7"/>
        <v>13601.989369999999</v>
      </c>
      <c r="X41" s="201">
        <f t="shared" si="7"/>
        <v>4455.6750000000002</v>
      </c>
    </row>
    <row r="42" spans="1:24" s="169" customFormat="1" ht="26.4">
      <c r="A42" s="192" t="s">
        <v>751</v>
      </c>
      <c r="B42" s="176" t="s">
        <v>752</v>
      </c>
      <c r="C42" s="183" t="str">
        <f t="shared" si="3"/>
        <v>1016743</v>
      </c>
      <c r="D42" s="182" t="s">
        <v>1558</v>
      </c>
      <c r="E42" s="206"/>
      <c r="F42" s="207">
        <v>422</v>
      </c>
      <c r="G42" s="207"/>
      <c r="H42" s="205"/>
      <c r="I42" s="167">
        <v>6737583000</v>
      </c>
      <c r="J42" s="167">
        <v>1000000</v>
      </c>
      <c r="K42" s="167">
        <v>6495427000</v>
      </c>
      <c r="L42" s="168">
        <v>241156000</v>
      </c>
      <c r="M42" s="168">
        <v>6737583000</v>
      </c>
      <c r="N42" s="168"/>
      <c r="O42" s="167">
        <v>6683067556</v>
      </c>
      <c r="P42" s="167">
        <v>6683067556</v>
      </c>
      <c r="Q42" s="168"/>
      <c r="S42" s="201">
        <f t="shared" si="5"/>
        <v>6737.5829999999996</v>
      </c>
      <c r="T42" s="201">
        <f t="shared" si="7"/>
        <v>6737.5829999999996</v>
      </c>
      <c r="U42" s="201">
        <f t="shared" si="7"/>
        <v>0</v>
      </c>
      <c r="V42" s="201">
        <f t="shared" si="7"/>
        <v>6683.067556</v>
      </c>
      <c r="W42" s="201">
        <f t="shared" si="7"/>
        <v>6683.067556</v>
      </c>
      <c r="X42" s="201">
        <f t="shared" si="7"/>
        <v>0</v>
      </c>
    </row>
    <row r="43" spans="1:24" s="169" customFormat="1" ht="39.6">
      <c r="A43" s="192" t="s">
        <v>754</v>
      </c>
      <c r="B43" s="165" t="s">
        <v>755</v>
      </c>
      <c r="C43" s="183" t="str">
        <f t="shared" si="3"/>
        <v>1026899</v>
      </c>
      <c r="D43" s="182" t="s">
        <v>1559</v>
      </c>
      <c r="E43" s="206"/>
      <c r="F43" s="207">
        <v>412</v>
      </c>
      <c r="G43" s="207"/>
      <c r="H43" s="205"/>
      <c r="I43" s="167">
        <v>430700000</v>
      </c>
      <c r="J43" s="167">
        <v>63000000</v>
      </c>
      <c r="K43" s="167">
        <v>362000000</v>
      </c>
      <c r="L43" s="168">
        <v>5700000</v>
      </c>
      <c r="M43" s="168">
        <v>430700000</v>
      </c>
      <c r="N43" s="168"/>
      <c r="O43" s="167">
        <v>430700000</v>
      </c>
      <c r="P43" s="167">
        <v>430700000</v>
      </c>
      <c r="Q43" s="168"/>
      <c r="S43" s="201">
        <f t="shared" si="5"/>
        <v>430.7</v>
      </c>
      <c r="T43" s="201">
        <f t="shared" si="7"/>
        <v>430.7</v>
      </c>
      <c r="U43" s="201">
        <f t="shared" si="7"/>
        <v>0</v>
      </c>
      <c r="V43" s="201">
        <f t="shared" si="7"/>
        <v>430.7</v>
      </c>
      <c r="W43" s="201">
        <f t="shared" si="7"/>
        <v>430.7</v>
      </c>
      <c r="X43" s="201">
        <f t="shared" si="7"/>
        <v>0</v>
      </c>
    </row>
    <row r="44" spans="1:24" s="169" customFormat="1" ht="27.6">
      <c r="A44" s="192" t="s">
        <v>757</v>
      </c>
      <c r="B44" s="165" t="s">
        <v>758</v>
      </c>
      <c r="C44" s="183" t="str">
        <f t="shared" si="3"/>
        <v>1027233</v>
      </c>
      <c r="D44" s="182" t="s">
        <v>1560</v>
      </c>
      <c r="E44" s="206"/>
      <c r="F44" s="207">
        <v>599</v>
      </c>
      <c r="G44" s="207"/>
      <c r="H44" s="205"/>
      <c r="I44" s="167">
        <v>1496245345</v>
      </c>
      <c r="J44" s="166"/>
      <c r="K44" s="167">
        <v>1454155345</v>
      </c>
      <c r="L44" s="168">
        <v>42090000</v>
      </c>
      <c r="M44" s="168">
        <v>1496245345</v>
      </c>
      <c r="N44" s="168"/>
      <c r="O44" s="167">
        <v>1496245345</v>
      </c>
      <c r="P44" s="167">
        <v>1496245345</v>
      </c>
      <c r="Q44" s="168"/>
      <c r="S44" s="201">
        <f t="shared" si="5"/>
        <v>1496.245345</v>
      </c>
      <c r="T44" s="201">
        <f t="shared" si="7"/>
        <v>1496.245345</v>
      </c>
      <c r="U44" s="201">
        <f t="shared" si="7"/>
        <v>0</v>
      </c>
      <c r="V44" s="201">
        <f t="shared" si="7"/>
        <v>1496.245345</v>
      </c>
      <c r="W44" s="201">
        <f t="shared" si="7"/>
        <v>1496.245345</v>
      </c>
      <c r="X44" s="201">
        <f t="shared" si="7"/>
        <v>0</v>
      </c>
    </row>
    <row r="45" spans="1:24" s="169" customFormat="1" ht="26.4">
      <c r="A45" s="192" t="s">
        <v>762</v>
      </c>
      <c r="B45" s="165" t="s">
        <v>763</v>
      </c>
      <c r="C45" s="183" t="str">
        <f t="shared" si="3"/>
        <v>1028496</v>
      </c>
      <c r="D45" s="182" t="s">
        <v>1509</v>
      </c>
      <c r="E45" s="206"/>
      <c r="F45" s="207">
        <v>424</v>
      </c>
      <c r="G45" s="207"/>
      <c r="H45" s="205"/>
      <c r="I45" s="167">
        <v>2020800000</v>
      </c>
      <c r="J45" s="166"/>
      <c r="K45" s="167">
        <v>1637000000</v>
      </c>
      <c r="L45" s="168">
        <v>383800000</v>
      </c>
      <c r="M45" s="168">
        <v>1717800000</v>
      </c>
      <c r="N45" s="168">
        <v>303000000</v>
      </c>
      <c r="O45" s="167">
        <v>1732619494</v>
      </c>
      <c r="P45" s="167">
        <v>1485881000</v>
      </c>
      <c r="Q45" s="168">
        <v>246738494</v>
      </c>
      <c r="S45" s="201">
        <f t="shared" si="5"/>
        <v>2020.8</v>
      </c>
      <c r="T45" s="201">
        <f t="shared" si="7"/>
        <v>1717.8</v>
      </c>
      <c r="U45" s="201">
        <f t="shared" si="7"/>
        <v>303</v>
      </c>
      <c r="V45" s="201">
        <f t="shared" si="7"/>
        <v>1732.619494</v>
      </c>
      <c r="W45" s="201">
        <f t="shared" si="7"/>
        <v>1485.8810000000001</v>
      </c>
      <c r="X45" s="201">
        <f t="shared" si="7"/>
        <v>246.738494</v>
      </c>
    </row>
    <row r="46" spans="1:24" s="169" customFormat="1" ht="27.6">
      <c r="A46" s="192" t="s">
        <v>769</v>
      </c>
      <c r="B46" s="165" t="s">
        <v>770</v>
      </c>
      <c r="C46" s="183" t="str">
        <f t="shared" si="3"/>
        <v>1029870</v>
      </c>
      <c r="D46" s="182" t="s">
        <v>1561</v>
      </c>
      <c r="E46" s="206"/>
      <c r="F46" s="207">
        <v>422</v>
      </c>
      <c r="G46" s="207"/>
      <c r="H46" s="205"/>
      <c r="I46" s="167">
        <v>11160435000</v>
      </c>
      <c r="J46" s="166"/>
      <c r="K46" s="167">
        <v>10464770000</v>
      </c>
      <c r="L46" s="168">
        <v>695665000</v>
      </c>
      <c r="M46" s="168">
        <v>11160435000</v>
      </c>
      <c r="N46" s="168"/>
      <c r="O46" s="167">
        <v>10289322500</v>
      </c>
      <c r="P46" s="167">
        <v>10289322500</v>
      </c>
      <c r="Q46" s="168"/>
      <c r="S46" s="201">
        <f t="shared" si="5"/>
        <v>11160.434999999999</v>
      </c>
      <c r="T46" s="201">
        <f t="shared" si="7"/>
        <v>11160.434999999999</v>
      </c>
      <c r="U46" s="201">
        <f t="shared" si="7"/>
        <v>0</v>
      </c>
      <c r="V46" s="201">
        <f t="shared" si="7"/>
        <v>10289.3225</v>
      </c>
      <c r="W46" s="201">
        <f t="shared" si="7"/>
        <v>10289.3225</v>
      </c>
      <c r="X46" s="201">
        <f t="shared" si="7"/>
        <v>0</v>
      </c>
    </row>
    <row r="47" spans="1:24" s="169" customFormat="1" ht="26.4">
      <c r="A47" s="192" t="s">
        <v>772</v>
      </c>
      <c r="B47" s="165" t="s">
        <v>773</v>
      </c>
      <c r="C47" s="183" t="str">
        <f t="shared" si="3"/>
        <v>1029922</v>
      </c>
      <c r="D47" s="182" t="s">
        <v>1597</v>
      </c>
      <c r="E47" s="206"/>
      <c r="F47" s="207">
        <v>423</v>
      </c>
      <c r="G47" s="207"/>
      <c r="H47" s="205"/>
      <c r="I47" s="167">
        <v>1699710000</v>
      </c>
      <c r="J47" s="166"/>
      <c r="K47" s="167">
        <v>2456750000</v>
      </c>
      <c r="L47" s="168">
        <v>-757040000</v>
      </c>
      <c r="M47" s="168">
        <v>1699710000</v>
      </c>
      <c r="N47" s="168"/>
      <c r="O47" s="167">
        <v>1699702182</v>
      </c>
      <c r="P47" s="167">
        <v>1699702182</v>
      </c>
      <c r="Q47" s="168"/>
      <c r="S47" s="201">
        <f t="shared" si="5"/>
        <v>1699.71</v>
      </c>
      <c r="T47" s="201">
        <f t="shared" si="7"/>
        <v>1699.71</v>
      </c>
      <c r="U47" s="201">
        <f t="shared" si="7"/>
        <v>0</v>
      </c>
      <c r="V47" s="201">
        <f t="shared" si="7"/>
        <v>1699.702182</v>
      </c>
      <c r="W47" s="201">
        <f t="shared" si="7"/>
        <v>1699.702182</v>
      </c>
      <c r="X47" s="201">
        <f t="shared" si="7"/>
        <v>0</v>
      </c>
    </row>
    <row r="48" spans="1:24" s="169" customFormat="1" ht="39.6">
      <c r="A48" s="192" t="s">
        <v>776</v>
      </c>
      <c r="B48" s="165" t="s">
        <v>777</v>
      </c>
      <c r="C48" s="183" t="str">
        <f t="shared" si="3"/>
        <v>1030058</v>
      </c>
      <c r="D48" s="182" t="s">
        <v>1562</v>
      </c>
      <c r="E48" s="206"/>
      <c r="F48" s="207">
        <v>411</v>
      </c>
      <c r="G48" s="207"/>
      <c r="H48" s="205"/>
      <c r="I48" s="167">
        <v>2387542157</v>
      </c>
      <c r="J48" s="167">
        <v>2387542157</v>
      </c>
      <c r="K48" s="166"/>
      <c r="L48" s="171"/>
      <c r="M48" s="168">
        <v>2387542157</v>
      </c>
      <c r="N48" s="171"/>
      <c r="O48" s="167">
        <v>1130765675</v>
      </c>
      <c r="P48" s="167">
        <v>1130765675</v>
      </c>
      <c r="Q48" s="171"/>
      <c r="S48" s="201">
        <f t="shared" si="5"/>
        <v>2387.5421569999999</v>
      </c>
      <c r="T48" s="201">
        <f t="shared" si="7"/>
        <v>2387.5421569999999</v>
      </c>
      <c r="U48" s="201">
        <f t="shared" si="7"/>
        <v>0</v>
      </c>
      <c r="V48" s="201">
        <f t="shared" si="7"/>
        <v>1130.7656750000001</v>
      </c>
      <c r="W48" s="201">
        <f t="shared" si="7"/>
        <v>1130.7656750000001</v>
      </c>
      <c r="X48" s="201">
        <f t="shared" si="7"/>
        <v>0</v>
      </c>
    </row>
    <row r="49" spans="1:24" s="169" customFormat="1" ht="26.4">
      <c r="A49" s="192" t="s">
        <v>781</v>
      </c>
      <c r="B49" s="165" t="s">
        <v>782</v>
      </c>
      <c r="C49" s="183" t="str">
        <f t="shared" si="3"/>
        <v>1030064</v>
      </c>
      <c r="D49" s="182" t="s">
        <v>1540</v>
      </c>
      <c r="E49" s="206"/>
      <c r="F49" s="207">
        <v>516</v>
      </c>
      <c r="G49" s="207"/>
      <c r="H49" s="205"/>
      <c r="I49" s="167">
        <v>1769100000</v>
      </c>
      <c r="J49" s="166"/>
      <c r="K49" s="167">
        <v>1664000000</v>
      </c>
      <c r="L49" s="168">
        <v>105100000</v>
      </c>
      <c r="M49" s="168">
        <v>1769100000</v>
      </c>
      <c r="N49" s="168"/>
      <c r="O49" s="167">
        <v>1769100000</v>
      </c>
      <c r="P49" s="167">
        <v>1769100000</v>
      </c>
      <c r="Q49" s="168"/>
      <c r="S49" s="201">
        <f t="shared" si="5"/>
        <v>1769.1</v>
      </c>
      <c r="T49" s="201">
        <f t="shared" si="7"/>
        <v>1769.1</v>
      </c>
      <c r="U49" s="201">
        <f t="shared" si="7"/>
        <v>0</v>
      </c>
      <c r="V49" s="201">
        <f t="shared" si="7"/>
        <v>1769.1</v>
      </c>
      <c r="W49" s="201">
        <f t="shared" si="7"/>
        <v>1769.1</v>
      </c>
      <c r="X49" s="201">
        <f t="shared" si="7"/>
        <v>0</v>
      </c>
    </row>
    <row r="50" spans="1:24" s="169" customFormat="1" ht="13.8">
      <c r="A50" s="192" t="s">
        <v>787</v>
      </c>
      <c r="B50" s="170" t="s">
        <v>788</v>
      </c>
      <c r="C50" s="183" t="str">
        <f t="shared" si="3"/>
        <v>1030065</v>
      </c>
      <c r="D50" s="182" t="s">
        <v>1563</v>
      </c>
      <c r="E50" s="206"/>
      <c r="F50" s="207">
        <v>411</v>
      </c>
      <c r="G50" s="207"/>
      <c r="H50" s="205"/>
      <c r="I50" s="167">
        <v>14915373000</v>
      </c>
      <c r="J50" s="167">
        <v>218373000</v>
      </c>
      <c r="K50" s="167">
        <v>5650000000</v>
      </c>
      <c r="L50" s="168">
        <v>9047000000</v>
      </c>
      <c r="M50" s="168">
        <v>14915373000</v>
      </c>
      <c r="N50" s="168"/>
      <c r="O50" s="167">
        <v>14776002384</v>
      </c>
      <c r="P50" s="167">
        <v>14776002384</v>
      </c>
      <c r="Q50" s="168"/>
      <c r="S50" s="201">
        <f t="shared" si="5"/>
        <v>14915.373</v>
      </c>
      <c r="T50" s="201">
        <f t="shared" si="7"/>
        <v>14915.373</v>
      </c>
      <c r="U50" s="201">
        <f t="shared" si="7"/>
        <v>0</v>
      </c>
      <c r="V50" s="201">
        <f t="shared" si="7"/>
        <v>14776.002383999999</v>
      </c>
      <c r="W50" s="201">
        <f t="shared" si="7"/>
        <v>14776.002383999999</v>
      </c>
      <c r="X50" s="201">
        <f t="shared" si="7"/>
        <v>0</v>
      </c>
    </row>
    <row r="51" spans="1:24" s="169" customFormat="1" ht="26.4">
      <c r="A51" s="192" t="s">
        <v>792</v>
      </c>
      <c r="B51" s="165" t="s">
        <v>793</v>
      </c>
      <c r="C51" s="183" t="str">
        <f t="shared" si="3"/>
        <v>1030470</v>
      </c>
      <c r="D51" s="182" t="s">
        <v>1564</v>
      </c>
      <c r="E51" s="206"/>
      <c r="F51" s="207">
        <v>425</v>
      </c>
      <c r="G51" s="207"/>
      <c r="H51" s="205"/>
      <c r="I51" s="167">
        <v>1301360000</v>
      </c>
      <c r="J51" s="166"/>
      <c r="K51" s="167">
        <v>1267000000</v>
      </c>
      <c r="L51" s="168">
        <v>34360000</v>
      </c>
      <c r="M51" s="168">
        <v>1301360000</v>
      </c>
      <c r="N51" s="168"/>
      <c r="O51" s="167">
        <v>1298169800</v>
      </c>
      <c r="P51" s="167">
        <v>1298169800</v>
      </c>
      <c r="Q51" s="168"/>
      <c r="S51" s="201">
        <f t="shared" si="5"/>
        <v>1301.3599999999999</v>
      </c>
      <c r="T51" s="201">
        <f t="shared" si="7"/>
        <v>1301.3599999999999</v>
      </c>
      <c r="U51" s="201">
        <f t="shared" si="7"/>
        <v>0</v>
      </c>
      <c r="V51" s="201">
        <f t="shared" si="7"/>
        <v>1298.1697999999999</v>
      </c>
      <c r="W51" s="201">
        <f t="shared" si="7"/>
        <v>1298.1697999999999</v>
      </c>
      <c r="X51" s="201">
        <f t="shared" si="7"/>
        <v>0</v>
      </c>
    </row>
    <row r="52" spans="1:24" s="169" customFormat="1" ht="26.4">
      <c r="A52" s="192" t="s">
        <v>797</v>
      </c>
      <c r="B52" s="165" t="s">
        <v>798</v>
      </c>
      <c r="C52" s="183" t="str">
        <f t="shared" si="3"/>
        <v>1035637</v>
      </c>
      <c r="D52" s="182" t="s">
        <v>1565</v>
      </c>
      <c r="E52" s="206"/>
      <c r="F52" s="207">
        <v>422</v>
      </c>
      <c r="G52" s="207"/>
      <c r="H52" s="205"/>
      <c r="I52" s="167">
        <v>4988381000</v>
      </c>
      <c r="J52" s="166"/>
      <c r="K52" s="167">
        <v>4940146000</v>
      </c>
      <c r="L52" s="168">
        <v>48235000</v>
      </c>
      <c r="M52" s="168">
        <v>4988381000</v>
      </c>
      <c r="N52" s="168"/>
      <c r="O52" s="167">
        <v>4974983229</v>
      </c>
      <c r="P52" s="167">
        <v>4974983229</v>
      </c>
      <c r="Q52" s="168"/>
      <c r="S52" s="201">
        <f t="shared" si="5"/>
        <v>4988.3810000000003</v>
      </c>
      <c r="T52" s="201">
        <f t="shared" si="7"/>
        <v>4988.3810000000003</v>
      </c>
      <c r="U52" s="201">
        <f t="shared" si="7"/>
        <v>0</v>
      </c>
      <c r="V52" s="201">
        <f t="shared" si="7"/>
        <v>4974.9832290000004</v>
      </c>
      <c r="W52" s="201">
        <f t="shared" si="7"/>
        <v>4974.9832290000004</v>
      </c>
      <c r="X52" s="201">
        <f t="shared" si="7"/>
        <v>0</v>
      </c>
    </row>
    <row r="53" spans="1:24" s="169" customFormat="1" ht="26.4">
      <c r="A53" s="192" t="s">
        <v>800</v>
      </c>
      <c r="B53" s="165" t="s">
        <v>801</v>
      </c>
      <c r="C53" s="183" t="str">
        <f t="shared" si="3"/>
        <v>1035734</v>
      </c>
      <c r="D53" s="182" t="s">
        <v>1480</v>
      </c>
      <c r="E53" s="206"/>
      <c r="F53" s="207">
        <v>412</v>
      </c>
      <c r="G53" s="207"/>
      <c r="H53" s="205"/>
      <c r="I53" s="167">
        <v>5162270000</v>
      </c>
      <c r="J53" s="167">
        <v>528000000</v>
      </c>
      <c r="K53" s="167">
        <v>2944000000</v>
      </c>
      <c r="L53" s="168">
        <v>1690270000</v>
      </c>
      <c r="M53" s="168">
        <v>5162270000</v>
      </c>
      <c r="N53" s="168"/>
      <c r="O53" s="167">
        <v>4734270000</v>
      </c>
      <c r="P53" s="167">
        <v>4734270000</v>
      </c>
      <c r="Q53" s="168"/>
      <c r="S53" s="201">
        <f t="shared" si="5"/>
        <v>5162.2700000000004</v>
      </c>
      <c r="T53" s="201">
        <f t="shared" si="7"/>
        <v>5162.2700000000004</v>
      </c>
      <c r="U53" s="201">
        <f t="shared" si="7"/>
        <v>0</v>
      </c>
      <c r="V53" s="201">
        <f t="shared" si="7"/>
        <v>4734.2700000000004</v>
      </c>
      <c r="W53" s="201">
        <f t="shared" si="7"/>
        <v>4734.2700000000004</v>
      </c>
      <c r="X53" s="201">
        <f t="shared" si="7"/>
        <v>0</v>
      </c>
    </row>
    <row r="54" spans="1:24" s="169" customFormat="1" ht="26.4">
      <c r="A54" s="192" t="s">
        <v>804</v>
      </c>
      <c r="B54" s="165" t="s">
        <v>805</v>
      </c>
      <c r="C54" s="183" t="str">
        <f t="shared" si="3"/>
        <v>1035747</v>
      </c>
      <c r="D54" s="182" t="s">
        <v>1481</v>
      </c>
      <c r="E54" s="206"/>
      <c r="F54" s="207">
        <v>412</v>
      </c>
      <c r="G54" s="207"/>
      <c r="H54" s="205"/>
      <c r="I54" s="167">
        <v>14179700000</v>
      </c>
      <c r="J54" s="167">
        <v>5593000000</v>
      </c>
      <c r="K54" s="167">
        <v>4061000000</v>
      </c>
      <c r="L54" s="168">
        <v>4525700000</v>
      </c>
      <c r="M54" s="168">
        <v>14179700000</v>
      </c>
      <c r="N54" s="168"/>
      <c r="O54" s="167">
        <v>9877962452</v>
      </c>
      <c r="P54" s="167">
        <v>9877962452</v>
      </c>
      <c r="Q54" s="168"/>
      <c r="S54" s="201">
        <f t="shared" si="5"/>
        <v>14179.7</v>
      </c>
      <c r="T54" s="201">
        <f t="shared" si="7"/>
        <v>14179.7</v>
      </c>
      <c r="U54" s="201">
        <f t="shared" si="7"/>
        <v>0</v>
      </c>
      <c r="V54" s="201">
        <f t="shared" si="7"/>
        <v>9877.9624519999998</v>
      </c>
      <c r="W54" s="201">
        <f t="shared" si="7"/>
        <v>9877.9624519999998</v>
      </c>
      <c r="X54" s="201">
        <f t="shared" si="7"/>
        <v>0</v>
      </c>
    </row>
    <row r="55" spans="1:24" s="169" customFormat="1" ht="26.4">
      <c r="A55" s="192" t="s">
        <v>808</v>
      </c>
      <c r="B55" s="170" t="s">
        <v>809</v>
      </c>
      <c r="C55" s="183" t="str">
        <f t="shared" si="3"/>
        <v>1035748</v>
      </c>
      <c r="D55" s="182" t="s">
        <v>1482</v>
      </c>
      <c r="E55" s="206"/>
      <c r="F55" s="207">
        <v>412</v>
      </c>
      <c r="G55" s="207"/>
      <c r="H55" s="205"/>
      <c r="I55" s="167">
        <v>8966996000</v>
      </c>
      <c r="J55" s="167">
        <v>3432000000</v>
      </c>
      <c r="K55" s="167">
        <v>2533700000</v>
      </c>
      <c r="L55" s="168">
        <v>3001296000</v>
      </c>
      <c r="M55" s="168">
        <v>8966996000</v>
      </c>
      <c r="N55" s="168"/>
      <c r="O55" s="167">
        <v>6049303000</v>
      </c>
      <c r="P55" s="167">
        <v>6049303000</v>
      </c>
      <c r="Q55" s="168"/>
      <c r="S55" s="201">
        <f t="shared" si="5"/>
        <v>8966.9959999999992</v>
      </c>
      <c r="T55" s="201">
        <f t="shared" si="7"/>
        <v>8966.9959999999992</v>
      </c>
      <c r="U55" s="201">
        <f t="shared" si="7"/>
        <v>0</v>
      </c>
      <c r="V55" s="201">
        <f t="shared" si="7"/>
        <v>6049.3029999999999</v>
      </c>
      <c r="W55" s="201">
        <f t="shared" si="7"/>
        <v>6049.3029999999999</v>
      </c>
      <c r="X55" s="201">
        <f t="shared" si="7"/>
        <v>0</v>
      </c>
    </row>
    <row r="56" spans="1:24" s="169" customFormat="1" ht="26.4">
      <c r="A56" s="192" t="s">
        <v>812</v>
      </c>
      <c r="B56" s="165" t="s">
        <v>813</v>
      </c>
      <c r="C56" s="183" t="str">
        <f t="shared" si="3"/>
        <v>1035749</v>
      </c>
      <c r="D56" s="182" t="s">
        <v>1483</v>
      </c>
      <c r="E56" s="206"/>
      <c r="F56" s="207">
        <v>412</v>
      </c>
      <c r="G56" s="207"/>
      <c r="H56" s="205"/>
      <c r="I56" s="167">
        <v>343000000</v>
      </c>
      <c r="J56" s="166"/>
      <c r="K56" s="167">
        <v>343000000</v>
      </c>
      <c r="L56" s="171"/>
      <c r="M56" s="168">
        <v>343000000</v>
      </c>
      <c r="N56" s="171"/>
      <c r="O56" s="167">
        <v>343000000</v>
      </c>
      <c r="P56" s="167">
        <v>343000000</v>
      </c>
      <c r="Q56" s="171"/>
      <c r="S56" s="201">
        <f t="shared" si="5"/>
        <v>343</v>
      </c>
      <c r="T56" s="201">
        <f t="shared" ref="T56:X71" si="8">M56/1000000</f>
        <v>343</v>
      </c>
      <c r="U56" s="201">
        <f t="shared" si="8"/>
        <v>0</v>
      </c>
      <c r="V56" s="201">
        <f t="shared" si="8"/>
        <v>343</v>
      </c>
      <c r="W56" s="201">
        <f t="shared" si="8"/>
        <v>343</v>
      </c>
      <c r="X56" s="201">
        <f t="shared" si="8"/>
        <v>0</v>
      </c>
    </row>
    <row r="57" spans="1:24" s="169" customFormat="1" ht="26.4">
      <c r="A57" s="192" t="s">
        <v>815</v>
      </c>
      <c r="B57" s="170" t="s">
        <v>816</v>
      </c>
      <c r="C57" s="183" t="str">
        <f t="shared" si="3"/>
        <v>1037416</v>
      </c>
      <c r="D57" s="182" t="s">
        <v>1566</v>
      </c>
      <c r="E57" s="206"/>
      <c r="F57" s="207">
        <v>412</v>
      </c>
      <c r="G57" s="207"/>
      <c r="H57" s="205"/>
      <c r="I57" s="167">
        <v>3838214000</v>
      </c>
      <c r="J57" s="166"/>
      <c r="K57" s="167">
        <v>3338300000</v>
      </c>
      <c r="L57" s="168">
        <v>499914000</v>
      </c>
      <c r="M57" s="168">
        <v>3838214000</v>
      </c>
      <c r="N57" s="168"/>
      <c r="O57" s="167">
        <v>3826769000</v>
      </c>
      <c r="P57" s="167">
        <v>3826769000</v>
      </c>
      <c r="Q57" s="168"/>
      <c r="S57" s="201">
        <f t="shared" si="5"/>
        <v>3838.2139999999999</v>
      </c>
      <c r="T57" s="201">
        <f t="shared" si="8"/>
        <v>3838.2139999999999</v>
      </c>
      <c r="U57" s="201">
        <f t="shared" si="8"/>
        <v>0</v>
      </c>
      <c r="V57" s="201">
        <f t="shared" si="8"/>
        <v>3826.7689999999998</v>
      </c>
      <c r="W57" s="201">
        <f t="shared" si="8"/>
        <v>3826.7689999999998</v>
      </c>
      <c r="X57" s="201">
        <f t="shared" si="8"/>
        <v>0</v>
      </c>
    </row>
    <row r="58" spans="1:24" s="169" customFormat="1" ht="13.8">
      <c r="A58" s="192" t="s">
        <v>818</v>
      </c>
      <c r="B58" s="170" t="s">
        <v>819</v>
      </c>
      <c r="C58" s="183" t="str">
        <f t="shared" si="3"/>
        <v>1037418</v>
      </c>
      <c r="D58" s="182" t="s">
        <v>1484</v>
      </c>
      <c r="E58" s="206"/>
      <c r="F58" s="207">
        <v>412</v>
      </c>
      <c r="G58" s="207"/>
      <c r="H58" s="205"/>
      <c r="I58" s="167">
        <v>2673300000</v>
      </c>
      <c r="J58" s="166"/>
      <c r="K58" s="167">
        <v>2574300000</v>
      </c>
      <c r="L58" s="168">
        <v>99000000</v>
      </c>
      <c r="M58" s="168">
        <v>2673300000</v>
      </c>
      <c r="N58" s="168"/>
      <c r="O58" s="167">
        <v>2664070000</v>
      </c>
      <c r="P58" s="167">
        <v>2664070000</v>
      </c>
      <c r="Q58" s="168"/>
      <c r="S58" s="201">
        <f t="shared" si="5"/>
        <v>2673.3</v>
      </c>
      <c r="T58" s="201">
        <f t="shared" si="8"/>
        <v>2673.3</v>
      </c>
      <c r="U58" s="201">
        <f t="shared" si="8"/>
        <v>0</v>
      </c>
      <c r="V58" s="201">
        <f t="shared" si="8"/>
        <v>2664.07</v>
      </c>
      <c r="W58" s="201">
        <f t="shared" si="8"/>
        <v>2664.07</v>
      </c>
      <c r="X58" s="201">
        <f t="shared" si="8"/>
        <v>0</v>
      </c>
    </row>
    <row r="59" spans="1:24" s="169" customFormat="1" ht="13.8">
      <c r="A59" s="192" t="s">
        <v>821</v>
      </c>
      <c r="B59" s="164" t="s">
        <v>822</v>
      </c>
      <c r="C59" s="183" t="str">
        <f t="shared" si="3"/>
        <v>1037419</v>
      </c>
      <c r="D59" s="182" t="s">
        <v>1567</v>
      </c>
      <c r="E59" s="206"/>
      <c r="F59" s="207">
        <v>412</v>
      </c>
      <c r="G59" s="207"/>
      <c r="H59" s="205"/>
      <c r="I59" s="167">
        <v>3136154000</v>
      </c>
      <c r="J59" s="166"/>
      <c r="K59" s="167">
        <v>2909000000</v>
      </c>
      <c r="L59" s="168">
        <v>227154000</v>
      </c>
      <c r="M59" s="168">
        <v>3136154000</v>
      </c>
      <c r="N59" s="168"/>
      <c r="O59" s="167">
        <v>3123153000</v>
      </c>
      <c r="P59" s="167">
        <v>3123153000</v>
      </c>
      <c r="Q59" s="168"/>
      <c r="S59" s="201">
        <f t="shared" si="5"/>
        <v>3136.154</v>
      </c>
      <c r="T59" s="201">
        <f t="shared" si="8"/>
        <v>3136.154</v>
      </c>
      <c r="U59" s="201">
        <f t="shared" si="8"/>
        <v>0</v>
      </c>
      <c r="V59" s="201">
        <f t="shared" si="8"/>
        <v>3123.1529999999998</v>
      </c>
      <c r="W59" s="201">
        <f t="shared" si="8"/>
        <v>3123.1529999999998</v>
      </c>
      <c r="X59" s="201">
        <f t="shared" si="8"/>
        <v>0</v>
      </c>
    </row>
    <row r="60" spans="1:24" s="169" customFormat="1" ht="26.4">
      <c r="A60" s="192" t="s">
        <v>824</v>
      </c>
      <c r="B60" s="176" t="s">
        <v>825</v>
      </c>
      <c r="C60" s="183" t="str">
        <f t="shared" si="3"/>
        <v>1037420</v>
      </c>
      <c r="D60" s="182" t="s">
        <v>1573</v>
      </c>
      <c r="E60" s="206"/>
      <c r="F60" s="207">
        <v>412</v>
      </c>
      <c r="G60" s="207"/>
      <c r="H60" s="205"/>
      <c r="I60" s="167">
        <v>4487005292</v>
      </c>
      <c r="J60" s="167">
        <v>45405292</v>
      </c>
      <c r="K60" s="167">
        <v>3251800000</v>
      </c>
      <c r="L60" s="168">
        <v>1189800000</v>
      </c>
      <c r="M60" s="168">
        <v>4487005292</v>
      </c>
      <c r="N60" s="168"/>
      <c r="O60" s="167">
        <v>3527800000</v>
      </c>
      <c r="P60" s="167">
        <v>3527800000</v>
      </c>
      <c r="Q60" s="168"/>
      <c r="S60" s="201">
        <f t="shared" si="5"/>
        <v>4487.0052919999998</v>
      </c>
      <c r="T60" s="201">
        <f t="shared" si="8"/>
        <v>4487.0052919999998</v>
      </c>
      <c r="U60" s="201">
        <f t="shared" si="8"/>
        <v>0</v>
      </c>
      <c r="V60" s="201">
        <f t="shared" si="8"/>
        <v>3527.8</v>
      </c>
      <c r="W60" s="201">
        <f t="shared" si="8"/>
        <v>3527.8</v>
      </c>
      <c r="X60" s="201">
        <f t="shared" si="8"/>
        <v>0</v>
      </c>
    </row>
    <row r="61" spans="1:24" s="169" customFormat="1" ht="26.4">
      <c r="A61" s="192" t="s">
        <v>828</v>
      </c>
      <c r="B61" s="176" t="s">
        <v>829</v>
      </c>
      <c r="C61" s="183" t="str">
        <f t="shared" si="3"/>
        <v>1037422</v>
      </c>
      <c r="D61" s="182" t="s">
        <v>1574</v>
      </c>
      <c r="E61" s="206"/>
      <c r="F61" s="207">
        <v>514</v>
      </c>
      <c r="G61" s="207"/>
      <c r="H61" s="205"/>
      <c r="I61" s="167">
        <v>3051810000</v>
      </c>
      <c r="J61" s="166"/>
      <c r="K61" s="167">
        <v>2742000000</v>
      </c>
      <c r="L61" s="168">
        <v>309810000</v>
      </c>
      <c r="M61" s="168">
        <v>3051810000</v>
      </c>
      <c r="N61" s="168"/>
      <c r="O61" s="167">
        <v>3035507000</v>
      </c>
      <c r="P61" s="167">
        <v>3035507000</v>
      </c>
      <c r="Q61" s="168"/>
      <c r="S61" s="201">
        <f t="shared" si="5"/>
        <v>3051.81</v>
      </c>
      <c r="T61" s="201">
        <f t="shared" si="8"/>
        <v>3051.81</v>
      </c>
      <c r="U61" s="201">
        <f t="shared" si="8"/>
        <v>0</v>
      </c>
      <c r="V61" s="201">
        <f t="shared" si="8"/>
        <v>3035.5070000000001</v>
      </c>
      <c r="W61" s="201">
        <f t="shared" si="8"/>
        <v>3035.5070000000001</v>
      </c>
      <c r="X61" s="201">
        <f t="shared" si="8"/>
        <v>0</v>
      </c>
    </row>
    <row r="62" spans="1:24" s="169" customFormat="1" ht="26.4">
      <c r="A62" s="192" t="s">
        <v>832</v>
      </c>
      <c r="B62" s="165" t="s">
        <v>833</v>
      </c>
      <c r="C62" s="183" t="str">
        <f t="shared" si="3"/>
        <v>1037424</v>
      </c>
      <c r="D62" s="182" t="s">
        <v>1575</v>
      </c>
      <c r="E62" s="206"/>
      <c r="F62" s="207">
        <v>422</v>
      </c>
      <c r="G62" s="207"/>
      <c r="H62" s="205"/>
      <c r="I62" s="167">
        <v>1584079455</v>
      </c>
      <c r="J62" s="167">
        <v>300787455</v>
      </c>
      <c r="K62" s="167">
        <v>1283292000</v>
      </c>
      <c r="L62" s="171"/>
      <c r="M62" s="168">
        <v>1584079455</v>
      </c>
      <c r="N62" s="171"/>
      <c r="O62" s="167">
        <v>1538012413</v>
      </c>
      <c r="P62" s="167">
        <v>1538012413</v>
      </c>
      <c r="Q62" s="171"/>
      <c r="S62" s="201">
        <f t="shared" si="5"/>
        <v>1584.0794550000001</v>
      </c>
      <c r="T62" s="201">
        <f t="shared" si="8"/>
        <v>1584.0794550000001</v>
      </c>
      <c r="U62" s="201">
        <f t="shared" si="8"/>
        <v>0</v>
      </c>
      <c r="V62" s="201">
        <f t="shared" si="8"/>
        <v>1538.0124129999999</v>
      </c>
      <c r="W62" s="201">
        <f t="shared" si="8"/>
        <v>1538.0124129999999</v>
      </c>
      <c r="X62" s="201">
        <f t="shared" si="8"/>
        <v>0</v>
      </c>
    </row>
    <row r="63" spans="1:24" s="169" customFormat="1" ht="26.4">
      <c r="A63" s="192" t="s">
        <v>835</v>
      </c>
      <c r="B63" s="165" t="s">
        <v>836</v>
      </c>
      <c r="C63" s="183" t="str">
        <f t="shared" si="3"/>
        <v>1037425</v>
      </c>
      <c r="D63" s="182" t="s">
        <v>1576</v>
      </c>
      <c r="E63" s="206"/>
      <c r="F63" s="207">
        <v>422</v>
      </c>
      <c r="G63" s="207"/>
      <c r="H63" s="205"/>
      <c r="I63" s="167">
        <v>11523083000</v>
      </c>
      <c r="J63" s="166"/>
      <c r="K63" s="167">
        <v>11235770000</v>
      </c>
      <c r="L63" s="168">
        <v>287313000</v>
      </c>
      <c r="M63" s="168">
        <v>11523083000</v>
      </c>
      <c r="N63" s="168"/>
      <c r="O63" s="167">
        <v>11214569000</v>
      </c>
      <c r="P63" s="167">
        <v>11214569000</v>
      </c>
      <c r="Q63" s="168"/>
      <c r="S63" s="201">
        <f t="shared" si="5"/>
        <v>11523.083000000001</v>
      </c>
      <c r="T63" s="201">
        <f t="shared" si="8"/>
        <v>11523.083000000001</v>
      </c>
      <c r="U63" s="201">
        <f t="shared" si="8"/>
        <v>0</v>
      </c>
      <c r="V63" s="201">
        <f t="shared" si="8"/>
        <v>11214.569</v>
      </c>
      <c r="W63" s="201">
        <f t="shared" si="8"/>
        <v>11214.569</v>
      </c>
      <c r="X63" s="201">
        <f t="shared" si="8"/>
        <v>0</v>
      </c>
    </row>
    <row r="64" spans="1:24" s="169" customFormat="1" ht="27.6">
      <c r="A64" s="192" t="s">
        <v>838</v>
      </c>
      <c r="B64" s="165" t="s">
        <v>839</v>
      </c>
      <c r="C64" s="183" t="str">
        <f t="shared" si="3"/>
        <v>1037427</v>
      </c>
      <c r="D64" s="182" t="s">
        <v>1577</v>
      </c>
      <c r="E64" s="206"/>
      <c r="F64" s="207">
        <v>422</v>
      </c>
      <c r="G64" s="207"/>
      <c r="H64" s="205"/>
      <c r="I64" s="167">
        <v>12676065000</v>
      </c>
      <c r="J64" s="167">
        <v>2420000</v>
      </c>
      <c r="K64" s="167">
        <v>12605649000</v>
      </c>
      <c r="L64" s="168">
        <v>67996000</v>
      </c>
      <c r="M64" s="168">
        <v>12676065000</v>
      </c>
      <c r="N64" s="168"/>
      <c r="O64" s="167">
        <v>12671505000</v>
      </c>
      <c r="P64" s="167">
        <v>12671505000</v>
      </c>
      <c r="Q64" s="168"/>
      <c r="S64" s="201">
        <f t="shared" si="5"/>
        <v>12676.065000000001</v>
      </c>
      <c r="T64" s="201">
        <f t="shared" si="8"/>
        <v>12676.065000000001</v>
      </c>
      <c r="U64" s="201">
        <f t="shared" si="8"/>
        <v>0</v>
      </c>
      <c r="V64" s="201">
        <f t="shared" si="8"/>
        <v>12671.504999999999</v>
      </c>
      <c r="W64" s="201">
        <f t="shared" si="8"/>
        <v>12671.504999999999</v>
      </c>
      <c r="X64" s="201">
        <f t="shared" si="8"/>
        <v>0</v>
      </c>
    </row>
    <row r="65" spans="1:24" s="169" customFormat="1" ht="26.4">
      <c r="A65" s="192" t="s">
        <v>841</v>
      </c>
      <c r="B65" s="165" t="s">
        <v>842</v>
      </c>
      <c r="C65" s="183" t="str">
        <f t="shared" si="3"/>
        <v>1037433</v>
      </c>
      <c r="D65" s="182" t="s">
        <v>1578</v>
      </c>
      <c r="E65" s="206"/>
      <c r="F65" s="207">
        <v>412</v>
      </c>
      <c r="G65" s="207"/>
      <c r="H65" s="205"/>
      <c r="I65" s="167">
        <v>23149583821</v>
      </c>
      <c r="J65" s="167">
        <v>5483583821</v>
      </c>
      <c r="K65" s="167">
        <v>8004000000</v>
      </c>
      <c r="L65" s="168">
        <v>9662000000</v>
      </c>
      <c r="M65" s="168">
        <v>23149583821</v>
      </c>
      <c r="N65" s="168"/>
      <c r="O65" s="167">
        <v>16909146563</v>
      </c>
      <c r="P65" s="167">
        <v>16909146563</v>
      </c>
      <c r="Q65" s="168"/>
      <c r="S65" s="201">
        <f t="shared" si="5"/>
        <v>23149.583821</v>
      </c>
      <c r="T65" s="201">
        <f t="shared" si="8"/>
        <v>23149.583821</v>
      </c>
      <c r="U65" s="201">
        <f t="shared" si="8"/>
        <v>0</v>
      </c>
      <c r="V65" s="201">
        <f t="shared" si="8"/>
        <v>16909.146562999998</v>
      </c>
      <c r="W65" s="201">
        <f t="shared" si="8"/>
        <v>16909.146562999998</v>
      </c>
      <c r="X65" s="201">
        <f t="shared" si="8"/>
        <v>0</v>
      </c>
    </row>
    <row r="66" spans="1:24" s="169" customFormat="1" ht="13.8">
      <c r="A66" s="192" t="s">
        <v>845</v>
      </c>
      <c r="B66" s="170" t="s">
        <v>846</v>
      </c>
      <c r="C66" s="183" t="str">
        <f t="shared" si="3"/>
        <v>1037479</v>
      </c>
      <c r="D66" s="182" t="s">
        <v>181</v>
      </c>
      <c r="E66" s="206"/>
      <c r="F66" s="207">
        <v>483</v>
      </c>
      <c r="G66" s="207"/>
      <c r="H66" s="205"/>
      <c r="I66" s="167">
        <v>7518100000</v>
      </c>
      <c r="J66" s="166"/>
      <c r="K66" s="167">
        <v>4447000000</v>
      </c>
      <c r="L66" s="168">
        <v>3071100000</v>
      </c>
      <c r="M66" s="168">
        <v>5819100000</v>
      </c>
      <c r="N66" s="168">
        <v>1699000000</v>
      </c>
      <c r="O66" s="167">
        <v>7042240864</v>
      </c>
      <c r="P66" s="167">
        <v>5620952864</v>
      </c>
      <c r="Q66" s="168">
        <v>1421288000</v>
      </c>
      <c r="S66" s="201">
        <f t="shared" si="5"/>
        <v>7518.1</v>
      </c>
      <c r="T66" s="201">
        <f t="shared" si="8"/>
        <v>5819.1</v>
      </c>
      <c r="U66" s="201">
        <f t="shared" si="8"/>
        <v>1699</v>
      </c>
      <c r="V66" s="201">
        <f t="shared" si="8"/>
        <v>7042.2408640000003</v>
      </c>
      <c r="W66" s="201">
        <f t="shared" si="8"/>
        <v>5620.9528639999999</v>
      </c>
      <c r="X66" s="201">
        <f t="shared" si="8"/>
        <v>1421.288</v>
      </c>
    </row>
    <row r="67" spans="1:24" s="169" customFormat="1" ht="26.4">
      <c r="A67" s="192" t="s">
        <v>851</v>
      </c>
      <c r="B67" s="165" t="s">
        <v>852</v>
      </c>
      <c r="C67" s="183" t="str">
        <f t="shared" si="3"/>
        <v>1037480</v>
      </c>
      <c r="D67" s="182" t="s">
        <v>1579</v>
      </c>
      <c r="E67" s="206"/>
      <c r="F67" s="207">
        <v>414</v>
      </c>
      <c r="G67" s="207"/>
      <c r="H67" s="205"/>
      <c r="I67" s="167">
        <v>1584600000</v>
      </c>
      <c r="J67" s="166"/>
      <c r="K67" s="167">
        <v>1558000000</v>
      </c>
      <c r="L67" s="168">
        <v>26600000</v>
      </c>
      <c r="M67" s="168">
        <v>1584600000</v>
      </c>
      <c r="N67" s="168"/>
      <c r="O67" s="167">
        <v>1365288000</v>
      </c>
      <c r="P67" s="167">
        <v>1365288000</v>
      </c>
      <c r="Q67" s="168"/>
      <c r="S67" s="201">
        <f t="shared" si="5"/>
        <v>1584.6</v>
      </c>
      <c r="T67" s="201">
        <f t="shared" si="8"/>
        <v>1584.6</v>
      </c>
      <c r="U67" s="201">
        <f t="shared" si="8"/>
        <v>0</v>
      </c>
      <c r="V67" s="201">
        <f t="shared" si="8"/>
        <v>1365.288</v>
      </c>
      <c r="W67" s="201">
        <f t="shared" si="8"/>
        <v>1365.288</v>
      </c>
      <c r="X67" s="201">
        <f t="shared" si="8"/>
        <v>0</v>
      </c>
    </row>
    <row r="68" spans="1:24" s="169" customFormat="1" ht="26.4">
      <c r="A68" s="192" t="s">
        <v>856</v>
      </c>
      <c r="B68" s="170" t="s">
        <v>857</v>
      </c>
      <c r="C68" s="183" t="str">
        <f t="shared" si="3"/>
        <v>1037481</v>
      </c>
      <c r="D68" s="182" t="s">
        <v>1510</v>
      </c>
      <c r="E68" s="206"/>
      <c r="F68" s="207">
        <v>513</v>
      </c>
      <c r="G68" s="207"/>
      <c r="H68" s="205"/>
      <c r="I68" s="167">
        <v>3929700000</v>
      </c>
      <c r="J68" s="166"/>
      <c r="K68" s="167">
        <v>3723000000</v>
      </c>
      <c r="L68" s="168">
        <v>206700000</v>
      </c>
      <c r="M68" s="168">
        <v>3829700000</v>
      </c>
      <c r="N68" s="168">
        <v>100000000</v>
      </c>
      <c r="O68" s="167">
        <v>3915122400</v>
      </c>
      <c r="P68" s="167">
        <v>3815776100</v>
      </c>
      <c r="Q68" s="168">
        <v>99346300</v>
      </c>
      <c r="S68" s="201">
        <f t="shared" si="5"/>
        <v>3929.7</v>
      </c>
      <c r="T68" s="201">
        <f t="shared" si="8"/>
        <v>3829.7</v>
      </c>
      <c r="U68" s="201">
        <f t="shared" si="8"/>
        <v>100</v>
      </c>
      <c r="V68" s="201">
        <f t="shared" si="8"/>
        <v>3915.1224000000002</v>
      </c>
      <c r="W68" s="201">
        <f t="shared" si="8"/>
        <v>3815.7761</v>
      </c>
      <c r="X68" s="201">
        <f t="shared" si="8"/>
        <v>99.346299999999999</v>
      </c>
    </row>
    <row r="69" spans="1:24" s="169" customFormat="1" ht="26.4">
      <c r="A69" s="192" t="s">
        <v>861</v>
      </c>
      <c r="B69" s="165" t="s">
        <v>862</v>
      </c>
      <c r="C69" s="183" t="str">
        <f t="shared" si="3"/>
        <v>1037482</v>
      </c>
      <c r="D69" s="182" t="s">
        <v>1580</v>
      </c>
      <c r="E69" s="206"/>
      <c r="F69" s="207">
        <v>511</v>
      </c>
      <c r="G69" s="207"/>
      <c r="H69" s="205"/>
      <c r="I69" s="167">
        <v>2589834000</v>
      </c>
      <c r="J69" s="166"/>
      <c r="K69" s="167">
        <v>2200000000</v>
      </c>
      <c r="L69" s="168">
        <v>389834000</v>
      </c>
      <c r="M69" s="168">
        <v>2589834000</v>
      </c>
      <c r="N69" s="168"/>
      <c r="O69" s="167">
        <v>2589834000</v>
      </c>
      <c r="P69" s="167">
        <v>2589834000</v>
      </c>
      <c r="Q69" s="168"/>
      <c r="S69" s="201">
        <f t="shared" si="5"/>
        <v>2589.8339999999998</v>
      </c>
      <c r="T69" s="201">
        <f t="shared" si="8"/>
        <v>2589.8339999999998</v>
      </c>
      <c r="U69" s="201">
        <f t="shared" si="8"/>
        <v>0</v>
      </c>
      <c r="V69" s="201">
        <f t="shared" si="8"/>
        <v>2589.8339999999998</v>
      </c>
      <c r="W69" s="201">
        <f t="shared" si="8"/>
        <v>2589.8339999999998</v>
      </c>
      <c r="X69" s="201">
        <f t="shared" si="8"/>
        <v>0</v>
      </c>
    </row>
    <row r="70" spans="1:24" s="169" customFormat="1" ht="13.8">
      <c r="A70" s="192" t="s">
        <v>866</v>
      </c>
      <c r="B70" s="170" t="s">
        <v>867</v>
      </c>
      <c r="C70" s="183" t="str">
        <f t="shared" si="3"/>
        <v>1037483</v>
      </c>
      <c r="D70" s="182" t="s">
        <v>1511</v>
      </c>
      <c r="E70" s="206"/>
      <c r="F70" s="207">
        <v>511</v>
      </c>
      <c r="G70" s="207"/>
      <c r="H70" s="205"/>
      <c r="I70" s="167">
        <v>5578200000</v>
      </c>
      <c r="J70" s="166"/>
      <c r="K70" s="167">
        <v>5341000000</v>
      </c>
      <c r="L70" s="168">
        <v>237200000</v>
      </c>
      <c r="M70" s="168">
        <v>5578200000</v>
      </c>
      <c r="N70" s="168"/>
      <c r="O70" s="167">
        <v>5578200000</v>
      </c>
      <c r="P70" s="167">
        <v>5578200000</v>
      </c>
      <c r="Q70" s="168"/>
      <c r="S70" s="201">
        <f t="shared" si="5"/>
        <v>5578.2</v>
      </c>
      <c r="T70" s="201">
        <f t="shared" si="8"/>
        <v>5578.2</v>
      </c>
      <c r="U70" s="201">
        <f t="shared" si="8"/>
        <v>0</v>
      </c>
      <c r="V70" s="201">
        <f t="shared" si="8"/>
        <v>5578.2</v>
      </c>
      <c r="W70" s="201">
        <f t="shared" si="8"/>
        <v>5578.2</v>
      </c>
      <c r="X70" s="201">
        <f t="shared" si="8"/>
        <v>0</v>
      </c>
    </row>
    <row r="71" spans="1:24" s="169" customFormat="1" ht="13.8">
      <c r="A71" s="192" t="s">
        <v>869</v>
      </c>
      <c r="B71" s="170" t="s">
        <v>870</v>
      </c>
      <c r="C71" s="183" t="str">
        <f t="shared" si="3"/>
        <v>1037484</v>
      </c>
      <c r="D71" s="182" t="s">
        <v>1485</v>
      </c>
      <c r="E71" s="206"/>
      <c r="F71" s="207">
        <v>425</v>
      </c>
      <c r="G71" s="207"/>
      <c r="H71" s="205"/>
      <c r="I71" s="167">
        <v>2729947000</v>
      </c>
      <c r="J71" s="166"/>
      <c r="K71" s="167">
        <v>2559000000</v>
      </c>
      <c r="L71" s="168">
        <v>170947000</v>
      </c>
      <c r="M71" s="168">
        <v>2729947000</v>
      </c>
      <c r="N71" s="168"/>
      <c r="O71" s="167">
        <v>2729947000</v>
      </c>
      <c r="P71" s="167">
        <v>2729947000</v>
      </c>
      <c r="Q71" s="168"/>
      <c r="S71" s="201">
        <f t="shared" si="5"/>
        <v>2729.9470000000001</v>
      </c>
      <c r="T71" s="201">
        <f t="shared" si="8"/>
        <v>2729.9470000000001</v>
      </c>
      <c r="U71" s="201">
        <f t="shared" si="8"/>
        <v>0</v>
      </c>
      <c r="V71" s="201">
        <f t="shared" si="8"/>
        <v>2729.9470000000001</v>
      </c>
      <c r="W71" s="201">
        <f t="shared" si="8"/>
        <v>2729.9470000000001</v>
      </c>
      <c r="X71" s="201">
        <f t="shared" si="8"/>
        <v>0</v>
      </c>
    </row>
    <row r="72" spans="1:24" s="169" customFormat="1" ht="26.4">
      <c r="A72" s="192" t="s">
        <v>873</v>
      </c>
      <c r="B72" s="165" t="s">
        <v>874</v>
      </c>
      <c r="C72" s="183" t="str">
        <f t="shared" si="3"/>
        <v>1037488</v>
      </c>
      <c r="D72" s="182" t="s">
        <v>1581</v>
      </c>
      <c r="E72" s="206"/>
      <c r="F72" s="207">
        <v>412</v>
      </c>
      <c r="G72" s="207"/>
      <c r="H72" s="205"/>
      <c r="I72" s="167">
        <v>2261642000</v>
      </c>
      <c r="J72" s="167">
        <v>21642000</v>
      </c>
      <c r="K72" s="167">
        <v>2181000000</v>
      </c>
      <c r="L72" s="168">
        <v>59000000</v>
      </c>
      <c r="M72" s="168">
        <v>2261642000</v>
      </c>
      <c r="N72" s="168"/>
      <c r="O72" s="167">
        <v>2261642000</v>
      </c>
      <c r="P72" s="167">
        <v>2261642000</v>
      </c>
      <c r="Q72" s="168"/>
      <c r="S72" s="201">
        <f t="shared" si="5"/>
        <v>2261.6419999999998</v>
      </c>
      <c r="T72" s="201">
        <f t="shared" ref="T72:X87" si="9">M72/1000000</f>
        <v>2261.6419999999998</v>
      </c>
      <c r="U72" s="201">
        <f t="shared" si="9"/>
        <v>0</v>
      </c>
      <c r="V72" s="201">
        <f t="shared" si="9"/>
        <v>2261.6419999999998</v>
      </c>
      <c r="W72" s="201">
        <f t="shared" si="9"/>
        <v>2261.6419999999998</v>
      </c>
      <c r="X72" s="201">
        <f t="shared" si="9"/>
        <v>0</v>
      </c>
    </row>
    <row r="73" spans="1:24" s="169" customFormat="1" ht="26.4">
      <c r="A73" s="192" t="s">
        <v>876</v>
      </c>
      <c r="B73" s="165" t="s">
        <v>877</v>
      </c>
      <c r="C73" s="183" t="str">
        <f t="shared" si="3"/>
        <v>1037489</v>
      </c>
      <c r="D73" s="182" t="s">
        <v>1582</v>
      </c>
      <c r="E73" s="206"/>
      <c r="F73" s="207">
        <v>412</v>
      </c>
      <c r="G73" s="207"/>
      <c r="H73" s="205"/>
      <c r="I73" s="167">
        <v>2727826087</v>
      </c>
      <c r="J73" s="167">
        <v>32926087</v>
      </c>
      <c r="K73" s="167">
        <v>2201000000</v>
      </c>
      <c r="L73" s="168">
        <v>493900000</v>
      </c>
      <c r="M73" s="168">
        <v>2727826087</v>
      </c>
      <c r="N73" s="168"/>
      <c r="O73" s="167">
        <v>2036520601</v>
      </c>
      <c r="P73" s="167">
        <v>2036520601</v>
      </c>
      <c r="Q73" s="168"/>
      <c r="S73" s="201">
        <f t="shared" si="5"/>
        <v>2727.8260869999999</v>
      </c>
      <c r="T73" s="201">
        <f t="shared" si="9"/>
        <v>2727.8260869999999</v>
      </c>
      <c r="U73" s="201">
        <f t="shared" si="9"/>
        <v>0</v>
      </c>
      <c r="V73" s="201">
        <f t="shared" si="9"/>
        <v>2036.5206009999999</v>
      </c>
      <c r="W73" s="201">
        <f t="shared" si="9"/>
        <v>2036.5206009999999</v>
      </c>
      <c r="X73" s="201">
        <f t="shared" si="9"/>
        <v>0</v>
      </c>
    </row>
    <row r="74" spans="1:24" s="169" customFormat="1" ht="26.4">
      <c r="A74" s="192" t="s">
        <v>880</v>
      </c>
      <c r="B74" s="170" t="s">
        <v>881</v>
      </c>
      <c r="C74" s="183" t="str">
        <f t="shared" si="3"/>
        <v>1037490</v>
      </c>
      <c r="D74" s="182" t="s">
        <v>1568</v>
      </c>
      <c r="E74" s="206"/>
      <c r="F74" s="207">
        <v>412</v>
      </c>
      <c r="G74" s="207"/>
      <c r="H74" s="205"/>
      <c r="I74" s="167">
        <v>5918800000</v>
      </c>
      <c r="J74" s="166"/>
      <c r="K74" s="167">
        <v>3062800000</v>
      </c>
      <c r="L74" s="168">
        <v>2856000000</v>
      </c>
      <c r="M74" s="168">
        <v>5918800000</v>
      </c>
      <c r="N74" s="168"/>
      <c r="O74" s="167">
        <v>3158800000</v>
      </c>
      <c r="P74" s="167">
        <v>3158800000</v>
      </c>
      <c r="Q74" s="168"/>
      <c r="S74" s="201">
        <f t="shared" si="5"/>
        <v>5918.8</v>
      </c>
      <c r="T74" s="201">
        <f t="shared" si="9"/>
        <v>5918.8</v>
      </c>
      <c r="U74" s="201">
        <f t="shared" si="9"/>
        <v>0</v>
      </c>
      <c r="V74" s="201">
        <f t="shared" si="9"/>
        <v>3158.8</v>
      </c>
      <c r="W74" s="201">
        <f t="shared" si="9"/>
        <v>3158.8</v>
      </c>
      <c r="X74" s="201">
        <f t="shared" si="9"/>
        <v>0</v>
      </c>
    </row>
    <row r="75" spans="1:24" s="169" customFormat="1" ht="26.4">
      <c r="A75" s="192" t="s">
        <v>884</v>
      </c>
      <c r="B75" s="170" t="s">
        <v>885</v>
      </c>
      <c r="C75" s="183" t="str">
        <f t="shared" si="3"/>
        <v>1037491</v>
      </c>
      <c r="D75" s="182" t="s">
        <v>1583</v>
      </c>
      <c r="E75" s="206"/>
      <c r="F75" s="207">
        <v>412</v>
      </c>
      <c r="G75" s="207"/>
      <c r="H75" s="205"/>
      <c r="I75" s="167">
        <v>2975207000</v>
      </c>
      <c r="J75" s="166"/>
      <c r="K75" s="167">
        <v>2705000000</v>
      </c>
      <c r="L75" s="168">
        <v>270207000</v>
      </c>
      <c r="M75" s="168">
        <v>2975207000</v>
      </c>
      <c r="N75" s="168"/>
      <c r="O75" s="167">
        <v>2975207000</v>
      </c>
      <c r="P75" s="167">
        <v>2975207000</v>
      </c>
      <c r="Q75" s="168"/>
      <c r="S75" s="201">
        <f t="shared" si="5"/>
        <v>2975.2069999999999</v>
      </c>
      <c r="T75" s="201">
        <f t="shared" si="9"/>
        <v>2975.2069999999999</v>
      </c>
      <c r="U75" s="201">
        <f t="shared" si="9"/>
        <v>0</v>
      </c>
      <c r="V75" s="201">
        <f t="shared" si="9"/>
        <v>2975.2069999999999</v>
      </c>
      <c r="W75" s="201">
        <f t="shared" si="9"/>
        <v>2975.2069999999999</v>
      </c>
      <c r="X75" s="201">
        <f t="shared" si="9"/>
        <v>0</v>
      </c>
    </row>
    <row r="76" spans="1:24" s="169" customFormat="1" ht="26.4">
      <c r="A76" s="192" t="s">
        <v>887</v>
      </c>
      <c r="B76" s="165" t="s">
        <v>888</v>
      </c>
      <c r="C76" s="183" t="str">
        <f t="shared" si="3"/>
        <v>1037518</v>
      </c>
      <c r="D76" s="182" t="s">
        <v>1512</v>
      </c>
      <c r="E76" s="206"/>
      <c r="F76" s="207">
        <v>422</v>
      </c>
      <c r="G76" s="207"/>
      <c r="H76" s="205"/>
      <c r="I76" s="167">
        <v>8813188000</v>
      </c>
      <c r="J76" s="166"/>
      <c r="K76" s="167">
        <v>8588588000</v>
      </c>
      <c r="L76" s="168">
        <v>224600000</v>
      </c>
      <c r="M76" s="168">
        <v>8813188000</v>
      </c>
      <c r="N76" s="168"/>
      <c r="O76" s="167">
        <v>8811888000</v>
      </c>
      <c r="P76" s="167">
        <v>8811888000</v>
      </c>
      <c r="Q76" s="168"/>
      <c r="S76" s="201">
        <f t="shared" si="5"/>
        <v>8813.1880000000001</v>
      </c>
      <c r="T76" s="201">
        <f t="shared" si="9"/>
        <v>8813.1880000000001</v>
      </c>
      <c r="U76" s="201">
        <f t="shared" si="9"/>
        <v>0</v>
      </c>
      <c r="V76" s="201">
        <f t="shared" si="9"/>
        <v>8811.8880000000008</v>
      </c>
      <c r="W76" s="201">
        <f t="shared" si="9"/>
        <v>8811.8880000000008</v>
      </c>
      <c r="X76" s="201">
        <f t="shared" si="9"/>
        <v>0</v>
      </c>
    </row>
    <row r="77" spans="1:24" s="169" customFormat="1" ht="26.4">
      <c r="A77" s="192" t="s">
        <v>891</v>
      </c>
      <c r="B77" s="165" t="s">
        <v>892</v>
      </c>
      <c r="C77" s="183" t="str">
        <f t="shared" si="3"/>
        <v>1037519</v>
      </c>
      <c r="D77" s="182" t="s">
        <v>1623</v>
      </c>
      <c r="E77" s="206"/>
      <c r="F77" s="207">
        <v>422</v>
      </c>
      <c r="G77" s="207"/>
      <c r="H77" s="205"/>
      <c r="I77" s="167">
        <v>16586658500</v>
      </c>
      <c r="J77" s="167">
        <v>846058500</v>
      </c>
      <c r="K77" s="167">
        <v>14200000000</v>
      </c>
      <c r="L77" s="168">
        <v>1540600000</v>
      </c>
      <c r="M77" s="168">
        <v>16586658500</v>
      </c>
      <c r="N77" s="168"/>
      <c r="O77" s="167">
        <v>16560882000</v>
      </c>
      <c r="P77" s="167">
        <v>16560882000</v>
      </c>
      <c r="Q77" s="168"/>
      <c r="S77" s="201">
        <f t="shared" si="5"/>
        <v>16586.658500000001</v>
      </c>
      <c r="T77" s="201">
        <f t="shared" si="9"/>
        <v>16586.658500000001</v>
      </c>
      <c r="U77" s="201">
        <f t="shared" si="9"/>
        <v>0</v>
      </c>
      <c r="V77" s="201">
        <f t="shared" si="9"/>
        <v>16560.882000000001</v>
      </c>
      <c r="W77" s="201">
        <f t="shared" si="9"/>
        <v>16560.882000000001</v>
      </c>
      <c r="X77" s="201">
        <f t="shared" si="9"/>
        <v>0</v>
      </c>
    </row>
    <row r="78" spans="1:24" s="169" customFormat="1" ht="26.4">
      <c r="A78" s="192" t="s">
        <v>895</v>
      </c>
      <c r="B78" s="165" t="s">
        <v>896</v>
      </c>
      <c r="C78" s="183" t="str">
        <f t="shared" si="3"/>
        <v>1037574</v>
      </c>
      <c r="D78" s="182" t="s">
        <v>1584</v>
      </c>
      <c r="E78" s="206"/>
      <c r="F78" s="207">
        <v>422</v>
      </c>
      <c r="G78" s="207"/>
      <c r="H78" s="205"/>
      <c r="I78" s="167">
        <v>18238310000</v>
      </c>
      <c r="J78" s="167">
        <v>399984000</v>
      </c>
      <c r="K78" s="167">
        <v>15355900000</v>
      </c>
      <c r="L78" s="168">
        <v>2482426000</v>
      </c>
      <c r="M78" s="168">
        <v>18238310000</v>
      </c>
      <c r="N78" s="168"/>
      <c r="O78" s="167">
        <v>15140896398</v>
      </c>
      <c r="P78" s="167">
        <v>15140896398</v>
      </c>
      <c r="Q78" s="168"/>
      <c r="S78" s="201">
        <f t="shared" si="5"/>
        <v>18238.310000000001</v>
      </c>
      <c r="T78" s="201">
        <f t="shared" si="9"/>
        <v>18238.310000000001</v>
      </c>
      <c r="U78" s="201">
        <f t="shared" si="9"/>
        <v>0</v>
      </c>
      <c r="V78" s="201">
        <f t="shared" si="9"/>
        <v>15140.896398000001</v>
      </c>
      <c r="W78" s="201">
        <f t="shared" si="9"/>
        <v>15140.896398000001</v>
      </c>
      <c r="X78" s="201">
        <f t="shared" si="9"/>
        <v>0</v>
      </c>
    </row>
    <row r="79" spans="1:24" s="169" customFormat="1" ht="26.4">
      <c r="A79" s="192" t="s">
        <v>899</v>
      </c>
      <c r="B79" s="165" t="s">
        <v>900</v>
      </c>
      <c r="C79" s="183" t="str">
        <f t="shared" si="3"/>
        <v>1037575</v>
      </c>
      <c r="D79" s="182" t="s">
        <v>1585</v>
      </c>
      <c r="E79" s="206"/>
      <c r="F79" s="207">
        <v>422</v>
      </c>
      <c r="G79" s="207"/>
      <c r="H79" s="205"/>
      <c r="I79" s="167">
        <v>10113566153</v>
      </c>
      <c r="J79" s="167">
        <v>41660153</v>
      </c>
      <c r="K79" s="167">
        <v>9290577000</v>
      </c>
      <c r="L79" s="168">
        <v>781329000</v>
      </c>
      <c r="M79" s="168">
        <v>10113566153</v>
      </c>
      <c r="N79" s="168"/>
      <c r="O79" s="167">
        <v>9486884003</v>
      </c>
      <c r="P79" s="167">
        <v>9486884003</v>
      </c>
      <c r="Q79" s="168"/>
      <c r="S79" s="201">
        <f t="shared" si="5"/>
        <v>10113.566153</v>
      </c>
      <c r="T79" s="201">
        <f t="shared" si="9"/>
        <v>10113.566153</v>
      </c>
      <c r="U79" s="201">
        <f t="shared" si="9"/>
        <v>0</v>
      </c>
      <c r="V79" s="201">
        <f t="shared" si="9"/>
        <v>9486.8840029999992</v>
      </c>
      <c r="W79" s="201">
        <f t="shared" si="9"/>
        <v>9486.8840029999992</v>
      </c>
      <c r="X79" s="201">
        <f t="shared" si="9"/>
        <v>0</v>
      </c>
    </row>
    <row r="80" spans="1:24" s="169" customFormat="1" ht="26.4">
      <c r="A80" s="192" t="s">
        <v>902</v>
      </c>
      <c r="B80" s="170" t="s">
        <v>903</v>
      </c>
      <c r="C80" s="183" t="str">
        <f t="shared" si="3"/>
        <v>1037577</v>
      </c>
      <c r="D80" s="182" t="s">
        <v>1586</v>
      </c>
      <c r="E80" s="206"/>
      <c r="F80" s="207">
        <v>522</v>
      </c>
      <c r="G80" s="207"/>
      <c r="H80" s="205"/>
      <c r="I80" s="167">
        <v>1654000000</v>
      </c>
      <c r="J80" s="166"/>
      <c r="K80" s="167">
        <v>1614000000</v>
      </c>
      <c r="L80" s="168">
        <v>40000000</v>
      </c>
      <c r="M80" s="168">
        <v>1654000000</v>
      </c>
      <c r="N80" s="168"/>
      <c r="O80" s="167">
        <v>1654000000</v>
      </c>
      <c r="P80" s="167">
        <v>1654000000</v>
      </c>
      <c r="Q80" s="168"/>
      <c r="S80" s="201">
        <f t="shared" si="5"/>
        <v>1654</v>
      </c>
      <c r="T80" s="201">
        <f t="shared" si="9"/>
        <v>1654</v>
      </c>
      <c r="U80" s="201">
        <f t="shared" si="9"/>
        <v>0</v>
      </c>
      <c r="V80" s="201">
        <f t="shared" si="9"/>
        <v>1654</v>
      </c>
      <c r="W80" s="201">
        <f t="shared" si="9"/>
        <v>1654</v>
      </c>
      <c r="X80" s="201">
        <f t="shared" si="9"/>
        <v>0</v>
      </c>
    </row>
    <row r="81" spans="1:24" s="169" customFormat="1" ht="26.4">
      <c r="A81" s="192" t="s">
        <v>907</v>
      </c>
      <c r="B81" s="165" t="s">
        <v>908</v>
      </c>
      <c r="C81" s="183" t="str">
        <f t="shared" si="3"/>
        <v>1037579</v>
      </c>
      <c r="D81" s="182" t="s">
        <v>1513</v>
      </c>
      <c r="E81" s="206"/>
      <c r="F81" s="207">
        <v>425</v>
      </c>
      <c r="G81" s="207"/>
      <c r="H81" s="205"/>
      <c r="I81" s="167">
        <v>3409029000</v>
      </c>
      <c r="J81" s="167">
        <v>100000000</v>
      </c>
      <c r="K81" s="167">
        <v>3132000000</v>
      </c>
      <c r="L81" s="168">
        <v>177029000</v>
      </c>
      <c r="M81" s="168">
        <v>3409029000</v>
      </c>
      <c r="N81" s="168"/>
      <c r="O81" s="167">
        <v>3404029000</v>
      </c>
      <c r="P81" s="167">
        <v>3404029000</v>
      </c>
      <c r="Q81" s="168"/>
      <c r="S81" s="201">
        <f t="shared" si="5"/>
        <v>3409.029</v>
      </c>
      <c r="T81" s="201">
        <f t="shared" si="9"/>
        <v>3409.029</v>
      </c>
      <c r="U81" s="201">
        <f t="shared" si="9"/>
        <v>0</v>
      </c>
      <c r="V81" s="201">
        <f t="shared" si="9"/>
        <v>3404.029</v>
      </c>
      <c r="W81" s="201">
        <f t="shared" si="9"/>
        <v>3404.029</v>
      </c>
      <c r="X81" s="201">
        <f t="shared" si="9"/>
        <v>0</v>
      </c>
    </row>
    <row r="82" spans="1:24" s="169" customFormat="1" ht="26.4">
      <c r="A82" s="192" t="s">
        <v>912</v>
      </c>
      <c r="B82" s="165" t="s">
        <v>913</v>
      </c>
      <c r="C82" s="183" t="str">
        <f t="shared" si="3"/>
        <v>1037582</v>
      </c>
      <c r="D82" s="182" t="s">
        <v>1624</v>
      </c>
      <c r="E82" s="206"/>
      <c r="F82" s="207">
        <v>425</v>
      </c>
      <c r="G82" s="207"/>
      <c r="H82" s="205"/>
      <c r="I82" s="167">
        <v>14097089000</v>
      </c>
      <c r="J82" s="167">
        <v>349000000</v>
      </c>
      <c r="K82" s="167">
        <v>9484000000</v>
      </c>
      <c r="L82" s="168">
        <v>4264089000</v>
      </c>
      <c r="M82" s="168">
        <v>14097089000</v>
      </c>
      <c r="N82" s="168"/>
      <c r="O82" s="167">
        <v>11028347600</v>
      </c>
      <c r="P82" s="167">
        <v>11028347600</v>
      </c>
      <c r="Q82" s="168"/>
      <c r="S82" s="201">
        <f t="shared" si="5"/>
        <v>14097.089</v>
      </c>
      <c r="T82" s="201">
        <f t="shared" si="9"/>
        <v>14097.089</v>
      </c>
      <c r="U82" s="201">
        <f t="shared" si="9"/>
        <v>0</v>
      </c>
      <c r="V82" s="201">
        <f t="shared" si="9"/>
        <v>11028.347599999999</v>
      </c>
      <c r="W82" s="201">
        <f t="shared" si="9"/>
        <v>11028.347599999999</v>
      </c>
      <c r="X82" s="201">
        <f t="shared" si="9"/>
        <v>0</v>
      </c>
    </row>
    <row r="83" spans="1:24" s="169" customFormat="1" ht="13.8">
      <c r="A83" s="192" t="s">
        <v>917</v>
      </c>
      <c r="B83" s="164" t="s">
        <v>918</v>
      </c>
      <c r="C83" s="183" t="str">
        <f t="shared" si="3"/>
        <v>1037583</v>
      </c>
      <c r="D83" s="182" t="s">
        <v>1486</v>
      </c>
      <c r="E83" s="206"/>
      <c r="F83" s="207">
        <v>425</v>
      </c>
      <c r="G83" s="207"/>
      <c r="H83" s="205"/>
      <c r="I83" s="167">
        <v>3766093000</v>
      </c>
      <c r="J83" s="166"/>
      <c r="K83" s="167">
        <v>3355000000</v>
      </c>
      <c r="L83" s="168">
        <v>411093000</v>
      </c>
      <c r="M83" s="168">
        <v>3766093000</v>
      </c>
      <c r="N83" s="168"/>
      <c r="O83" s="167">
        <v>3765673000</v>
      </c>
      <c r="P83" s="167">
        <v>3765673000</v>
      </c>
      <c r="Q83" s="168"/>
      <c r="S83" s="201">
        <f t="shared" si="5"/>
        <v>3766.0929999999998</v>
      </c>
      <c r="T83" s="201">
        <f t="shared" si="9"/>
        <v>3766.0929999999998</v>
      </c>
      <c r="U83" s="201">
        <f t="shared" si="9"/>
        <v>0</v>
      </c>
      <c r="V83" s="201">
        <f t="shared" si="9"/>
        <v>3765.6729999999998</v>
      </c>
      <c r="W83" s="201">
        <f t="shared" si="9"/>
        <v>3765.6729999999998</v>
      </c>
      <c r="X83" s="201">
        <f t="shared" si="9"/>
        <v>0</v>
      </c>
    </row>
    <row r="84" spans="1:24" s="169" customFormat="1" ht="26.4">
      <c r="A84" s="192" t="s">
        <v>920</v>
      </c>
      <c r="B84" s="176" t="s">
        <v>921</v>
      </c>
      <c r="C84" s="183" t="str">
        <f t="shared" si="3"/>
        <v>1037584</v>
      </c>
      <c r="D84" s="182" t="s">
        <v>1587</v>
      </c>
      <c r="E84" s="206"/>
      <c r="F84" s="207">
        <v>425</v>
      </c>
      <c r="G84" s="207"/>
      <c r="H84" s="205"/>
      <c r="I84" s="167">
        <v>4484000000</v>
      </c>
      <c r="J84" s="166"/>
      <c r="K84" s="167">
        <v>4023000000</v>
      </c>
      <c r="L84" s="168">
        <v>461000000</v>
      </c>
      <c r="M84" s="168">
        <v>4484000000</v>
      </c>
      <c r="N84" s="168"/>
      <c r="O84" s="167">
        <v>4471904200</v>
      </c>
      <c r="P84" s="167">
        <v>4471904200</v>
      </c>
      <c r="Q84" s="168"/>
      <c r="S84" s="201">
        <f t="shared" si="5"/>
        <v>4484</v>
      </c>
      <c r="T84" s="201">
        <f t="shared" si="9"/>
        <v>4484</v>
      </c>
      <c r="U84" s="201">
        <f t="shared" si="9"/>
        <v>0</v>
      </c>
      <c r="V84" s="201">
        <f t="shared" si="9"/>
        <v>4471.9041999999999</v>
      </c>
      <c r="W84" s="201">
        <f t="shared" si="9"/>
        <v>4471.9041999999999</v>
      </c>
      <c r="X84" s="201">
        <f t="shared" si="9"/>
        <v>0</v>
      </c>
    </row>
    <row r="85" spans="1:24" s="169" customFormat="1" ht="13.8">
      <c r="A85" s="192" t="s">
        <v>923</v>
      </c>
      <c r="B85" s="164" t="s">
        <v>924</v>
      </c>
      <c r="C85" s="183" t="str">
        <f t="shared" si="3"/>
        <v>1037585</v>
      </c>
      <c r="D85" s="182" t="s">
        <v>1487</v>
      </c>
      <c r="E85" s="206"/>
      <c r="F85" s="207">
        <v>518</v>
      </c>
      <c r="G85" s="207"/>
      <c r="H85" s="205"/>
      <c r="I85" s="167">
        <v>1426869000</v>
      </c>
      <c r="J85" s="167">
        <v>100169000</v>
      </c>
      <c r="K85" s="167">
        <v>656000000</v>
      </c>
      <c r="L85" s="168">
        <v>670700000</v>
      </c>
      <c r="M85" s="168">
        <v>1426869000</v>
      </c>
      <c r="N85" s="168"/>
      <c r="O85" s="167">
        <v>1107797303</v>
      </c>
      <c r="P85" s="167">
        <v>1107797303</v>
      </c>
      <c r="Q85" s="168"/>
      <c r="S85" s="201">
        <f t="shared" si="5"/>
        <v>1426.8689999999999</v>
      </c>
      <c r="T85" s="201">
        <f t="shared" si="9"/>
        <v>1426.8689999999999</v>
      </c>
      <c r="U85" s="201">
        <f t="shared" si="9"/>
        <v>0</v>
      </c>
      <c r="V85" s="201">
        <f t="shared" si="9"/>
        <v>1107.7973030000001</v>
      </c>
      <c r="W85" s="201">
        <f t="shared" si="9"/>
        <v>1107.7973030000001</v>
      </c>
      <c r="X85" s="201">
        <f t="shared" si="9"/>
        <v>0</v>
      </c>
    </row>
    <row r="86" spans="1:24" s="169" customFormat="1" ht="26.4">
      <c r="A86" s="192" t="s">
        <v>927</v>
      </c>
      <c r="B86" s="165" t="s">
        <v>928</v>
      </c>
      <c r="C86" s="183" t="str">
        <f t="shared" si="3"/>
        <v>1037641</v>
      </c>
      <c r="D86" s="182" t="s">
        <v>1588</v>
      </c>
      <c r="E86" s="206"/>
      <c r="F86" s="207">
        <v>441</v>
      </c>
      <c r="G86" s="207"/>
      <c r="H86" s="205"/>
      <c r="I86" s="167">
        <v>11672727000</v>
      </c>
      <c r="J86" s="166"/>
      <c r="K86" s="167">
        <v>11256000000</v>
      </c>
      <c r="L86" s="168">
        <v>416727000</v>
      </c>
      <c r="M86" s="168">
        <v>11672727000</v>
      </c>
      <c r="N86" s="168"/>
      <c r="O86" s="167">
        <v>11672727000</v>
      </c>
      <c r="P86" s="167">
        <v>11672727000</v>
      </c>
      <c r="Q86" s="168"/>
      <c r="S86" s="201">
        <f t="shared" si="5"/>
        <v>11672.727000000001</v>
      </c>
      <c r="T86" s="201">
        <f t="shared" si="9"/>
        <v>11672.727000000001</v>
      </c>
      <c r="U86" s="201">
        <f t="shared" si="9"/>
        <v>0</v>
      </c>
      <c r="V86" s="201">
        <f t="shared" si="9"/>
        <v>11672.727000000001</v>
      </c>
      <c r="W86" s="201">
        <f t="shared" si="9"/>
        <v>11672.727000000001</v>
      </c>
      <c r="X86" s="201">
        <f t="shared" si="9"/>
        <v>0</v>
      </c>
    </row>
    <row r="87" spans="1:24" s="169" customFormat="1" ht="27.6">
      <c r="A87" s="192" t="s">
        <v>932</v>
      </c>
      <c r="B87" s="165" t="s">
        <v>933</v>
      </c>
      <c r="C87" s="183" t="str">
        <f t="shared" ref="C87:C150" si="10">IF(B87&lt;&gt;"",IF(AND(LEFT(B87,1)&gt;="0",LEFT(B87,1)&lt;="9"),LEFT(B87,7),""),"")</f>
        <v>1037642</v>
      </c>
      <c r="D87" s="182" t="s">
        <v>1589</v>
      </c>
      <c r="E87" s="206"/>
      <c r="F87" s="207">
        <v>425</v>
      </c>
      <c r="G87" s="207"/>
      <c r="H87" s="205"/>
      <c r="I87" s="167">
        <v>7783848759</v>
      </c>
      <c r="J87" s="167">
        <v>90364759</v>
      </c>
      <c r="K87" s="167">
        <v>7548000000</v>
      </c>
      <c r="L87" s="168">
        <v>145484000</v>
      </c>
      <c r="M87" s="168">
        <v>7783848759</v>
      </c>
      <c r="N87" s="168"/>
      <c r="O87" s="167">
        <v>7756553419</v>
      </c>
      <c r="P87" s="167">
        <v>7756553419</v>
      </c>
      <c r="Q87" s="168"/>
      <c r="S87" s="201">
        <f t="shared" si="5"/>
        <v>7783.8487590000004</v>
      </c>
      <c r="T87" s="201">
        <f t="shared" si="9"/>
        <v>7783.8487590000004</v>
      </c>
      <c r="U87" s="201">
        <f t="shared" si="9"/>
        <v>0</v>
      </c>
      <c r="V87" s="201">
        <f t="shared" si="9"/>
        <v>7756.5534189999998</v>
      </c>
      <c r="W87" s="201">
        <f t="shared" si="9"/>
        <v>7756.5534189999998</v>
      </c>
      <c r="X87" s="201">
        <f t="shared" si="9"/>
        <v>0</v>
      </c>
    </row>
    <row r="88" spans="1:24" s="169" customFormat="1" ht="13.8">
      <c r="A88" s="192" t="s">
        <v>936</v>
      </c>
      <c r="B88" s="170" t="s">
        <v>937</v>
      </c>
      <c r="C88" s="183" t="str">
        <f t="shared" si="10"/>
        <v>1037644</v>
      </c>
      <c r="D88" s="182" t="s">
        <v>1590</v>
      </c>
      <c r="E88" s="206"/>
      <c r="F88" s="207">
        <v>435</v>
      </c>
      <c r="G88" s="207"/>
      <c r="H88" s="205"/>
      <c r="I88" s="167">
        <v>27732787866</v>
      </c>
      <c r="J88" s="167">
        <v>7097658866</v>
      </c>
      <c r="K88" s="167">
        <v>16353299000</v>
      </c>
      <c r="L88" s="168">
        <v>4281830000</v>
      </c>
      <c r="M88" s="168">
        <v>27732787866</v>
      </c>
      <c r="N88" s="168"/>
      <c r="O88" s="167">
        <v>14332432450</v>
      </c>
      <c r="P88" s="167">
        <v>14332432450</v>
      </c>
      <c r="Q88" s="168"/>
      <c r="S88" s="201">
        <f t="shared" ref="S88:S151" si="11">I88/1000000</f>
        <v>27732.787865999999</v>
      </c>
      <c r="T88" s="201">
        <f t="shared" ref="T88:X103" si="12">M88/1000000</f>
        <v>27732.787865999999</v>
      </c>
      <c r="U88" s="201">
        <f t="shared" si="12"/>
        <v>0</v>
      </c>
      <c r="V88" s="201">
        <f t="shared" si="12"/>
        <v>14332.43245</v>
      </c>
      <c r="W88" s="201">
        <f t="shared" si="12"/>
        <v>14332.43245</v>
      </c>
      <c r="X88" s="201">
        <f t="shared" si="12"/>
        <v>0</v>
      </c>
    </row>
    <row r="89" spans="1:24" s="169" customFormat="1" ht="13.8">
      <c r="A89" s="192" t="s">
        <v>940</v>
      </c>
      <c r="B89" s="170" t="s">
        <v>941</v>
      </c>
      <c r="C89" s="183" t="str">
        <f t="shared" si="10"/>
        <v>1037649</v>
      </c>
      <c r="D89" s="182" t="s">
        <v>1591</v>
      </c>
      <c r="E89" s="206"/>
      <c r="F89" s="207">
        <v>416</v>
      </c>
      <c r="G89" s="207"/>
      <c r="H89" s="205"/>
      <c r="I89" s="167">
        <v>5728970000</v>
      </c>
      <c r="J89" s="166"/>
      <c r="K89" s="167">
        <v>5318000000</v>
      </c>
      <c r="L89" s="168">
        <v>410970000</v>
      </c>
      <c r="M89" s="168">
        <v>5728970000</v>
      </c>
      <c r="N89" s="168"/>
      <c r="O89" s="167">
        <v>5626158619</v>
      </c>
      <c r="P89" s="167">
        <v>5626158619</v>
      </c>
      <c r="Q89" s="168"/>
      <c r="S89" s="201">
        <f t="shared" si="11"/>
        <v>5728.97</v>
      </c>
      <c r="T89" s="201">
        <f t="shared" si="12"/>
        <v>5728.97</v>
      </c>
      <c r="U89" s="201">
        <f t="shared" si="12"/>
        <v>0</v>
      </c>
      <c r="V89" s="201">
        <f t="shared" si="12"/>
        <v>5626.1586189999998</v>
      </c>
      <c r="W89" s="201">
        <f t="shared" si="12"/>
        <v>5626.1586189999998</v>
      </c>
      <c r="X89" s="201">
        <f t="shared" si="12"/>
        <v>0</v>
      </c>
    </row>
    <row r="90" spans="1:24" s="169" customFormat="1" ht="26.4">
      <c r="A90" s="192" t="s">
        <v>944</v>
      </c>
      <c r="B90" s="165" t="s">
        <v>945</v>
      </c>
      <c r="C90" s="183" t="str">
        <f t="shared" si="10"/>
        <v>1037650</v>
      </c>
      <c r="D90" s="182" t="s">
        <v>1592</v>
      </c>
      <c r="E90" s="206"/>
      <c r="F90" s="207">
        <v>413</v>
      </c>
      <c r="G90" s="207"/>
      <c r="H90" s="205"/>
      <c r="I90" s="167">
        <v>8693361813</v>
      </c>
      <c r="J90" s="167">
        <v>876461813</v>
      </c>
      <c r="K90" s="167">
        <v>7620000000</v>
      </c>
      <c r="L90" s="168">
        <v>196900000</v>
      </c>
      <c r="M90" s="168">
        <v>8693361813</v>
      </c>
      <c r="N90" s="168"/>
      <c r="O90" s="167">
        <v>7970202110</v>
      </c>
      <c r="P90" s="167">
        <v>7970202110</v>
      </c>
      <c r="Q90" s="168"/>
      <c r="S90" s="201">
        <f t="shared" si="11"/>
        <v>8693.3618129999995</v>
      </c>
      <c r="T90" s="201">
        <f t="shared" si="12"/>
        <v>8693.3618129999995</v>
      </c>
      <c r="U90" s="201">
        <f t="shared" si="12"/>
        <v>0</v>
      </c>
      <c r="V90" s="201">
        <f t="shared" si="12"/>
        <v>7970.2021100000002</v>
      </c>
      <c r="W90" s="201">
        <f t="shared" si="12"/>
        <v>7970.2021100000002</v>
      </c>
      <c r="X90" s="201">
        <f t="shared" si="12"/>
        <v>0</v>
      </c>
    </row>
    <row r="91" spans="1:24" s="169" customFormat="1" ht="26.4">
      <c r="A91" s="192" t="s">
        <v>948</v>
      </c>
      <c r="B91" s="165" t="s">
        <v>949</v>
      </c>
      <c r="C91" s="183" t="str">
        <f t="shared" si="10"/>
        <v>1044909</v>
      </c>
      <c r="D91" s="182" t="s">
        <v>1514</v>
      </c>
      <c r="E91" s="206"/>
      <c r="F91" s="207">
        <v>424</v>
      </c>
      <c r="G91" s="207"/>
      <c r="H91" s="205"/>
      <c r="I91" s="167">
        <v>10253289000</v>
      </c>
      <c r="J91" s="167">
        <v>121663000</v>
      </c>
      <c r="K91" s="167">
        <v>9542000000</v>
      </c>
      <c r="L91" s="168">
        <v>589626000</v>
      </c>
      <c r="M91" s="168">
        <v>10253289000</v>
      </c>
      <c r="N91" s="168"/>
      <c r="O91" s="167">
        <v>9924850236</v>
      </c>
      <c r="P91" s="167">
        <v>9924850236</v>
      </c>
      <c r="Q91" s="168"/>
      <c r="S91" s="201">
        <f t="shared" si="11"/>
        <v>10253.289000000001</v>
      </c>
      <c r="T91" s="201">
        <f t="shared" si="12"/>
        <v>10253.289000000001</v>
      </c>
      <c r="U91" s="201">
        <f t="shared" si="12"/>
        <v>0</v>
      </c>
      <c r="V91" s="201">
        <f t="shared" si="12"/>
        <v>9924.8502360000002</v>
      </c>
      <c r="W91" s="201">
        <f t="shared" si="12"/>
        <v>9924.8502360000002</v>
      </c>
      <c r="X91" s="201">
        <f t="shared" si="12"/>
        <v>0</v>
      </c>
    </row>
    <row r="92" spans="1:24" s="169" customFormat="1" ht="26.4">
      <c r="A92" s="192" t="s">
        <v>952</v>
      </c>
      <c r="B92" s="165" t="s">
        <v>953</v>
      </c>
      <c r="C92" s="183" t="str">
        <f t="shared" si="10"/>
        <v>1044910</v>
      </c>
      <c r="D92" s="182" t="s">
        <v>1569</v>
      </c>
      <c r="E92" s="206"/>
      <c r="F92" s="207">
        <v>421</v>
      </c>
      <c r="G92" s="207"/>
      <c r="H92" s="205"/>
      <c r="I92" s="167">
        <v>134200000</v>
      </c>
      <c r="J92" s="166"/>
      <c r="K92" s="166"/>
      <c r="L92" s="168">
        <v>134200000</v>
      </c>
      <c r="M92" s="168">
        <v>134200000</v>
      </c>
      <c r="N92" s="168"/>
      <c r="O92" s="167">
        <v>104000000</v>
      </c>
      <c r="P92" s="167">
        <v>104000000</v>
      </c>
      <c r="Q92" s="168"/>
      <c r="S92" s="201">
        <f t="shared" si="11"/>
        <v>134.19999999999999</v>
      </c>
      <c r="T92" s="201">
        <f t="shared" si="12"/>
        <v>134.19999999999999</v>
      </c>
      <c r="U92" s="201">
        <f t="shared" si="12"/>
        <v>0</v>
      </c>
      <c r="V92" s="201">
        <f t="shared" si="12"/>
        <v>104</v>
      </c>
      <c r="W92" s="201">
        <f t="shared" si="12"/>
        <v>104</v>
      </c>
      <c r="X92" s="201">
        <f t="shared" si="12"/>
        <v>0</v>
      </c>
    </row>
    <row r="93" spans="1:24" s="169" customFormat="1" ht="26.4">
      <c r="A93" s="192" t="s">
        <v>957</v>
      </c>
      <c r="B93" s="165" t="s">
        <v>958</v>
      </c>
      <c r="C93" s="183" t="str">
        <f t="shared" si="10"/>
        <v>1044911</v>
      </c>
      <c r="D93" s="182" t="s">
        <v>1627</v>
      </c>
      <c r="E93" s="206"/>
      <c r="F93" s="207">
        <v>421</v>
      </c>
      <c r="G93" s="207"/>
      <c r="H93" s="205"/>
      <c r="I93" s="167">
        <v>4128600000</v>
      </c>
      <c r="J93" s="166"/>
      <c r="K93" s="167">
        <v>3381000000</v>
      </c>
      <c r="L93" s="168">
        <v>747600000</v>
      </c>
      <c r="M93" s="168">
        <v>4128600000</v>
      </c>
      <c r="N93" s="168"/>
      <c r="O93" s="167">
        <v>3740645432</v>
      </c>
      <c r="P93" s="167">
        <v>3740645432</v>
      </c>
      <c r="Q93" s="168"/>
      <c r="S93" s="201">
        <f t="shared" si="11"/>
        <v>4128.6000000000004</v>
      </c>
      <c r="T93" s="201">
        <f t="shared" si="12"/>
        <v>4128.6000000000004</v>
      </c>
      <c r="U93" s="201">
        <f t="shared" si="12"/>
        <v>0</v>
      </c>
      <c r="V93" s="201">
        <f t="shared" si="12"/>
        <v>3740.6454319999998</v>
      </c>
      <c r="W93" s="201">
        <f t="shared" si="12"/>
        <v>3740.6454319999998</v>
      </c>
      <c r="X93" s="201">
        <f t="shared" si="12"/>
        <v>0</v>
      </c>
    </row>
    <row r="94" spans="1:24" s="169" customFormat="1" ht="26.4">
      <c r="A94" s="192" t="s">
        <v>960</v>
      </c>
      <c r="B94" s="176" t="s">
        <v>961</v>
      </c>
      <c r="C94" s="183" t="str">
        <f t="shared" si="10"/>
        <v>1045722</v>
      </c>
      <c r="D94" s="182" t="s">
        <v>1628</v>
      </c>
      <c r="E94" s="206"/>
      <c r="F94" s="207">
        <v>424</v>
      </c>
      <c r="G94" s="207"/>
      <c r="H94" s="205"/>
      <c r="I94" s="167">
        <v>16293206021</v>
      </c>
      <c r="J94" s="167">
        <v>464053021</v>
      </c>
      <c r="K94" s="167">
        <v>13214000000</v>
      </c>
      <c r="L94" s="168">
        <v>2615153000</v>
      </c>
      <c r="M94" s="168">
        <v>15447206021</v>
      </c>
      <c r="N94" s="168">
        <v>846000000</v>
      </c>
      <c r="O94" s="167">
        <v>13731576176</v>
      </c>
      <c r="P94" s="167">
        <v>13373779176</v>
      </c>
      <c r="Q94" s="168">
        <v>357797000</v>
      </c>
      <c r="S94" s="201">
        <f t="shared" si="11"/>
        <v>16293.206021</v>
      </c>
      <c r="T94" s="201">
        <f t="shared" si="12"/>
        <v>15447.206021</v>
      </c>
      <c r="U94" s="201">
        <f t="shared" si="12"/>
        <v>846</v>
      </c>
      <c r="V94" s="201">
        <f t="shared" si="12"/>
        <v>13731.576176</v>
      </c>
      <c r="W94" s="201">
        <f t="shared" si="12"/>
        <v>13373.779176</v>
      </c>
      <c r="X94" s="201">
        <f t="shared" si="12"/>
        <v>357.79700000000003</v>
      </c>
    </row>
    <row r="95" spans="1:24" s="169" customFormat="1" ht="26.4">
      <c r="A95" s="192" t="s">
        <v>965</v>
      </c>
      <c r="B95" s="176" t="s">
        <v>966</v>
      </c>
      <c r="C95" s="183" t="str">
        <f t="shared" si="10"/>
        <v>1047747</v>
      </c>
      <c r="D95" s="182" t="s">
        <v>1515</v>
      </c>
      <c r="E95" s="206"/>
      <c r="F95" s="207">
        <v>509</v>
      </c>
      <c r="G95" s="207"/>
      <c r="H95" s="205"/>
      <c r="I95" s="167">
        <v>4034583000</v>
      </c>
      <c r="J95" s="166"/>
      <c r="K95" s="167">
        <v>4023500000</v>
      </c>
      <c r="L95" s="168">
        <v>11083000</v>
      </c>
      <c r="M95" s="168">
        <v>4034583000</v>
      </c>
      <c r="N95" s="168"/>
      <c r="O95" s="167">
        <v>3914583000</v>
      </c>
      <c r="P95" s="167">
        <v>3914583000</v>
      </c>
      <c r="Q95" s="168"/>
      <c r="S95" s="201">
        <f t="shared" si="11"/>
        <v>4034.5830000000001</v>
      </c>
      <c r="T95" s="201">
        <f t="shared" si="12"/>
        <v>4034.5830000000001</v>
      </c>
      <c r="U95" s="201">
        <f t="shared" si="12"/>
        <v>0</v>
      </c>
      <c r="V95" s="201">
        <f t="shared" si="12"/>
        <v>3914.5830000000001</v>
      </c>
      <c r="W95" s="201">
        <f t="shared" si="12"/>
        <v>3914.5830000000001</v>
      </c>
      <c r="X95" s="201">
        <f t="shared" si="12"/>
        <v>0</v>
      </c>
    </row>
    <row r="96" spans="1:24" s="169" customFormat="1" ht="39.6">
      <c r="A96" s="192" t="s">
        <v>969</v>
      </c>
      <c r="B96" s="165" t="s">
        <v>970</v>
      </c>
      <c r="C96" s="183" t="str">
        <f t="shared" si="10"/>
        <v>1047749</v>
      </c>
      <c r="D96" s="182" t="s">
        <v>1488</v>
      </c>
      <c r="E96" s="206"/>
      <c r="F96" s="207">
        <v>426</v>
      </c>
      <c r="G96" s="207"/>
      <c r="H96" s="205"/>
      <c r="I96" s="167">
        <v>1266000000</v>
      </c>
      <c r="J96" s="167">
        <v>16900000</v>
      </c>
      <c r="K96" s="167">
        <v>1086000000</v>
      </c>
      <c r="L96" s="168">
        <v>163100000</v>
      </c>
      <c r="M96" s="168">
        <v>1266000000</v>
      </c>
      <c r="N96" s="168"/>
      <c r="O96" s="167">
        <v>1266000000</v>
      </c>
      <c r="P96" s="167">
        <v>1266000000</v>
      </c>
      <c r="Q96" s="168"/>
      <c r="S96" s="201">
        <f t="shared" si="11"/>
        <v>1266</v>
      </c>
      <c r="T96" s="201">
        <f t="shared" si="12"/>
        <v>1266</v>
      </c>
      <c r="U96" s="201">
        <f t="shared" si="12"/>
        <v>0</v>
      </c>
      <c r="V96" s="201">
        <f t="shared" si="12"/>
        <v>1266</v>
      </c>
      <c r="W96" s="201">
        <f t="shared" si="12"/>
        <v>1266</v>
      </c>
      <c r="X96" s="201">
        <f t="shared" si="12"/>
        <v>0</v>
      </c>
    </row>
    <row r="97" spans="1:24" s="169" customFormat="1" ht="26.4">
      <c r="A97" s="192" t="s">
        <v>973</v>
      </c>
      <c r="B97" s="165" t="s">
        <v>974</v>
      </c>
      <c r="C97" s="183" t="str">
        <f t="shared" si="10"/>
        <v>1047842</v>
      </c>
      <c r="D97" s="182" t="s">
        <v>1516</v>
      </c>
      <c r="E97" s="206"/>
      <c r="F97" s="207">
        <v>423</v>
      </c>
      <c r="G97" s="207"/>
      <c r="H97" s="205"/>
      <c r="I97" s="167">
        <v>36502437000</v>
      </c>
      <c r="J97" s="166"/>
      <c r="K97" s="167">
        <v>35377000000</v>
      </c>
      <c r="L97" s="168">
        <v>1125437000</v>
      </c>
      <c r="M97" s="168">
        <v>36502437000</v>
      </c>
      <c r="N97" s="168"/>
      <c r="O97" s="167">
        <v>36502437000</v>
      </c>
      <c r="P97" s="167">
        <v>36502437000</v>
      </c>
      <c r="Q97" s="168"/>
      <c r="S97" s="201">
        <f t="shared" si="11"/>
        <v>36502.436999999998</v>
      </c>
      <c r="T97" s="201">
        <f t="shared" si="12"/>
        <v>36502.436999999998</v>
      </c>
      <c r="U97" s="201">
        <f t="shared" si="12"/>
        <v>0</v>
      </c>
      <c r="V97" s="201">
        <f t="shared" si="12"/>
        <v>36502.436999999998</v>
      </c>
      <c r="W97" s="201">
        <f t="shared" si="12"/>
        <v>36502.436999999998</v>
      </c>
      <c r="X97" s="201">
        <f t="shared" si="12"/>
        <v>0</v>
      </c>
    </row>
    <row r="98" spans="1:24" s="169" customFormat="1" ht="26.4">
      <c r="A98" s="192" t="s">
        <v>977</v>
      </c>
      <c r="B98" s="165" t="s">
        <v>978</v>
      </c>
      <c r="C98" s="183" t="str">
        <f t="shared" si="10"/>
        <v>1047845</v>
      </c>
      <c r="D98" s="182" t="s">
        <v>1593</v>
      </c>
      <c r="E98" s="206"/>
      <c r="F98" s="207">
        <v>423</v>
      </c>
      <c r="G98" s="207"/>
      <c r="H98" s="205"/>
      <c r="I98" s="167">
        <v>3080185600</v>
      </c>
      <c r="J98" s="166"/>
      <c r="K98" s="167">
        <v>2230840000</v>
      </c>
      <c r="L98" s="168">
        <v>849345600</v>
      </c>
      <c r="M98" s="168">
        <v>3080185600</v>
      </c>
      <c r="N98" s="168"/>
      <c r="O98" s="167">
        <v>2627440000</v>
      </c>
      <c r="P98" s="167">
        <v>2627440000</v>
      </c>
      <c r="Q98" s="168"/>
      <c r="S98" s="201">
        <f t="shared" si="11"/>
        <v>3080.1855999999998</v>
      </c>
      <c r="T98" s="201">
        <f t="shared" si="12"/>
        <v>3080.1855999999998</v>
      </c>
      <c r="U98" s="201">
        <f t="shared" si="12"/>
        <v>0</v>
      </c>
      <c r="V98" s="201">
        <f t="shared" si="12"/>
        <v>2627.44</v>
      </c>
      <c r="W98" s="201">
        <f t="shared" si="12"/>
        <v>2627.44</v>
      </c>
      <c r="X98" s="201">
        <f t="shared" si="12"/>
        <v>0</v>
      </c>
    </row>
    <row r="99" spans="1:24" s="169" customFormat="1" ht="26.4">
      <c r="A99" s="192" t="s">
        <v>982</v>
      </c>
      <c r="B99" s="165" t="s">
        <v>983</v>
      </c>
      <c r="C99" s="183" t="str">
        <f t="shared" si="10"/>
        <v>1047849</v>
      </c>
      <c r="D99" s="182" t="s">
        <v>1489</v>
      </c>
      <c r="E99" s="206"/>
      <c r="F99" s="207">
        <v>423</v>
      </c>
      <c r="G99" s="207"/>
      <c r="H99" s="205"/>
      <c r="I99" s="167">
        <v>2776100000</v>
      </c>
      <c r="J99" s="166"/>
      <c r="K99" s="167">
        <v>2586159572</v>
      </c>
      <c r="L99" s="168">
        <v>189940428</v>
      </c>
      <c r="M99" s="168">
        <v>2776100000</v>
      </c>
      <c r="N99" s="168"/>
      <c r="O99" s="167">
        <v>2776100000</v>
      </c>
      <c r="P99" s="167">
        <v>2776100000</v>
      </c>
      <c r="Q99" s="168"/>
      <c r="S99" s="201">
        <f t="shared" si="11"/>
        <v>2776.1</v>
      </c>
      <c r="T99" s="201">
        <f t="shared" si="12"/>
        <v>2776.1</v>
      </c>
      <c r="U99" s="201">
        <f t="shared" si="12"/>
        <v>0</v>
      </c>
      <c r="V99" s="201">
        <f t="shared" si="12"/>
        <v>2776.1</v>
      </c>
      <c r="W99" s="201">
        <f t="shared" si="12"/>
        <v>2776.1</v>
      </c>
      <c r="X99" s="201">
        <f t="shared" si="12"/>
        <v>0</v>
      </c>
    </row>
    <row r="100" spans="1:24" s="169" customFormat="1" ht="26.4">
      <c r="A100" s="192" t="s">
        <v>986</v>
      </c>
      <c r="B100" s="170" t="s">
        <v>987</v>
      </c>
      <c r="C100" s="183" t="str">
        <f t="shared" si="10"/>
        <v>1047850</v>
      </c>
      <c r="D100" s="182" t="s">
        <v>1490</v>
      </c>
      <c r="E100" s="206"/>
      <c r="F100" s="207">
        <v>423</v>
      </c>
      <c r="G100" s="207"/>
      <c r="H100" s="205"/>
      <c r="I100" s="167">
        <v>396000000</v>
      </c>
      <c r="J100" s="166"/>
      <c r="K100" s="167">
        <v>596060000</v>
      </c>
      <c r="L100" s="168">
        <v>-200060000</v>
      </c>
      <c r="M100" s="168">
        <v>396000000</v>
      </c>
      <c r="N100" s="168"/>
      <c r="O100" s="167">
        <v>395076874</v>
      </c>
      <c r="P100" s="167">
        <v>395076874</v>
      </c>
      <c r="Q100" s="168"/>
      <c r="S100" s="201">
        <f t="shared" si="11"/>
        <v>396</v>
      </c>
      <c r="T100" s="201">
        <f t="shared" si="12"/>
        <v>396</v>
      </c>
      <c r="U100" s="201">
        <f t="shared" si="12"/>
        <v>0</v>
      </c>
      <c r="V100" s="201">
        <f t="shared" si="12"/>
        <v>395.07687399999998</v>
      </c>
      <c r="W100" s="201">
        <f t="shared" si="12"/>
        <v>395.07687399999998</v>
      </c>
      <c r="X100" s="201">
        <f t="shared" si="12"/>
        <v>0</v>
      </c>
    </row>
    <row r="101" spans="1:24" s="169" customFormat="1" ht="26.4">
      <c r="A101" s="192" t="s">
        <v>989</v>
      </c>
      <c r="B101" s="165" t="s">
        <v>990</v>
      </c>
      <c r="C101" s="183" t="str">
        <f t="shared" si="10"/>
        <v>1047851</v>
      </c>
      <c r="D101" s="182" t="s">
        <v>1598</v>
      </c>
      <c r="E101" s="206"/>
      <c r="F101" s="207">
        <v>423</v>
      </c>
      <c r="G101" s="207"/>
      <c r="H101" s="205"/>
      <c r="I101" s="167">
        <v>3762678000</v>
      </c>
      <c r="J101" s="167">
        <v>25168000</v>
      </c>
      <c r="K101" s="167">
        <v>2562100000</v>
      </c>
      <c r="L101" s="168">
        <v>1175410000</v>
      </c>
      <c r="M101" s="168">
        <v>3762678000</v>
      </c>
      <c r="N101" s="168"/>
      <c r="O101" s="167">
        <v>2759250000</v>
      </c>
      <c r="P101" s="167">
        <v>2759250000</v>
      </c>
      <c r="Q101" s="168"/>
      <c r="S101" s="201">
        <f t="shared" si="11"/>
        <v>3762.6779999999999</v>
      </c>
      <c r="T101" s="201">
        <f t="shared" si="12"/>
        <v>3762.6779999999999</v>
      </c>
      <c r="U101" s="201">
        <f t="shared" si="12"/>
        <v>0</v>
      </c>
      <c r="V101" s="201">
        <f t="shared" si="12"/>
        <v>2759.25</v>
      </c>
      <c r="W101" s="201">
        <f t="shared" si="12"/>
        <v>2759.25</v>
      </c>
      <c r="X101" s="201">
        <f t="shared" si="12"/>
        <v>0</v>
      </c>
    </row>
    <row r="102" spans="1:24" s="169" customFormat="1" ht="26.4">
      <c r="A102" s="192" t="s">
        <v>993</v>
      </c>
      <c r="B102" s="165" t="s">
        <v>994</v>
      </c>
      <c r="C102" s="183" t="str">
        <f t="shared" si="10"/>
        <v>1047955</v>
      </c>
      <c r="D102" s="182" t="s">
        <v>1491</v>
      </c>
      <c r="E102" s="206"/>
      <c r="F102" s="207">
        <v>423</v>
      </c>
      <c r="G102" s="207"/>
      <c r="H102" s="205"/>
      <c r="I102" s="167">
        <v>3972095500</v>
      </c>
      <c r="J102" s="166"/>
      <c r="K102" s="167">
        <v>4291530000</v>
      </c>
      <c r="L102" s="168">
        <v>-319434500</v>
      </c>
      <c r="M102" s="168">
        <v>3972095500</v>
      </c>
      <c r="N102" s="168"/>
      <c r="O102" s="167">
        <v>3856859095</v>
      </c>
      <c r="P102" s="167">
        <v>3856859095</v>
      </c>
      <c r="Q102" s="168"/>
      <c r="S102" s="201">
        <f t="shared" si="11"/>
        <v>3972.0954999999999</v>
      </c>
      <c r="T102" s="201">
        <f t="shared" si="12"/>
        <v>3972.0954999999999</v>
      </c>
      <c r="U102" s="201">
        <f t="shared" si="12"/>
        <v>0</v>
      </c>
      <c r="V102" s="201">
        <f t="shared" si="12"/>
        <v>3856.8590949999998</v>
      </c>
      <c r="W102" s="201">
        <f t="shared" si="12"/>
        <v>3856.8590949999998</v>
      </c>
      <c r="X102" s="201">
        <f t="shared" si="12"/>
        <v>0</v>
      </c>
    </row>
    <row r="103" spans="1:24" s="169" customFormat="1" ht="26.4">
      <c r="A103" s="192" t="s">
        <v>997</v>
      </c>
      <c r="B103" s="165" t="s">
        <v>998</v>
      </c>
      <c r="C103" s="183" t="str">
        <f t="shared" si="10"/>
        <v>1047956</v>
      </c>
      <c r="D103" s="182" t="s">
        <v>1594</v>
      </c>
      <c r="E103" s="206"/>
      <c r="F103" s="207">
        <v>423</v>
      </c>
      <c r="G103" s="207"/>
      <c r="H103" s="205"/>
      <c r="I103" s="167">
        <v>15116539957</v>
      </c>
      <c r="J103" s="167">
        <v>24465155</v>
      </c>
      <c r="K103" s="167">
        <v>13564922802</v>
      </c>
      <c r="L103" s="168">
        <v>1527152000</v>
      </c>
      <c r="M103" s="168">
        <v>15116539957</v>
      </c>
      <c r="N103" s="168"/>
      <c r="O103" s="167">
        <v>14499984217</v>
      </c>
      <c r="P103" s="167">
        <v>14499984217</v>
      </c>
      <c r="Q103" s="168"/>
      <c r="S103" s="201">
        <f t="shared" si="11"/>
        <v>15116.539957000001</v>
      </c>
      <c r="T103" s="201">
        <f t="shared" si="12"/>
        <v>15116.539957000001</v>
      </c>
      <c r="U103" s="201">
        <f t="shared" si="12"/>
        <v>0</v>
      </c>
      <c r="V103" s="201">
        <f t="shared" si="12"/>
        <v>14499.984216999999</v>
      </c>
      <c r="W103" s="201">
        <f t="shared" si="12"/>
        <v>14499.984216999999</v>
      </c>
      <c r="X103" s="201">
        <f t="shared" si="12"/>
        <v>0</v>
      </c>
    </row>
    <row r="104" spans="1:24" s="169" customFormat="1" ht="13.8">
      <c r="A104" s="192" t="s">
        <v>1001</v>
      </c>
      <c r="B104" s="170" t="s">
        <v>1002</v>
      </c>
      <c r="C104" s="183" t="str">
        <f t="shared" si="10"/>
        <v>1047957</v>
      </c>
      <c r="D104" s="182" t="s">
        <v>1595</v>
      </c>
      <c r="E104" s="206"/>
      <c r="F104" s="207">
        <v>423</v>
      </c>
      <c r="G104" s="207"/>
      <c r="H104" s="205"/>
      <c r="I104" s="167">
        <v>9291181810</v>
      </c>
      <c r="J104" s="167">
        <v>2323013465</v>
      </c>
      <c r="K104" s="167">
        <v>5325000000</v>
      </c>
      <c r="L104" s="168">
        <v>1643168345</v>
      </c>
      <c r="M104" s="168">
        <v>9291181810</v>
      </c>
      <c r="N104" s="168"/>
      <c r="O104" s="167">
        <v>8103818936</v>
      </c>
      <c r="P104" s="167">
        <v>8103818936</v>
      </c>
      <c r="Q104" s="168"/>
      <c r="S104" s="201">
        <f t="shared" si="11"/>
        <v>9291.18181</v>
      </c>
      <c r="T104" s="201">
        <f t="shared" ref="T104:X119" si="13">M104/1000000</f>
        <v>9291.18181</v>
      </c>
      <c r="U104" s="201">
        <f t="shared" si="13"/>
        <v>0</v>
      </c>
      <c r="V104" s="201">
        <f t="shared" si="13"/>
        <v>8103.8189359999997</v>
      </c>
      <c r="W104" s="201">
        <f t="shared" si="13"/>
        <v>8103.8189359999997</v>
      </c>
      <c r="X104" s="201">
        <f t="shared" si="13"/>
        <v>0</v>
      </c>
    </row>
    <row r="105" spans="1:24" s="169" customFormat="1" ht="27.6">
      <c r="A105" s="192" t="s">
        <v>1004</v>
      </c>
      <c r="B105" s="176" t="s">
        <v>1005</v>
      </c>
      <c r="C105" s="183" t="str">
        <f t="shared" si="10"/>
        <v>1047958</v>
      </c>
      <c r="D105" s="182" t="s">
        <v>1596</v>
      </c>
      <c r="E105" s="206"/>
      <c r="F105" s="207">
        <v>423</v>
      </c>
      <c r="G105" s="207"/>
      <c r="H105" s="205"/>
      <c r="I105" s="167">
        <v>2770911000</v>
      </c>
      <c r="J105" s="166"/>
      <c r="K105" s="167">
        <v>2704120000</v>
      </c>
      <c r="L105" s="168">
        <v>66791000</v>
      </c>
      <c r="M105" s="168">
        <v>2770911000</v>
      </c>
      <c r="N105" s="168"/>
      <c r="O105" s="167">
        <v>2758075732</v>
      </c>
      <c r="P105" s="167">
        <v>2758075732</v>
      </c>
      <c r="Q105" s="168"/>
      <c r="S105" s="201">
        <f t="shared" si="11"/>
        <v>2770.9110000000001</v>
      </c>
      <c r="T105" s="201">
        <f t="shared" si="13"/>
        <v>2770.9110000000001</v>
      </c>
      <c r="U105" s="201">
        <f t="shared" si="13"/>
        <v>0</v>
      </c>
      <c r="V105" s="201">
        <f t="shared" si="13"/>
        <v>2758.0757319999998</v>
      </c>
      <c r="W105" s="201">
        <f t="shared" si="13"/>
        <v>2758.0757319999998</v>
      </c>
      <c r="X105" s="201">
        <f t="shared" si="13"/>
        <v>0</v>
      </c>
    </row>
    <row r="106" spans="1:24" s="169" customFormat="1" ht="26.4">
      <c r="A106" s="192" t="s">
        <v>1007</v>
      </c>
      <c r="B106" s="176" t="s">
        <v>1008</v>
      </c>
      <c r="C106" s="183" t="str">
        <f t="shared" si="10"/>
        <v>1048054</v>
      </c>
      <c r="D106" s="182" t="s">
        <v>1599</v>
      </c>
      <c r="E106" s="206"/>
      <c r="F106" s="207">
        <v>423</v>
      </c>
      <c r="G106" s="207"/>
      <c r="H106" s="205"/>
      <c r="I106" s="167">
        <v>12326488666</v>
      </c>
      <c r="J106" s="166"/>
      <c r="K106" s="167">
        <v>10854750666</v>
      </c>
      <c r="L106" s="168">
        <v>1471738000</v>
      </c>
      <c r="M106" s="168">
        <v>12326488666</v>
      </c>
      <c r="N106" s="168"/>
      <c r="O106" s="167">
        <v>12140758666</v>
      </c>
      <c r="P106" s="167">
        <v>12140758666</v>
      </c>
      <c r="Q106" s="168"/>
      <c r="S106" s="201">
        <f t="shared" si="11"/>
        <v>12326.488665999999</v>
      </c>
      <c r="T106" s="201">
        <f t="shared" si="13"/>
        <v>12326.488665999999</v>
      </c>
      <c r="U106" s="201">
        <f t="shared" si="13"/>
        <v>0</v>
      </c>
      <c r="V106" s="201">
        <f t="shared" si="13"/>
        <v>12140.758666</v>
      </c>
      <c r="W106" s="201">
        <f t="shared" si="13"/>
        <v>12140.758666</v>
      </c>
      <c r="X106" s="201">
        <f t="shared" si="13"/>
        <v>0</v>
      </c>
    </row>
    <row r="107" spans="1:24" s="169" customFormat="1" ht="26.4">
      <c r="A107" s="192" t="s">
        <v>1011</v>
      </c>
      <c r="B107" s="176" t="s">
        <v>1012</v>
      </c>
      <c r="C107" s="183" t="str">
        <f t="shared" si="10"/>
        <v>1048055</v>
      </c>
      <c r="D107" s="182" t="s">
        <v>1600</v>
      </c>
      <c r="E107" s="206"/>
      <c r="F107" s="207">
        <v>423</v>
      </c>
      <c r="G107" s="207"/>
      <c r="H107" s="205"/>
      <c r="I107" s="167">
        <v>14199748277</v>
      </c>
      <c r="J107" s="166"/>
      <c r="K107" s="167">
        <v>13281017277</v>
      </c>
      <c r="L107" s="168">
        <v>918731000</v>
      </c>
      <c r="M107" s="168">
        <v>14199748277</v>
      </c>
      <c r="N107" s="168"/>
      <c r="O107" s="167">
        <v>13738174533</v>
      </c>
      <c r="P107" s="167">
        <v>13738174533</v>
      </c>
      <c r="Q107" s="168"/>
      <c r="S107" s="201">
        <f t="shared" si="11"/>
        <v>14199.748277000001</v>
      </c>
      <c r="T107" s="201">
        <f t="shared" si="13"/>
        <v>14199.748277000001</v>
      </c>
      <c r="U107" s="201">
        <f t="shared" si="13"/>
        <v>0</v>
      </c>
      <c r="V107" s="201">
        <f t="shared" si="13"/>
        <v>13738.174532999999</v>
      </c>
      <c r="W107" s="201">
        <f t="shared" si="13"/>
        <v>13738.174532999999</v>
      </c>
      <c r="X107" s="201">
        <f t="shared" si="13"/>
        <v>0</v>
      </c>
    </row>
    <row r="108" spans="1:24" s="169" customFormat="1" ht="26.4">
      <c r="A108" s="192" t="s">
        <v>1015</v>
      </c>
      <c r="B108" s="176" t="s">
        <v>1016</v>
      </c>
      <c r="C108" s="183" t="str">
        <f t="shared" si="10"/>
        <v>1048056</v>
      </c>
      <c r="D108" s="182" t="s">
        <v>1606</v>
      </c>
      <c r="E108" s="206"/>
      <c r="F108" s="207">
        <v>423</v>
      </c>
      <c r="G108" s="207"/>
      <c r="H108" s="205"/>
      <c r="I108" s="167">
        <v>15351229533</v>
      </c>
      <c r="J108" s="166"/>
      <c r="K108" s="167">
        <v>14947609533</v>
      </c>
      <c r="L108" s="168">
        <v>403620000</v>
      </c>
      <c r="M108" s="168">
        <v>15351229533</v>
      </c>
      <c r="N108" s="168"/>
      <c r="O108" s="167">
        <v>14888900391</v>
      </c>
      <c r="P108" s="167">
        <v>14888900391</v>
      </c>
      <c r="Q108" s="168"/>
      <c r="S108" s="201">
        <f t="shared" si="11"/>
        <v>15351.229533</v>
      </c>
      <c r="T108" s="201">
        <f t="shared" si="13"/>
        <v>15351.229533</v>
      </c>
      <c r="U108" s="201">
        <f t="shared" si="13"/>
        <v>0</v>
      </c>
      <c r="V108" s="201">
        <f t="shared" si="13"/>
        <v>14888.900390999999</v>
      </c>
      <c r="W108" s="201">
        <f t="shared" si="13"/>
        <v>14888.900390999999</v>
      </c>
      <c r="X108" s="201">
        <f t="shared" si="13"/>
        <v>0</v>
      </c>
    </row>
    <row r="109" spans="1:24" s="169" customFormat="1" ht="26.4">
      <c r="A109" s="192" t="s">
        <v>1019</v>
      </c>
      <c r="B109" s="165" t="s">
        <v>1020</v>
      </c>
      <c r="C109" s="183" t="str">
        <f t="shared" si="10"/>
        <v>1048057</v>
      </c>
      <c r="D109" s="182" t="s">
        <v>1607</v>
      </c>
      <c r="E109" s="206"/>
      <c r="F109" s="207">
        <v>423</v>
      </c>
      <c r="G109" s="207"/>
      <c r="H109" s="205"/>
      <c r="I109" s="167">
        <v>19410417206</v>
      </c>
      <c r="J109" s="166"/>
      <c r="K109" s="167">
        <v>18325711806</v>
      </c>
      <c r="L109" s="168">
        <v>1084705400</v>
      </c>
      <c r="M109" s="168">
        <v>19410417206</v>
      </c>
      <c r="N109" s="168"/>
      <c r="O109" s="167">
        <v>17604265716</v>
      </c>
      <c r="P109" s="167">
        <v>17604265716</v>
      </c>
      <c r="Q109" s="168"/>
      <c r="S109" s="201">
        <f t="shared" si="11"/>
        <v>19410.417205999998</v>
      </c>
      <c r="T109" s="201">
        <f t="shared" si="13"/>
        <v>19410.417205999998</v>
      </c>
      <c r="U109" s="201">
        <f t="shared" si="13"/>
        <v>0</v>
      </c>
      <c r="V109" s="201">
        <f t="shared" si="13"/>
        <v>17604.265716000002</v>
      </c>
      <c r="W109" s="201">
        <f t="shared" si="13"/>
        <v>17604.265716000002</v>
      </c>
      <c r="X109" s="201">
        <f t="shared" si="13"/>
        <v>0</v>
      </c>
    </row>
    <row r="110" spans="1:24" s="169" customFormat="1" ht="26.4">
      <c r="A110" s="192" t="s">
        <v>1023</v>
      </c>
      <c r="B110" s="170" t="s">
        <v>1024</v>
      </c>
      <c r="C110" s="183" t="str">
        <f t="shared" si="10"/>
        <v>1048058</v>
      </c>
      <c r="D110" s="182" t="s">
        <v>1608</v>
      </c>
      <c r="E110" s="206"/>
      <c r="F110" s="207">
        <v>423</v>
      </c>
      <c r="G110" s="207"/>
      <c r="H110" s="205"/>
      <c r="I110" s="167">
        <v>12064365403</v>
      </c>
      <c r="J110" s="166"/>
      <c r="K110" s="167">
        <v>11134485403</v>
      </c>
      <c r="L110" s="168">
        <v>929880000</v>
      </c>
      <c r="M110" s="168">
        <v>12064365403</v>
      </c>
      <c r="N110" s="168"/>
      <c r="O110" s="167">
        <v>11828545403</v>
      </c>
      <c r="P110" s="167">
        <v>11828545403</v>
      </c>
      <c r="Q110" s="168"/>
      <c r="S110" s="201">
        <f t="shared" si="11"/>
        <v>12064.365403</v>
      </c>
      <c r="T110" s="201">
        <f t="shared" si="13"/>
        <v>12064.365403</v>
      </c>
      <c r="U110" s="201">
        <f t="shared" si="13"/>
        <v>0</v>
      </c>
      <c r="V110" s="201">
        <f t="shared" si="13"/>
        <v>11828.545403</v>
      </c>
      <c r="W110" s="201">
        <f t="shared" si="13"/>
        <v>11828.545403</v>
      </c>
      <c r="X110" s="201">
        <f t="shared" si="13"/>
        <v>0</v>
      </c>
    </row>
    <row r="111" spans="1:24" s="169" customFormat="1" ht="26.4">
      <c r="A111" s="192" t="s">
        <v>1027</v>
      </c>
      <c r="B111" s="165" t="s">
        <v>1028</v>
      </c>
      <c r="C111" s="183" t="str">
        <f t="shared" si="10"/>
        <v>1048059</v>
      </c>
      <c r="D111" s="182" t="s">
        <v>1609</v>
      </c>
      <c r="E111" s="206"/>
      <c r="F111" s="207">
        <v>423</v>
      </c>
      <c r="G111" s="207"/>
      <c r="H111" s="205"/>
      <c r="I111" s="167">
        <v>7711291000</v>
      </c>
      <c r="J111" s="166"/>
      <c r="K111" s="167">
        <v>6662000000</v>
      </c>
      <c r="L111" s="168">
        <v>1049291000</v>
      </c>
      <c r="M111" s="168">
        <v>7711291000</v>
      </c>
      <c r="N111" s="168"/>
      <c r="O111" s="167">
        <v>6886885750</v>
      </c>
      <c r="P111" s="167">
        <v>6886885750</v>
      </c>
      <c r="Q111" s="168"/>
      <c r="S111" s="201">
        <f t="shared" si="11"/>
        <v>7711.2910000000002</v>
      </c>
      <c r="T111" s="201">
        <f t="shared" si="13"/>
        <v>7711.2910000000002</v>
      </c>
      <c r="U111" s="201">
        <f t="shared" si="13"/>
        <v>0</v>
      </c>
      <c r="V111" s="201">
        <f t="shared" si="13"/>
        <v>6886.8857500000004</v>
      </c>
      <c r="W111" s="201">
        <f t="shared" si="13"/>
        <v>6886.8857500000004</v>
      </c>
      <c r="X111" s="201">
        <f t="shared" si="13"/>
        <v>0</v>
      </c>
    </row>
    <row r="112" spans="1:24" s="169" customFormat="1" ht="26.4">
      <c r="A112" s="192" t="s">
        <v>1031</v>
      </c>
      <c r="B112" s="176" t="s">
        <v>1032</v>
      </c>
      <c r="C112" s="183" t="str">
        <f t="shared" si="10"/>
        <v>1048060</v>
      </c>
      <c r="D112" s="182" t="s">
        <v>1610</v>
      </c>
      <c r="E112" s="206"/>
      <c r="F112" s="207">
        <v>423</v>
      </c>
      <c r="G112" s="207"/>
      <c r="H112" s="205"/>
      <c r="I112" s="167">
        <v>10352900000</v>
      </c>
      <c r="J112" s="166"/>
      <c r="K112" s="167">
        <v>9590530000</v>
      </c>
      <c r="L112" s="168">
        <v>762370000</v>
      </c>
      <c r="M112" s="168">
        <v>10352900000</v>
      </c>
      <c r="N112" s="168"/>
      <c r="O112" s="167">
        <v>9844063383</v>
      </c>
      <c r="P112" s="167">
        <v>9844063383</v>
      </c>
      <c r="Q112" s="168"/>
      <c r="S112" s="201">
        <f t="shared" si="11"/>
        <v>10352.9</v>
      </c>
      <c r="T112" s="201">
        <f t="shared" si="13"/>
        <v>10352.9</v>
      </c>
      <c r="U112" s="201">
        <f t="shared" si="13"/>
        <v>0</v>
      </c>
      <c r="V112" s="201">
        <f t="shared" si="13"/>
        <v>9844.0633830000006</v>
      </c>
      <c r="W112" s="201">
        <f t="shared" si="13"/>
        <v>9844.0633830000006</v>
      </c>
      <c r="X112" s="201">
        <f t="shared" si="13"/>
        <v>0</v>
      </c>
    </row>
    <row r="113" spans="1:24" s="169" customFormat="1" ht="26.4">
      <c r="A113" s="192" t="s">
        <v>1035</v>
      </c>
      <c r="B113" s="176" t="s">
        <v>1036</v>
      </c>
      <c r="C113" s="183" t="str">
        <f t="shared" si="10"/>
        <v>1048061</v>
      </c>
      <c r="D113" s="182" t="s">
        <v>1611</v>
      </c>
      <c r="E113" s="206"/>
      <c r="F113" s="207">
        <v>423</v>
      </c>
      <c r="G113" s="207"/>
      <c r="H113" s="205"/>
      <c r="I113" s="167">
        <v>11616508549</v>
      </c>
      <c r="J113" s="167">
        <v>31460376</v>
      </c>
      <c r="K113" s="167">
        <v>11166664173</v>
      </c>
      <c r="L113" s="168">
        <v>418384000</v>
      </c>
      <c r="M113" s="168">
        <v>11616508549</v>
      </c>
      <c r="N113" s="168"/>
      <c r="O113" s="167">
        <v>11285947331</v>
      </c>
      <c r="P113" s="167">
        <v>11285947331</v>
      </c>
      <c r="Q113" s="168"/>
      <c r="S113" s="201">
        <f t="shared" si="11"/>
        <v>11616.508549</v>
      </c>
      <c r="T113" s="201">
        <f t="shared" si="13"/>
        <v>11616.508549</v>
      </c>
      <c r="U113" s="201">
        <f t="shared" si="13"/>
        <v>0</v>
      </c>
      <c r="V113" s="201">
        <f t="shared" si="13"/>
        <v>11285.947330999999</v>
      </c>
      <c r="W113" s="201">
        <f t="shared" si="13"/>
        <v>11285.947330999999</v>
      </c>
      <c r="X113" s="201">
        <f t="shared" si="13"/>
        <v>0</v>
      </c>
    </row>
    <row r="114" spans="1:24" s="169" customFormat="1" ht="26.4">
      <c r="A114" s="192" t="s">
        <v>1040</v>
      </c>
      <c r="B114" s="176" t="s">
        <v>1041</v>
      </c>
      <c r="C114" s="183" t="str">
        <f t="shared" si="10"/>
        <v>1048063</v>
      </c>
      <c r="D114" s="182" t="s">
        <v>1612</v>
      </c>
      <c r="E114" s="206"/>
      <c r="F114" s="207">
        <v>421</v>
      </c>
      <c r="G114" s="207"/>
      <c r="H114" s="205"/>
      <c r="I114" s="167">
        <v>45299166900</v>
      </c>
      <c r="J114" s="167">
        <v>3816566900</v>
      </c>
      <c r="K114" s="167">
        <v>17495200000</v>
      </c>
      <c r="L114" s="168">
        <v>23987400000</v>
      </c>
      <c r="M114" s="168">
        <v>45299166900</v>
      </c>
      <c r="N114" s="168"/>
      <c r="O114" s="167">
        <v>39071701564</v>
      </c>
      <c r="P114" s="167">
        <v>39071701564</v>
      </c>
      <c r="Q114" s="168"/>
      <c r="S114" s="201">
        <f t="shared" si="11"/>
        <v>45299.166899999997</v>
      </c>
      <c r="T114" s="201">
        <f t="shared" si="13"/>
        <v>45299.166899999997</v>
      </c>
      <c r="U114" s="201">
        <f t="shared" si="13"/>
        <v>0</v>
      </c>
      <c r="V114" s="201">
        <f t="shared" si="13"/>
        <v>39071.701564000003</v>
      </c>
      <c r="W114" s="201">
        <f t="shared" si="13"/>
        <v>39071.701564000003</v>
      </c>
      <c r="X114" s="201">
        <f t="shared" si="13"/>
        <v>0</v>
      </c>
    </row>
    <row r="115" spans="1:24" s="169" customFormat="1" ht="13.8">
      <c r="A115" s="192" t="s">
        <v>1043</v>
      </c>
      <c r="B115" s="164" t="s">
        <v>1044</v>
      </c>
      <c r="C115" s="183" t="str">
        <f t="shared" si="10"/>
        <v>1048179</v>
      </c>
      <c r="D115" s="182" t="s">
        <v>1492</v>
      </c>
      <c r="E115" s="206"/>
      <c r="F115" s="207">
        <v>421</v>
      </c>
      <c r="G115" s="207"/>
      <c r="H115" s="205"/>
      <c r="I115" s="167">
        <v>814390476</v>
      </c>
      <c r="J115" s="167">
        <v>51390476</v>
      </c>
      <c r="K115" s="167">
        <v>343000000</v>
      </c>
      <c r="L115" s="168">
        <v>420000000</v>
      </c>
      <c r="M115" s="168">
        <v>814390476</v>
      </c>
      <c r="N115" s="168"/>
      <c r="O115" s="167">
        <v>662961630</v>
      </c>
      <c r="P115" s="167">
        <v>662961630</v>
      </c>
      <c r="Q115" s="168"/>
      <c r="S115" s="201">
        <f t="shared" si="11"/>
        <v>814.39047600000004</v>
      </c>
      <c r="T115" s="201">
        <f t="shared" si="13"/>
        <v>814.39047600000004</v>
      </c>
      <c r="U115" s="201">
        <f t="shared" si="13"/>
        <v>0</v>
      </c>
      <c r="V115" s="201">
        <f t="shared" si="13"/>
        <v>662.96163000000001</v>
      </c>
      <c r="W115" s="201">
        <f t="shared" si="13"/>
        <v>662.96163000000001</v>
      </c>
      <c r="X115" s="201">
        <f t="shared" si="13"/>
        <v>0</v>
      </c>
    </row>
    <row r="116" spans="1:24" s="169" customFormat="1" ht="13.8">
      <c r="A116" s="192" t="s">
        <v>1046</v>
      </c>
      <c r="B116" s="164" t="s">
        <v>1047</v>
      </c>
      <c r="C116" s="183" t="str">
        <f t="shared" si="10"/>
        <v>1048180</v>
      </c>
      <c r="D116" s="182" t="s">
        <v>1613</v>
      </c>
      <c r="E116" s="206"/>
      <c r="F116" s="207">
        <v>419</v>
      </c>
      <c r="G116" s="207"/>
      <c r="H116" s="205"/>
      <c r="I116" s="167">
        <v>9583131000</v>
      </c>
      <c r="J116" s="167">
        <v>782631000</v>
      </c>
      <c r="K116" s="167">
        <v>6698500000</v>
      </c>
      <c r="L116" s="168">
        <v>2102000000</v>
      </c>
      <c r="M116" s="168">
        <v>9583131000</v>
      </c>
      <c r="N116" s="168"/>
      <c r="O116" s="167">
        <v>8010677000</v>
      </c>
      <c r="P116" s="167">
        <v>8010677000</v>
      </c>
      <c r="Q116" s="168"/>
      <c r="S116" s="201">
        <f t="shared" si="11"/>
        <v>9583.1309999999994</v>
      </c>
      <c r="T116" s="201">
        <f t="shared" si="13"/>
        <v>9583.1309999999994</v>
      </c>
      <c r="U116" s="201">
        <f t="shared" si="13"/>
        <v>0</v>
      </c>
      <c r="V116" s="201">
        <f t="shared" si="13"/>
        <v>8010.6769999999997</v>
      </c>
      <c r="W116" s="201">
        <f t="shared" si="13"/>
        <v>8010.6769999999997</v>
      </c>
      <c r="X116" s="201">
        <f t="shared" si="13"/>
        <v>0</v>
      </c>
    </row>
    <row r="117" spans="1:24" s="169" customFormat="1" ht="26.4">
      <c r="A117" s="192" t="s">
        <v>1051</v>
      </c>
      <c r="B117" s="176" t="s">
        <v>1052</v>
      </c>
      <c r="C117" s="183" t="str">
        <f t="shared" si="10"/>
        <v>1048181</v>
      </c>
      <c r="D117" s="182" t="s">
        <v>1517</v>
      </c>
      <c r="E117" s="206"/>
      <c r="F117" s="207">
        <v>512</v>
      </c>
      <c r="G117" s="207"/>
      <c r="H117" s="205"/>
      <c r="I117" s="167">
        <v>5088199000</v>
      </c>
      <c r="J117" s="166"/>
      <c r="K117" s="167">
        <v>4278000000</v>
      </c>
      <c r="L117" s="168">
        <v>810199000</v>
      </c>
      <c r="M117" s="168">
        <v>5088199000</v>
      </c>
      <c r="N117" s="168"/>
      <c r="O117" s="167">
        <v>5088199000</v>
      </c>
      <c r="P117" s="167">
        <v>5088199000</v>
      </c>
      <c r="Q117" s="168"/>
      <c r="S117" s="201">
        <f t="shared" si="11"/>
        <v>5088.1989999999996</v>
      </c>
      <c r="T117" s="201">
        <f t="shared" si="13"/>
        <v>5088.1989999999996</v>
      </c>
      <c r="U117" s="201">
        <f t="shared" si="13"/>
        <v>0</v>
      </c>
      <c r="V117" s="201">
        <f t="shared" si="13"/>
        <v>5088.1989999999996</v>
      </c>
      <c r="W117" s="201">
        <f t="shared" si="13"/>
        <v>5088.1989999999996</v>
      </c>
      <c r="X117" s="201">
        <f t="shared" si="13"/>
        <v>0</v>
      </c>
    </row>
    <row r="118" spans="1:24" s="169" customFormat="1" ht="26.4">
      <c r="A118" s="192" t="s">
        <v>1055</v>
      </c>
      <c r="B118" s="176" t="s">
        <v>1056</v>
      </c>
      <c r="C118" s="183" t="str">
        <f t="shared" si="10"/>
        <v>1048182</v>
      </c>
      <c r="D118" s="182" t="s">
        <v>1614</v>
      </c>
      <c r="E118" s="206"/>
      <c r="F118" s="207">
        <v>416</v>
      </c>
      <c r="G118" s="207"/>
      <c r="H118" s="205"/>
      <c r="I118" s="167">
        <v>5384000000</v>
      </c>
      <c r="J118" s="167">
        <v>104000000</v>
      </c>
      <c r="K118" s="167">
        <v>4643400000</v>
      </c>
      <c r="L118" s="168">
        <v>636600000</v>
      </c>
      <c r="M118" s="168">
        <v>5384000000</v>
      </c>
      <c r="N118" s="168"/>
      <c r="O118" s="167">
        <v>5383965000</v>
      </c>
      <c r="P118" s="167">
        <v>5383965000</v>
      </c>
      <c r="Q118" s="168"/>
      <c r="S118" s="201">
        <f t="shared" si="11"/>
        <v>5384</v>
      </c>
      <c r="T118" s="201">
        <f t="shared" si="13"/>
        <v>5384</v>
      </c>
      <c r="U118" s="201">
        <f t="shared" si="13"/>
        <v>0</v>
      </c>
      <c r="V118" s="201">
        <f t="shared" si="13"/>
        <v>5383.9650000000001</v>
      </c>
      <c r="W118" s="201">
        <f t="shared" si="13"/>
        <v>5383.9650000000001</v>
      </c>
      <c r="X118" s="201">
        <f t="shared" si="13"/>
        <v>0</v>
      </c>
    </row>
    <row r="119" spans="1:24" s="169" customFormat="1" ht="26.4">
      <c r="A119" s="192" t="s">
        <v>1058</v>
      </c>
      <c r="B119" s="176" t="s">
        <v>1059</v>
      </c>
      <c r="C119" s="183" t="str">
        <f t="shared" si="10"/>
        <v>1048277</v>
      </c>
      <c r="D119" s="182" t="s">
        <v>1615</v>
      </c>
      <c r="E119" s="206"/>
      <c r="F119" s="207">
        <v>448</v>
      </c>
      <c r="G119" s="207"/>
      <c r="H119" s="205"/>
      <c r="I119" s="167">
        <v>2237800000</v>
      </c>
      <c r="J119" s="167">
        <v>238000000</v>
      </c>
      <c r="K119" s="167">
        <v>1823000000</v>
      </c>
      <c r="L119" s="168">
        <v>176800000</v>
      </c>
      <c r="M119" s="168">
        <v>2237800000</v>
      </c>
      <c r="N119" s="168"/>
      <c r="O119" s="167">
        <v>1952382379</v>
      </c>
      <c r="P119" s="167">
        <v>1952382379</v>
      </c>
      <c r="Q119" s="168"/>
      <c r="S119" s="201">
        <f t="shared" si="11"/>
        <v>2237.8000000000002</v>
      </c>
      <c r="T119" s="201">
        <f t="shared" si="13"/>
        <v>2237.8000000000002</v>
      </c>
      <c r="U119" s="201">
        <f t="shared" si="13"/>
        <v>0</v>
      </c>
      <c r="V119" s="201">
        <f t="shared" si="13"/>
        <v>1952.3823789999999</v>
      </c>
      <c r="W119" s="201">
        <f t="shared" si="13"/>
        <v>1952.3823789999999</v>
      </c>
      <c r="X119" s="201">
        <f t="shared" si="13"/>
        <v>0</v>
      </c>
    </row>
    <row r="120" spans="1:24" s="169" customFormat="1" ht="26.4">
      <c r="A120" s="192" t="s">
        <v>1062</v>
      </c>
      <c r="B120" s="165" t="s">
        <v>1063</v>
      </c>
      <c r="C120" s="183" t="str">
        <f t="shared" si="10"/>
        <v>1048278</v>
      </c>
      <c r="D120" s="182" t="s">
        <v>1633</v>
      </c>
      <c r="E120" s="206"/>
      <c r="F120" s="207">
        <v>510</v>
      </c>
      <c r="G120" s="207"/>
      <c r="H120" s="205"/>
      <c r="I120" s="167">
        <v>6481200000</v>
      </c>
      <c r="J120" s="166"/>
      <c r="K120" s="167">
        <v>6201000000</v>
      </c>
      <c r="L120" s="168">
        <v>280200000</v>
      </c>
      <c r="M120" s="168">
        <v>6481200000</v>
      </c>
      <c r="N120" s="168"/>
      <c r="O120" s="167">
        <v>6292113575</v>
      </c>
      <c r="P120" s="167">
        <v>6292113575</v>
      </c>
      <c r="Q120" s="168"/>
      <c r="S120" s="201">
        <f t="shared" si="11"/>
        <v>6481.2</v>
      </c>
      <c r="T120" s="201">
        <f t="shared" ref="T120:X135" si="14">M120/1000000</f>
        <v>6481.2</v>
      </c>
      <c r="U120" s="201">
        <f t="shared" si="14"/>
        <v>0</v>
      </c>
      <c r="V120" s="201">
        <f t="shared" si="14"/>
        <v>6292.1135750000003</v>
      </c>
      <c r="W120" s="201">
        <f t="shared" si="14"/>
        <v>6292.1135750000003</v>
      </c>
      <c r="X120" s="201">
        <f t="shared" si="14"/>
        <v>0</v>
      </c>
    </row>
    <row r="121" spans="1:24" s="169" customFormat="1" ht="13.8">
      <c r="A121" s="192" t="s">
        <v>1066</v>
      </c>
      <c r="B121" s="170" t="s">
        <v>1067</v>
      </c>
      <c r="C121" s="183" t="str">
        <f t="shared" si="10"/>
        <v>1048279</v>
      </c>
      <c r="D121" s="182" t="s">
        <v>476</v>
      </c>
      <c r="E121" s="206"/>
      <c r="F121" s="207">
        <v>437</v>
      </c>
      <c r="G121" s="207"/>
      <c r="H121" s="205"/>
      <c r="I121" s="167">
        <v>6006184000</v>
      </c>
      <c r="J121" s="167">
        <v>173000000</v>
      </c>
      <c r="K121" s="167">
        <v>5532000000</v>
      </c>
      <c r="L121" s="168">
        <v>301184000</v>
      </c>
      <c r="M121" s="168">
        <v>6006184000</v>
      </c>
      <c r="N121" s="168"/>
      <c r="O121" s="167">
        <v>6006184000</v>
      </c>
      <c r="P121" s="167">
        <v>6006184000</v>
      </c>
      <c r="Q121" s="168"/>
      <c r="S121" s="201">
        <f t="shared" si="11"/>
        <v>6006.1840000000002</v>
      </c>
      <c r="T121" s="201">
        <f t="shared" si="14"/>
        <v>6006.1840000000002</v>
      </c>
      <c r="U121" s="201">
        <f t="shared" si="14"/>
        <v>0</v>
      </c>
      <c r="V121" s="201">
        <f t="shared" si="14"/>
        <v>6006.1840000000002</v>
      </c>
      <c r="W121" s="201">
        <f t="shared" si="14"/>
        <v>6006.1840000000002</v>
      </c>
      <c r="X121" s="201">
        <f t="shared" si="14"/>
        <v>0</v>
      </c>
    </row>
    <row r="122" spans="1:24" s="169" customFormat="1" ht="26.4">
      <c r="A122" s="192" t="s">
        <v>1070</v>
      </c>
      <c r="B122" s="165" t="s">
        <v>1071</v>
      </c>
      <c r="C122" s="183" t="str">
        <f t="shared" si="10"/>
        <v>1049264</v>
      </c>
      <c r="D122" s="182" t="s">
        <v>1518</v>
      </c>
      <c r="E122" s="206"/>
      <c r="F122" s="207">
        <v>422</v>
      </c>
      <c r="G122" s="207"/>
      <c r="H122" s="205"/>
      <c r="I122" s="167">
        <v>10129019042</v>
      </c>
      <c r="J122" s="167">
        <v>100314042</v>
      </c>
      <c r="K122" s="167">
        <v>8529958000</v>
      </c>
      <c r="L122" s="168">
        <v>1498747000</v>
      </c>
      <c r="M122" s="168">
        <v>9959019042</v>
      </c>
      <c r="N122" s="168">
        <v>170000000</v>
      </c>
      <c r="O122" s="167">
        <v>9375340472</v>
      </c>
      <c r="P122" s="167">
        <v>9344740472</v>
      </c>
      <c r="Q122" s="168">
        <v>30600000</v>
      </c>
      <c r="S122" s="201">
        <f t="shared" si="11"/>
        <v>10129.019042</v>
      </c>
      <c r="T122" s="201">
        <f t="shared" si="14"/>
        <v>9959.0190419999999</v>
      </c>
      <c r="U122" s="201">
        <f t="shared" si="14"/>
        <v>170</v>
      </c>
      <c r="V122" s="201">
        <f t="shared" si="14"/>
        <v>9375.3404719999999</v>
      </c>
      <c r="W122" s="201">
        <f t="shared" si="14"/>
        <v>9344.7404719999995</v>
      </c>
      <c r="X122" s="201">
        <f t="shared" si="14"/>
        <v>30.6</v>
      </c>
    </row>
    <row r="123" spans="1:24" s="169" customFormat="1" ht="26.4">
      <c r="A123" s="192" t="s">
        <v>1074</v>
      </c>
      <c r="B123" s="165" t="s">
        <v>1075</v>
      </c>
      <c r="C123" s="183" t="str">
        <f t="shared" si="10"/>
        <v>1049265</v>
      </c>
      <c r="D123" s="182" t="s">
        <v>1616</v>
      </c>
      <c r="E123" s="206"/>
      <c r="F123" s="207">
        <v>422</v>
      </c>
      <c r="G123" s="207"/>
      <c r="H123" s="205"/>
      <c r="I123" s="167">
        <v>12208454000</v>
      </c>
      <c r="J123" s="166"/>
      <c r="K123" s="167">
        <v>10532557000</v>
      </c>
      <c r="L123" s="168">
        <v>1675897000</v>
      </c>
      <c r="M123" s="168">
        <v>12208454000</v>
      </c>
      <c r="N123" s="168"/>
      <c r="O123" s="167">
        <v>11140034000</v>
      </c>
      <c r="P123" s="167">
        <v>11140034000</v>
      </c>
      <c r="Q123" s="168"/>
      <c r="S123" s="201">
        <f t="shared" si="11"/>
        <v>12208.454</v>
      </c>
      <c r="T123" s="201">
        <f t="shared" si="14"/>
        <v>12208.454</v>
      </c>
      <c r="U123" s="201">
        <f t="shared" si="14"/>
        <v>0</v>
      </c>
      <c r="V123" s="201">
        <f t="shared" si="14"/>
        <v>11140.034</v>
      </c>
      <c r="W123" s="201">
        <f t="shared" si="14"/>
        <v>11140.034</v>
      </c>
      <c r="X123" s="201">
        <f t="shared" si="14"/>
        <v>0</v>
      </c>
    </row>
    <row r="124" spans="1:24" s="169" customFormat="1" ht="26.4">
      <c r="A124" s="192" t="s">
        <v>1077</v>
      </c>
      <c r="B124" s="165" t="s">
        <v>1078</v>
      </c>
      <c r="C124" s="183" t="str">
        <f t="shared" si="10"/>
        <v>1049266</v>
      </c>
      <c r="D124" s="182" t="s">
        <v>1617</v>
      </c>
      <c r="E124" s="206"/>
      <c r="F124" s="207">
        <v>422</v>
      </c>
      <c r="G124" s="207"/>
      <c r="H124" s="205"/>
      <c r="I124" s="167">
        <v>16447633000</v>
      </c>
      <c r="J124" s="167">
        <v>171195000</v>
      </c>
      <c r="K124" s="167">
        <v>15407799000</v>
      </c>
      <c r="L124" s="168">
        <v>868639000</v>
      </c>
      <c r="M124" s="168">
        <v>16447633000</v>
      </c>
      <c r="N124" s="168"/>
      <c r="O124" s="167">
        <v>15476333000</v>
      </c>
      <c r="P124" s="167">
        <v>15476333000</v>
      </c>
      <c r="Q124" s="168"/>
      <c r="S124" s="201">
        <f t="shared" si="11"/>
        <v>16447.633000000002</v>
      </c>
      <c r="T124" s="201">
        <f t="shared" si="14"/>
        <v>16447.633000000002</v>
      </c>
      <c r="U124" s="201">
        <f t="shared" si="14"/>
        <v>0</v>
      </c>
      <c r="V124" s="201">
        <f t="shared" si="14"/>
        <v>15476.333000000001</v>
      </c>
      <c r="W124" s="201">
        <f t="shared" si="14"/>
        <v>15476.333000000001</v>
      </c>
      <c r="X124" s="201">
        <f t="shared" si="14"/>
        <v>0</v>
      </c>
    </row>
    <row r="125" spans="1:24" s="169" customFormat="1" ht="26.4">
      <c r="A125" s="192" t="s">
        <v>1080</v>
      </c>
      <c r="B125" s="165" t="s">
        <v>1081</v>
      </c>
      <c r="C125" s="183" t="str">
        <f t="shared" si="10"/>
        <v>1049271</v>
      </c>
      <c r="D125" s="182" t="s">
        <v>1618</v>
      </c>
      <c r="E125" s="206"/>
      <c r="F125" s="207">
        <v>426</v>
      </c>
      <c r="G125" s="207"/>
      <c r="H125" s="205"/>
      <c r="I125" s="167">
        <v>40228144497</v>
      </c>
      <c r="J125" s="167">
        <v>16074344497</v>
      </c>
      <c r="K125" s="167">
        <v>19294800000</v>
      </c>
      <c r="L125" s="168">
        <v>4859000000</v>
      </c>
      <c r="M125" s="168">
        <v>40228144497</v>
      </c>
      <c r="N125" s="168"/>
      <c r="O125" s="167">
        <v>33415606804</v>
      </c>
      <c r="P125" s="167">
        <v>33415606804</v>
      </c>
      <c r="Q125" s="168"/>
      <c r="S125" s="201">
        <f t="shared" si="11"/>
        <v>40228.144497000001</v>
      </c>
      <c r="T125" s="201">
        <f t="shared" si="14"/>
        <v>40228.144497000001</v>
      </c>
      <c r="U125" s="201">
        <f t="shared" si="14"/>
        <v>0</v>
      </c>
      <c r="V125" s="201">
        <f t="shared" si="14"/>
        <v>33415.606804000003</v>
      </c>
      <c r="W125" s="201">
        <f t="shared" si="14"/>
        <v>33415.606804000003</v>
      </c>
      <c r="X125" s="201">
        <f t="shared" si="14"/>
        <v>0</v>
      </c>
    </row>
    <row r="126" spans="1:24" s="169" customFormat="1" ht="26.4">
      <c r="A126" s="192" t="s">
        <v>1084</v>
      </c>
      <c r="B126" s="165" t="s">
        <v>1085</v>
      </c>
      <c r="C126" s="183" t="str">
        <f t="shared" si="10"/>
        <v>1049800</v>
      </c>
      <c r="D126" s="182" t="s">
        <v>1619</v>
      </c>
      <c r="E126" s="206"/>
      <c r="F126" s="207">
        <v>422</v>
      </c>
      <c r="G126" s="207"/>
      <c r="H126" s="205"/>
      <c r="I126" s="167">
        <v>11940320000</v>
      </c>
      <c r="J126" s="166"/>
      <c r="K126" s="167">
        <v>11687485000</v>
      </c>
      <c r="L126" s="168">
        <v>252835000</v>
      </c>
      <c r="M126" s="168">
        <v>11940320000</v>
      </c>
      <c r="N126" s="168"/>
      <c r="O126" s="167">
        <v>11926320000</v>
      </c>
      <c r="P126" s="167">
        <v>11926320000</v>
      </c>
      <c r="Q126" s="168"/>
      <c r="S126" s="201">
        <f t="shared" si="11"/>
        <v>11940.32</v>
      </c>
      <c r="T126" s="201">
        <f t="shared" si="14"/>
        <v>11940.32</v>
      </c>
      <c r="U126" s="201">
        <f t="shared" si="14"/>
        <v>0</v>
      </c>
      <c r="V126" s="201">
        <f t="shared" si="14"/>
        <v>11926.32</v>
      </c>
      <c r="W126" s="201">
        <f t="shared" si="14"/>
        <v>11926.32</v>
      </c>
      <c r="X126" s="201">
        <f t="shared" si="14"/>
        <v>0</v>
      </c>
    </row>
    <row r="127" spans="1:24" s="169" customFormat="1" ht="26.4">
      <c r="A127" s="192" t="s">
        <v>1087</v>
      </c>
      <c r="B127" s="170" t="s">
        <v>1088</v>
      </c>
      <c r="C127" s="183" t="str">
        <f t="shared" si="10"/>
        <v>1050582</v>
      </c>
      <c r="D127" s="182" t="s">
        <v>1493</v>
      </c>
      <c r="E127" s="206"/>
      <c r="F127" s="207">
        <v>422</v>
      </c>
      <c r="G127" s="207"/>
      <c r="H127" s="205"/>
      <c r="I127" s="167">
        <v>2683534000</v>
      </c>
      <c r="J127" s="167">
        <v>150000000</v>
      </c>
      <c r="K127" s="167">
        <v>1512000000</v>
      </c>
      <c r="L127" s="168">
        <v>1021534000</v>
      </c>
      <c r="M127" s="168">
        <v>1983534000</v>
      </c>
      <c r="N127" s="168">
        <v>700000000</v>
      </c>
      <c r="O127" s="167">
        <v>2516100000</v>
      </c>
      <c r="P127" s="167">
        <v>1833228000</v>
      </c>
      <c r="Q127" s="168">
        <v>682872000</v>
      </c>
      <c r="S127" s="201">
        <f t="shared" si="11"/>
        <v>2683.5340000000001</v>
      </c>
      <c r="T127" s="201">
        <f t="shared" si="14"/>
        <v>1983.5340000000001</v>
      </c>
      <c r="U127" s="201">
        <f t="shared" si="14"/>
        <v>700</v>
      </c>
      <c r="V127" s="201">
        <f t="shared" si="14"/>
        <v>2516.1</v>
      </c>
      <c r="W127" s="201">
        <f t="shared" si="14"/>
        <v>1833.2280000000001</v>
      </c>
      <c r="X127" s="201">
        <f t="shared" si="14"/>
        <v>682.87199999999996</v>
      </c>
    </row>
    <row r="128" spans="1:24" s="169" customFormat="1" ht="26.4">
      <c r="A128" s="192" t="s">
        <v>1091</v>
      </c>
      <c r="B128" s="165" t="s">
        <v>1092</v>
      </c>
      <c r="C128" s="183" t="str">
        <f t="shared" si="10"/>
        <v>1050718</v>
      </c>
      <c r="D128" s="182" t="s">
        <v>1620</v>
      </c>
      <c r="E128" s="206"/>
      <c r="F128" s="207">
        <v>423</v>
      </c>
      <c r="G128" s="207"/>
      <c r="H128" s="205"/>
      <c r="I128" s="167">
        <v>2308000000</v>
      </c>
      <c r="J128" s="166"/>
      <c r="K128" s="167">
        <v>1911000000</v>
      </c>
      <c r="L128" s="168">
        <v>397000000</v>
      </c>
      <c r="M128" s="168">
        <v>2308000000</v>
      </c>
      <c r="N128" s="168"/>
      <c r="O128" s="167">
        <v>1950000000</v>
      </c>
      <c r="P128" s="167">
        <v>1950000000</v>
      </c>
      <c r="Q128" s="168"/>
      <c r="S128" s="201">
        <f t="shared" si="11"/>
        <v>2308</v>
      </c>
      <c r="T128" s="201">
        <f t="shared" si="14"/>
        <v>2308</v>
      </c>
      <c r="U128" s="201">
        <f t="shared" si="14"/>
        <v>0</v>
      </c>
      <c r="V128" s="201">
        <f t="shared" si="14"/>
        <v>1950</v>
      </c>
      <c r="W128" s="201">
        <f t="shared" si="14"/>
        <v>1950</v>
      </c>
      <c r="X128" s="201">
        <f t="shared" si="14"/>
        <v>0</v>
      </c>
    </row>
    <row r="129" spans="1:24" s="169" customFormat="1" ht="26.4">
      <c r="A129" s="192" t="s">
        <v>1095</v>
      </c>
      <c r="B129" s="170" t="s">
        <v>1096</v>
      </c>
      <c r="C129" s="183" t="str">
        <f t="shared" si="10"/>
        <v>1050722</v>
      </c>
      <c r="D129" s="182" t="s">
        <v>1494</v>
      </c>
      <c r="E129" s="206"/>
      <c r="F129" s="207">
        <v>412</v>
      </c>
      <c r="G129" s="207"/>
      <c r="H129" s="205"/>
      <c r="I129" s="167">
        <v>2821096000</v>
      </c>
      <c r="J129" s="166"/>
      <c r="K129" s="167">
        <v>2502500000</v>
      </c>
      <c r="L129" s="168">
        <v>318596000</v>
      </c>
      <c r="M129" s="168">
        <v>2821096000</v>
      </c>
      <c r="N129" s="168"/>
      <c r="O129" s="167">
        <v>2821035088</v>
      </c>
      <c r="P129" s="167">
        <v>2821035088</v>
      </c>
      <c r="Q129" s="168"/>
      <c r="S129" s="201">
        <f t="shared" si="11"/>
        <v>2821.096</v>
      </c>
      <c r="T129" s="201">
        <f t="shared" si="14"/>
        <v>2821.096</v>
      </c>
      <c r="U129" s="201">
        <f t="shared" si="14"/>
        <v>0</v>
      </c>
      <c r="V129" s="201">
        <f t="shared" si="14"/>
        <v>2821.0350880000001</v>
      </c>
      <c r="W129" s="201">
        <f t="shared" si="14"/>
        <v>2821.0350880000001</v>
      </c>
      <c r="X129" s="201">
        <f t="shared" si="14"/>
        <v>0</v>
      </c>
    </row>
    <row r="130" spans="1:24" s="169" customFormat="1" ht="13.8">
      <c r="A130" s="192" t="s">
        <v>1098</v>
      </c>
      <c r="B130" s="164" t="s">
        <v>1099</v>
      </c>
      <c r="C130" s="183" t="str">
        <f t="shared" si="10"/>
        <v>1050724</v>
      </c>
      <c r="D130" s="182" t="s">
        <v>1621</v>
      </c>
      <c r="E130" s="206"/>
      <c r="F130" s="207">
        <v>424</v>
      </c>
      <c r="G130" s="207"/>
      <c r="H130" s="205"/>
      <c r="I130" s="167">
        <v>10485549332</v>
      </c>
      <c r="J130" s="167">
        <v>26221332</v>
      </c>
      <c r="K130" s="167">
        <v>6756000000</v>
      </c>
      <c r="L130" s="168">
        <v>3703328000</v>
      </c>
      <c r="M130" s="168">
        <v>10485549332</v>
      </c>
      <c r="N130" s="168"/>
      <c r="O130" s="167">
        <v>7226570726</v>
      </c>
      <c r="P130" s="167">
        <v>7226570726</v>
      </c>
      <c r="Q130" s="168"/>
      <c r="S130" s="201">
        <f t="shared" si="11"/>
        <v>10485.549332000001</v>
      </c>
      <c r="T130" s="201">
        <f t="shared" si="14"/>
        <v>10485.549332000001</v>
      </c>
      <c r="U130" s="201">
        <f t="shared" si="14"/>
        <v>0</v>
      </c>
      <c r="V130" s="201">
        <f t="shared" si="14"/>
        <v>7226.5707259999999</v>
      </c>
      <c r="W130" s="201">
        <f t="shared" si="14"/>
        <v>7226.5707259999999</v>
      </c>
      <c r="X130" s="201">
        <f t="shared" si="14"/>
        <v>0</v>
      </c>
    </row>
    <row r="131" spans="1:24" s="169" customFormat="1" ht="26.4">
      <c r="A131" s="192" t="s">
        <v>1102</v>
      </c>
      <c r="B131" s="176" t="s">
        <v>1103</v>
      </c>
      <c r="C131" s="183" t="str">
        <f t="shared" si="10"/>
        <v>1050726</v>
      </c>
      <c r="D131" s="182" t="s">
        <v>1601</v>
      </c>
      <c r="E131" s="206"/>
      <c r="F131" s="207">
        <v>424</v>
      </c>
      <c r="G131" s="207"/>
      <c r="H131" s="205"/>
      <c r="I131" s="167">
        <v>15653265169</v>
      </c>
      <c r="J131" s="166"/>
      <c r="K131" s="167">
        <v>15520964169</v>
      </c>
      <c r="L131" s="168">
        <v>132301000</v>
      </c>
      <c r="M131" s="168">
        <v>15653265169</v>
      </c>
      <c r="N131" s="168"/>
      <c r="O131" s="167">
        <v>15049982841</v>
      </c>
      <c r="P131" s="167">
        <v>15049982841</v>
      </c>
      <c r="Q131" s="168"/>
      <c r="S131" s="201">
        <f t="shared" si="11"/>
        <v>15653.265169</v>
      </c>
      <c r="T131" s="201">
        <f t="shared" si="14"/>
        <v>15653.265169</v>
      </c>
      <c r="U131" s="201">
        <f t="shared" si="14"/>
        <v>0</v>
      </c>
      <c r="V131" s="201">
        <f t="shared" si="14"/>
        <v>15049.982840999999</v>
      </c>
      <c r="W131" s="201">
        <f t="shared" si="14"/>
        <v>15049.982840999999</v>
      </c>
      <c r="X131" s="201">
        <f t="shared" si="14"/>
        <v>0</v>
      </c>
    </row>
    <row r="132" spans="1:24" s="169" customFormat="1" ht="13.8">
      <c r="A132" s="192" t="s">
        <v>1106</v>
      </c>
      <c r="B132" s="218" t="s">
        <v>1473</v>
      </c>
      <c r="C132" s="183" t="str">
        <f t="shared" si="10"/>
        <v>1053629</v>
      </c>
      <c r="D132" s="182" t="s">
        <v>514</v>
      </c>
      <c r="E132" s="206"/>
      <c r="F132" s="207">
        <v>560</v>
      </c>
      <c r="G132" s="207"/>
      <c r="H132" s="205"/>
      <c r="I132" s="167">
        <v>12781500000</v>
      </c>
      <c r="J132" s="167">
        <v>132000000</v>
      </c>
      <c r="K132" s="167">
        <v>9125000000</v>
      </c>
      <c r="L132" s="168">
        <v>3524500000</v>
      </c>
      <c r="M132" s="168">
        <v>12781500000</v>
      </c>
      <c r="N132" s="168"/>
      <c r="O132" s="167">
        <v>10291500000</v>
      </c>
      <c r="P132" s="167">
        <v>10291500000</v>
      </c>
      <c r="Q132" s="168"/>
      <c r="S132" s="201">
        <f t="shared" si="11"/>
        <v>12781.5</v>
      </c>
      <c r="T132" s="201">
        <f t="shared" si="14"/>
        <v>12781.5</v>
      </c>
      <c r="U132" s="201">
        <f t="shared" si="14"/>
        <v>0</v>
      </c>
      <c r="V132" s="201">
        <f t="shared" si="14"/>
        <v>10291.5</v>
      </c>
      <c r="W132" s="201">
        <f t="shared" si="14"/>
        <v>10291.5</v>
      </c>
      <c r="X132" s="201">
        <f t="shared" si="14"/>
        <v>0</v>
      </c>
    </row>
    <row r="133" spans="1:24" s="169" customFormat="1" ht="13.8">
      <c r="A133" s="192" t="s">
        <v>1112</v>
      </c>
      <c r="B133" s="218" t="s">
        <v>1474</v>
      </c>
      <c r="C133" s="183" t="str">
        <f t="shared" si="10"/>
        <v>1053630</v>
      </c>
      <c r="D133" s="182" t="s">
        <v>570</v>
      </c>
      <c r="E133" s="206"/>
      <c r="F133" s="207">
        <v>599</v>
      </c>
      <c r="G133" s="207"/>
      <c r="H133" s="205"/>
      <c r="I133" s="167">
        <v>43322000000</v>
      </c>
      <c r="J133" s="166"/>
      <c r="K133" s="167">
        <v>41545000000</v>
      </c>
      <c r="L133" s="168">
        <v>1777000000</v>
      </c>
      <c r="M133" s="168">
        <v>43322000000</v>
      </c>
      <c r="N133" s="168"/>
      <c r="O133" s="167">
        <v>43322000000</v>
      </c>
      <c r="P133" s="167">
        <v>43322000000</v>
      </c>
      <c r="Q133" s="168"/>
      <c r="S133" s="201">
        <f t="shared" si="11"/>
        <v>43322</v>
      </c>
      <c r="T133" s="201">
        <f t="shared" si="14"/>
        <v>43322</v>
      </c>
      <c r="U133" s="201">
        <f t="shared" si="14"/>
        <v>0</v>
      </c>
      <c r="V133" s="201">
        <f t="shared" si="14"/>
        <v>43322</v>
      </c>
      <c r="W133" s="201">
        <f t="shared" si="14"/>
        <v>43322</v>
      </c>
      <c r="X133" s="201">
        <f t="shared" si="14"/>
        <v>0</v>
      </c>
    </row>
    <row r="134" spans="1:24" s="169" customFormat="1" ht="26.4">
      <c r="A134" s="192" t="s">
        <v>1116</v>
      </c>
      <c r="B134" s="170" t="s">
        <v>1117</v>
      </c>
      <c r="C134" s="183" t="str">
        <f t="shared" si="10"/>
        <v>1058267</v>
      </c>
      <c r="D134" s="182" t="s">
        <v>1541</v>
      </c>
      <c r="E134" s="206"/>
      <c r="F134" s="207">
        <v>509</v>
      </c>
      <c r="G134" s="207"/>
      <c r="H134" s="205"/>
      <c r="I134" s="167">
        <v>7054900000</v>
      </c>
      <c r="J134" s="167">
        <v>1015200000</v>
      </c>
      <c r="K134" s="167">
        <v>5952000000</v>
      </c>
      <c r="L134" s="168">
        <v>87700000</v>
      </c>
      <c r="M134" s="168">
        <v>7054900000</v>
      </c>
      <c r="N134" s="168"/>
      <c r="O134" s="167">
        <v>7016444403</v>
      </c>
      <c r="P134" s="167">
        <v>7016444403</v>
      </c>
      <c r="Q134" s="168"/>
      <c r="S134" s="201">
        <f t="shared" si="11"/>
        <v>7054.9</v>
      </c>
      <c r="T134" s="201">
        <f t="shared" si="14"/>
        <v>7054.9</v>
      </c>
      <c r="U134" s="201">
        <f t="shared" si="14"/>
        <v>0</v>
      </c>
      <c r="V134" s="201">
        <f t="shared" si="14"/>
        <v>7016.4444030000004</v>
      </c>
      <c r="W134" s="201">
        <f t="shared" si="14"/>
        <v>7016.4444030000004</v>
      </c>
      <c r="X134" s="201">
        <f t="shared" si="14"/>
        <v>0</v>
      </c>
    </row>
    <row r="135" spans="1:24" s="169" customFormat="1" ht="26.4">
      <c r="A135" s="192" t="s">
        <v>1119</v>
      </c>
      <c r="B135" s="165" t="s">
        <v>1120</v>
      </c>
      <c r="C135" s="183" t="str">
        <f t="shared" si="10"/>
        <v>1058269</v>
      </c>
      <c r="D135" s="182" t="s">
        <v>1622</v>
      </c>
      <c r="E135" s="206"/>
      <c r="F135" s="207">
        <v>417</v>
      </c>
      <c r="G135" s="207"/>
      <c r="H135" s="205"/>
      <c r="I135" s="167">
        <v>20147985360</v>
      </c>
      <c r="J135" s="167">
        <v>2791041360</v>
      </c>
      <c r="K135" s="167">
        <v>11210000000</v>
      </c>
      <c r="L135" s="168">
        <v>6146944000</v>
      </c>
      <c r="M135" s="168">
        <v>20147985360</v>
      </c>
      <c r="N135" s="168"/>
      <c r="O135" s="167">
        <v>10107450166</v>
      </c>
      <c r="P135" s="167">
        <v>10107450166</v>
      </c>
      <c r="Q135" s="168"/>
      <c r="S135" s="201">
        <f t="shared" si="11"/>
        <v>20147.985359999999</v>
      </c>
      <c r="T135" s="201">
        <f t="shared" si="14"/>
        <v>20147.985359999999</v>
      </c>
      <c r="U135" s="201">
        <f t="shared" si="14"/>
        <v>0</v>
      </c>
      <c r="V135" s="201">
        <f t="shared" si="14"/>
        <v>10107.450166000001</v>
      </c>
      <c r="W135" s="201">
        <f t="shared" si="14"/>
        <v>10107.450166000001</v>
      </c>
      <c r="X135" s="201">
        <f t="shared" si="14"/>
        <v>0</v>
      </c>
    </row>
    <row r="136" spans="1:24" s="246" customFormat="1" ht="26.4">
      <c r="A136" s="238" t="s">
        <v>1123</v>
      </c>
      <c r="B136" s="239" t="s">
        <v>1124</v>
      </c>
      <c r="C136" s="183" t="str">
        <f t="shared" si="10"/>
        <v>1060648</v>
      </c>
      <c r="D136" s="182" t="s">
        <v>494</v>
      </c>
      <c r="E136" s="240"/>
      <c r="F136" s="241">
        <v>412</v>
      </c>
      <c r="G136" s="241"/>
      <c r="H136" s="242"/>
      <c r="I136" s="243">
        <v>4421000000</v>
      </c>
      <c r="J136" s="244"/>
      <c r="K136" s="243">
        <v>2758000000</v>
      </c>
      <c r="L136" s="245">
        <v>1663000000</v>
      </c>
      <c r="M136" s="245">
        <v>4421000000</v>
      </c>
      <c r="N136" s="245"/>
      <c r="O136" s="243">
        <v>4421000000</v>
      </c>
      <c r="P136" s="243">
        <v>4421000000</v>
      </c>
      <c r="Q136" s="245"/>
      <c r="S136" s="247">
        <f t="shared" si="11"/>
        <v>4421</v>
      </c>
      <c r="T136" s="247">
        <f t="shared" ref="T136:X151" si="15">M136/1000000</f>
        <v>4421</v>
      </c>
      <c r="U136" s="247">
        <f t="shared" si="15"/>
        <v>0</v>
      </c>
      <c r="V136" s="247">
        <f t="shared" si="15"/>
        <v>4421</v>
      </c>
      <c r="W136" s="247">
        <f t="shared" si="15"/>
        <v>4421</v>
      </c>
      <c r="X136" s="247">
        <f t="shared" si="15"/>
        <v>0</v>
      </c>
    </row>
    <row r="137" spans="1:24" s="169" customFormat="1" ht="39.6">
      <c r="A137" s="192" t="s">
        <v>1127</v>
      </c>
      <c r="B137" s="165" t="s">
        <v>1128</v>
      </c>
      <c r="C137" s="183" t="str">
        <f t="shared" si="10"/>
        <v>1060884</v>
      </c>
      <c r="D137" s="182" t="s">
        <v>1519</v>
      </c>
      <c r="E137" s="206"/>
      <c r="F137" s="207">
        <v>416</v>
      </c>
      <c r="G137" s="207"/>
      <c r="H137" s="205"/>
      <c r="I137" s="167">
        <v>2767971685</v>
      </c>
      <c r="J137" s="167">
        <v>646685</v>
      </c>
      <c r="K137" s="167">
        <v>3590000000</v>
      </c>
      <c r="L137" s="168">
        <v>-822675000</v>
      </c>
      <c r="M137" s="168">
        <v>2767971685</v>
      </c>
      <c r="N137" s="168"/>
      <c r="O137" s="167">
        <v>2634948685</v>
      </c>
      <c r="P137" s="167">
        <v>2634948685</v>
      </c>
      <c r="Q137" s="168"/>
      <c r="S137" s="201">
        <f t="shared" si="11"/>
        <v>2767.971685</v>
      </c>
      <c r="T137" s="201">
        <f t="shared" si="15"/>
        <v>2767.971685</v>
      </c>
      <c r="U137" s="201">
        <f t="shared" si="15"/>
        <v>0</v>
      </c>
      <c r="V137" s="201">
        <f t="shared" si="15"/>
        <v>2634.9486849999998</v>
      </c>
      <c r="W137" s="201">
        <f t="shared" si="15"/>
        <v>2634.9486849999998</v>
      </c>
      <c r="X137" s="201">
        <f t="shared" si="15"/>
        <v>0</v>
      </c>
    </row>
    <row r="138" spans="1:24" s="169" customFormat="1" ht="26.4">
      <c r="A138" s="192" t="s">
        <v>1130</v>
      </c>
      <c r="B138" s="165" t="s">
        <v>1131</v>
      </c>
      <c r="C138" s="183" t="str">
        <f t="shared" si="10"/>
        <v>1061580</v>
      </c>
      <c r="D138" s="182" t="s">
        <v>1495</v>
      </c>
      <c r="E138" s="206"/>
      <c r="F138" s="207">
        <v>422</v>
      </c>
      <c r="G138" s="207"/>
      <c r="H138" s="205"/>
      <c r="I138" s="167">
        <v>9919142424</v>
      </c>
      <c r="J138" s="167">
        <v>28570424</v>
      </c>
      <c r="K138" s="167">
        <v>9715652000</v>
      </c>
      <c r="L138" s="168">
        <v>174920000</v>
      </c>
      <c r="M138" s="168">
        <v>9919142424</v>
      </c>
      <c r="N138" s="168"/>
      <c r="O138" s="167">
        <v>9552136191</v>
      </c>
      <c r="P138" s="167">
        <v>9552136191</v>
      </c>
      <c r="Q138" s="168"/>
      <c r="S138" s="201">
        <f t="shared" si="11"/>
        <v>9919.1424239999997</v>
      </c>
      <c r="T138" s="201">
        <f t="shared" si="15"/>
        <v>9919.1424239999997</v>
      </c>
      <c r="U138" s="201">
        <f t="shared" si="15"/>
        <v>0</v>
      </c>
      <c r="V138" s="201">
        <f t="shared" si="15"/>
        <v>9552.1361909999996</v>
      </c>
      <c r="W138" s="201">
        <f t="shared" si="15"/>
        <v>9552.1361909999996</v>
      </c>
      <c r="X138" s="201">
        <f t="shared" si="15"/>
        <v>0</v>
      </c>
    </row>
    <row r="139" spans="1:24" s="169" customFormat="1" ht="26.4">
      <c r="A139" s="192" t="s">
        <v>1133</v>
      </c>
      <c r="B139" s="165" t="s">
        <v>1134</v>
      </c>
      <c r="C139" s="183" t="str">
        <f t="shared" si="10"/>
        <v>1063790</v>
      </c>
      <c r="D139" s="182" t="s">
        <v>1496</v>
      </c>
      <c r="E139" s="206"/>
      <c r="F139" s="207">
        <v>412</v>
      </c>
      <c r="G139" s="207"/>
      <c r="H139" s="205"/>
      <c r="I139" s="167">
        <v>1899200000</v>
      </c>
      <c r="J139" s="166"/>
      <c r="K139" s="167">
        <v>1341000000</v>
      </c>
      <c r="L139" s="168">
        <v>558200000</v>
      </c>
      <c r="M139" s="168">
        <v>1899200000</v>
      </c>
      <c r="N139" s="168"/>
      <c r="O139" s="167">
        <v>1898200000</v>
      </c>
      <c r="P139" s="167">
        <v>1898200000</v>
      </c>
      <c r="Q139" s="168"/>
      <c r="S139" s="201">
        <f t="shared" si="11"/>
        <v>1899.2</v>
      </c>
      <c r="T139" s="201">
        <f t="shared" si="15"/>
        <v>1899.2</v>
      </c>
      <c r="U139" s="201">
        <f t="shared" si="15"/>
        <v>0</v>
      </c>
      <c r="V139" s="201">
        <f t="shared" si="15"/>
        <v>1898.2</v>
      </c>
      <c r="W139" s="201">
        <f t="shared" si="15"/>
        <v>1898.2</v>
      </c>
      <c r="X139" s="201">
        <f t="shared" si="15"/>
        <v>0</v>
      </c>
    </row>
    <row r="140" spans="1:24" s="169" customFormat="1" ht="26.4">
      <c r="A140" s="192" t="s">
        <v>1137</v>
      </c>
      <c r="B140" s="176" t="s">
        <v>1138</v>
      </c>
      <c r="C140" s="183" t="str">
        <f t="shared" si="10"/>
        <v>1063795</v>
      </c>
      <c r="D140" s="182" t="s">
        <v>1634</v>
      </c>
      <c r="E140" s="206"/>
      <c r="F140" s="207">
        <v>427</v>
      </c>
      <c r="G140" s="207"/>
      <c r="H140" s="205"/>
      <c r="I140" s="167">
        <v>10529498297</v>
      </c>
      <c r="J140" s="167">
        <v>200033297</v>
      </c>
      <c r="K140" s="167">
        <v>6519000000</v>
      </c>
      <c r="L140" s="168">
        <v>3810465000</v>
      </c>
      <c r="M140" s="168">
        <v>10165498297</v>
      </c>
      <c r="N140" s="168">
        <v>364000000</v>
      </c>
      <c r="O140" s="167">
        <v>9091095731</v>
      </c>
      <c r="P140" s="167">
        <v>8755885235</v>
      </c>
      <c r="Q140" s="168">
        <v>335210496</v>
      </c>
      <c r="S140" s="201">
        <f t="shared" si="11"/>
        <v>10529.498297</v>
      </c>
      <c r="T140" s="201">
        <f t="shared" si="15"/>
        <v>10165.498297</v>
      </c>
      <c r="U140" s="201">
        <f t="shared" si="15"/>
        <v>364</v>
      </c>
      <c r="V140" s="201">
        <f t="shared" si="15"/>
        <v>9091.0957309999994</v>
      </c>
      <c r="W140" s="201">
        <f t="shared" si="15"/>
        <v>8755.8852349999997</v>
      </c>
      <c r="X140" s="201">
        <f t="shared" si="15"/>
        <v>335.21049599999998</v>
      </c>
    </row>
    <row r="141" spans="1:24" s="169" customFormat="1" ht="26.4">
      <c r="A141" s="192" t="s">
        <v>1146</v>
      </c>
      <c r="B141" s="176" t="s">
        <v>1147</v>
      </c>
      <c r="C141" s="183" t="str">
        <f t="shared" si="10"/>
        <v>1063796</v>
      </c>
      <c r="D141" s="182" t="s">
        <v>1602</v>
      </c>
      <c r="E141" s="206"/>
      <c r="F141" s="207">
        <v>423</v>
      </c>
      <c r="G141" s="207"/>
      <c r="H141" s="205"/>
      <c r="I141" s="167">
        <v>15993039189</v>
      </c>
      <c r="J141" s="167">
        <v>144800000</v>
      </c>
      <c r="K141" s="167">
        <v>15270427189</v>
      </c>
      <c r="L141" s="168">
        <v>577812000</v>
      </c>
      <c r="M141" s="168">
        <v>15993039189</v>
      </c>
      <c r="N141" s="168"/>
      <c r="O141" s="167">
        <v>15513181899</v>
      </c>
      <c r="P141" s="167">
        <v>15513181899</v>
      </c>
      <c r="Q141" s="168"/>
      <c r="S141" s="201">
        <f t="shared" si="11"/>
        <v>15993.039188999999</v>
      </c>
      <c r="T141" s="201">
        <f t="shared" si="15"/>
        <v>15993.039188999999</v>
      </c>
      <c r="U141" s="201">
        <f t="shared" si="15"/>
        <v>0</v>
      </c>
      <c r="V141" s="201">
        <f t="shared" si="15"/>
        <v>15513.181898999999</v>
      </c>
      <c r="W141" s="201">
        <f t="shared" si="15"/>
        <v>15513.181898999999</v>
      </c>
      <c r="X141" s="201">
        <f t="shared" si="15"/>
        <v>0</v>
      </c>
    </row>
    <row r="142" spans="1:24" s="169" customFormat="1" ht="26.4">
      <c r="A142" s="192" t="s">
        <v>1150</v>
      </c>
      <c r="B142" s="165" t="s">
        <v>1151</v>
      </c>
      <c r="C142" s="183" t="str">
        <f t="shared" si="10"/>
        <v>1063797</v>
      </c>
      <c r="D142" s="182" t="s">
        <v>1497</v>
      </c>
      <c r="E142" s="206"/>
      <c r="F142" s="207">
        <v>412</v>
      </c>
      <c r="G142" s="207"/>
      <c r="H142" s="205"/>
      <c r="I142" s="167">
        <v>2855100000</v>
      </c>
      <c r="J142" s="166"/>
      <c r="K142" s="167">
        <v>2760100000</v>
      </c>
      <c r="L142" s="168">
        <v>95000000</v>
      </c>
      <c r="M142" s="168">
        <v>2855100000</v>
      </c>
      <c r="N142" s="168"/>
      <c r="O142" s="167">
        <v>2855100000</v>
      </c>
      <c r="P142" s="167">
        <v>2855100000</v>
      </c>
      <c r="Q142" s="168"/>
      <c r="S142" s="201">
        <f t="shared" si="11"/>
        <v>2855.1</v>
      </c>
      <c r="T142" s="201">
        <f t="shared" si="15"/>
        <v>2855.1</v>
      </c>
      <c r="U142" s="201">
        <f t="shared" si="15"/>
        <v>0</v>
      </c>
      <c r="V142" s="201">
        <f t="shared" si="15"/>
        <v>2855.1</v>
      </c>
      <c r="W142" s="201">
        <f t="shared" si="15"/>
        <v>2855.1</v>
      </c>
      <c r="X142" s="201">
        <f t="shared" si="15"/>
        <v>0</v>
      </c>
    </row>
    <row r="143" spans="1:24" s="169" customFormat="1" ht="27.6">
      <c r="A143" s="192" t="s">
        <v>1153</v>
      </c>
      <c r="B143" s="165" t="s">
        <v>1154</v>
      </c>
      <c r="C143" s="183" t="str">
        <f t="shared" si="10"/>
        <v>1063798</v>
      </c>
      <c r="D143" s="182" t="s">
        <v>1635</v>
      </c>
      <c r="E143" s="206"/>
      <c r="F143" s="207">
        <v>422</v>
      </c>
      <c r="G143" s="207"/>
      <c r="H143" s="205"/>
      <c r="I143" s="167">
        <v>6347944000</v>
      </c>
      <c r="J143" s="166"/>
      <c r="K143" s="167">
        <v>6247081000</v>
      </c>
      <c r="L143" s="168">
        <v>100863000</v>
      </c>
      <c r="M143" s="168">
        <v>6347944000</v>
      </c>
      <c r="N143" s="168"/>
      <c r="O143" s="167">
        <v>6347014500</v>
      </c>
      <c r="P143" s="167">
        <v>6347014500</v>
      </c>
      <c r="Q143" s="168"/>
      <c r="S143" s="201">
        <f t="shared" si="11"/>
        <v>6347.9440000000004</v>
      </c>
      <c r="T143" s="201">
        <f t="shared" si="15"/>
        <v>6347.9440000000004</v>
      </c>
      <c r="U143" s="201">
        <f t="shared" si="15"/>
        <v>0</v>
      </c>
      <c r="V143" s="201">
        <f t="shared" si="15"/>
        <v>6347.0145000000002</v>
      </c>
      <c r="W143" s="201">
        <f t="shared" si="15"/>
        <v>6347.0145000000002</v>
      </c>
      <c r="X143" s="201">
        <f t="shared" si="15"/>
        <v>0</v>
      </c>
    </row>
    <row r="144" spans="1:24" s="169" customFormat="1" ht="13.8">
      <c r="A144" s="192" t="s">
        <v>1156</v>
      </c>
      <c r="B144" s="170" t="s">
        <v>1157</v>
      </c>
      <c r="C144" s="183" t="str">
        <f t="shared" si="10"/>
        <v>1064680</v>
      </c>
      <c r="D144" s="182" t="s">
        <v>1629</v>
      </c>
      <c r="E144" s="206"/>
      <c r="F144" s="207">
        <v>414</v>
      </c>
      <c r="G144" s="207"/>
      <c r="H144" s="205"/>
      <c r="I144" s="167">
        <v>5453607532</v>
      </c>
      <c r="J144" s="167">
        <v>169397532</v>
      </c>
      <c r="K144" s="167">
        <v>5154842000</v>
      </c>
      <c r="L144" s="168">
        <v>129368000</v>
      </c>
      <c r="M144" s="168">
        <v>5453607532</v>
      </c>
      <c r="N144" s="168"/>
      <c r="O144" s="167">
        <v>5284987032</v>
      </c>
      <c r="P144" s="167">
        <v>5284987032</v>
      </c>
      <c r="Q144" s="168"/>
      <c r="S144" s="201">
        <f t="shared" si="11"/>
        <v>5453.607532</v>
      </c>
      <c r="T144" s="201">
        <f t="shared" si="15"/>
        <v>5453.607532</v>
      </c>
      <c r="U144" s="201">
        <f t="shared" si="15"/>
        <v>0</v>
      </c>
      <c r="V144" s="201">
        <f t="shared" si="15"/>
        <v>5284.987032</v>
      </c>
      <c r="W144" s="201">
        <f t="shared" si="15"/>
        <v>5284.987032</v>
      </c>
      <c r="X144" s="201">
        <f t="shared" si="15"/>
        <v>0</v>
      </c>
    </row>
    <row r="145" spans="1:24" s="169" customFormat="1" ht="39.6">
      <c r="A145" s="192" t="s">
        <v>1159</v>
      </c>
      <c r="B145" s="165" t="s">
        <v>1160</v>
      </c>
      <c r="C145" s="183" t="str">
        <f t="shared" si="10"/>
        <v>1065149</v>
      </c>
      <c r="D145" s="182" t="s">
        <v>1520</v>
      </c>
      <c r="E145" s="206"/>
      <c r="F145" s="207">
        <v>417</v>
      </c>
      <c r="G145" s="207"/>
      <c r="H145" s="205"/>
      <c r="I145" s="167">
        <v>1405882090</v>
      </c>
      <c r="J145" s="167">
        <v>65282090</v>
      </c>
      <c r="K145" s="167">
        <v>1338900000</v>
      </c>
      <c r="L145" s="168">
        <v>1700000</v>
      </c>
      <c r="M145" s="168">
        <v>1405882090</v>
      </c>
      <c r="N145" s="168"/>
      <c r="O145" s="167">
        <v>1337300106</v>
      </c>
      <c r="P145" s="167">
        <v>1337300106</v>
      </c>
      <c r="Q145" s="168"/>
      <c r="S145" s="201">
        <f t="shared" si="11"/>
        <v>1405.8820900000001</v>
      </c>
      <c r="T145" s="201">
        <f t="shared" si="15"/>
        <v>1405.8820900000001</v>
      </c>
      <c r="U145" s="201">
        <f t="shared" si="15"/>
        <v>0</v>
      </c>
      <c r="V145" s="201">
        <f t="shared" si="15"/>
        <v>1337.3001059999999</v>
      </c>
      <c r="W145" s="201">
        <f t="shared" si="15"/>
        <v>1337.3001059999999</v>
      </c>
      <c r="X145" s="201">
        <f t="shared" si="15"/>
        <v>0</v>
      </c>
    </row>
    <row r="146" spans="1:24" s="169" customFormat="1" ht="26.4">
      <c r="A146" s="192" t="s">
        <v>1162</v>
      </c>
      <c r="B146" s="165" t="s">
        <v>1163</v>
      </c>
      <c r="C146" s="183" t="str">
        <f t="shared" si="10"/>
        <v>1065150</v>
      </c>
      <c r="D146" s="182" t="s">
        <v>1498</v>
      </c>
      <c r="E146" s="206"/>
      <c r="F146" s="207">
        <v>417</v>
      </c>
      <c r="G146" s="207"/>
      <c r="H146" s="205"/>
      <c r="I146" s="167">
        <v>1371800000</v>
      </c>
      <c r="J146" s="166"/>
      <c r="K146" s="167">
        <v>1348000000</v>
      </c>
      <c r="L146" s="168">
        <v>23800000</v>
      </c>
      <c r="M146" s="168">
        <v>1371800000</v>
      </c>
      <c r="N146" s="168"/>
      <c r="O146" s="167">
        <v>1161647505</v>
      </c>
      <c r="P146" s="167">
        <v>1161647505</v>
      </c>
      <c r="Q146" s="168"/>
      <c r="S146" s="201">
        <f t="shared" si="11"/>
        <v>1371.8</v>
      </c>
      <c r="T146" s="201">
        <f t="shared" si="15"/>
        <v>1371.8</v>
      </c>
      <c r="U146" s="201">
        <f t="shared" si="15"/>
        <v>0</v>
      </c>
      <c r="V146" s="201">
        <f t="shared" si="15"/>
        <v>1161.6475049999999</v>
      </c>
      <c r="W146" s="201">
        <f t="shared" si="15"/>
        <v>1161.6475049999999</v>
      </c>
      <c r="X146" s="201">
        <f t="shared" si="15"/>
        <v>0</v>
      </c>
    </row>
    <row r="147" spans="1:24" s="169" customFormat="1" ht="13.8">
      <c r="A147" s="192" t="s">
        <v>1165</v>
      </c>
      <c r="B147" s="170" t="s">
        <v>1166</v>
      </c>
      <c r="C147" s="183" t="str">
        <f t="shared" si="10"/>
        <v>1065152</v>
      </c>
      <c r="D147" s="182" t="s">
        <v>1630</v>
      </c>
      <c r="E147" s="206"/>
      <c r="F147" s="207">
        <v>418</v>
      </c>
      <c r="G147" s="207"/>
      <c r="H147" s="205"/>
      <c r="I147" s="167">
        <v>8988200000</v>
      </c>
      <c r="J147" s="166"/>
      <c r="K147" s="167">
        <v>8542000000</v>
      </c>
      <c r="L147" s="168">
        <v>446200000</v>
      </c>
      <c r="M147" s="168">
        <v>8988200000</v>
      </c>
      <c r="N147" s="168"/>
      <c r="O147" s="167">
        <v>8988200000</v>
      </c>
      <c r="P147" s="167">
        <v>8988200000</v>
      </c>
      <c r="Q147" s="168"/>
      <c r="S147" s="201">
        <f t="shared" si="11"/>
        <v>8988.2000000000007</v>
      </c>
      <c r="T147" s="201">
        <f t="shared" si="15"/>
        <v>8988.2000000000007</v>
      </c>
      <c r="U147" s="201">
        <f t="shared" si="15"/>
        <v>0</v>
      </c>
      <c r="V147" s="201">
        <f t="shared" si="15"/>
        <v>8988.2000000000007</v>
      </c>
      <c r="W147" s="201">
        <f t="shared" si="15"/>
        <v>8988.2000000000007</v>
      </c>
      <c r="X147" s="201">
        <f t="shared" si="15"/>
        <v>0</v>
      </c>
    </row>
    <row r="148" spans="1:24" s="169" customFormat="1" ht="26.4">
      <c r="A148" s="192" t="s">
        <v>1169</v>
      </c>
      <c r="B148" s="165" t="s">
        <v>1170</v>
      </c>
      <c r="C148" s="183" t="str">
        <f t="shared" si="10"/>
        <v>1067980</v>
      </c>
      <c r="D148" s="182" t="s">
        <v>1636</v>
      </c>
      <c r="E148" s="206"/>
      <c r="F148" s="207">
        <v>422</v>
      </c>
      <c r="G148" s="207"/>
      <c r="H148" s="205"/>
      <c r="I148" s="167">
        <v>7747523000</v>
      </c>
      <c r="J148" s="167">
        <v>145000000</v>
      </c>
      <c r="K148" s="167">
        <v>7527013000</v>
      </c>
      <c r="L148" s="168">
        <v>75510000</v>
      </c>
      <c r="M148" s="168">
        <v>7747523000</v>
      </c>
      <c r="N148" s="168"/>
      <c r="O148" s="167">
        <v>7741339129</v>
      </c>
      <c r="P148" s="167">
        <v>7741339129</v>
      </c>
      <c r="Q148" s="168"/>
      <c r="S148" s="201">
        <f t="shared" si="11"/>
        <v>7747.5230000000001</v>
      </c>
      <c r="T148" s="201">
        <f t="shared" si="15"/>
        <v>7747.5230000000001</v>
      </c>
      <c r="U148" s="201">
        <f t="shared" si="15"/>
        <v>0</v>
      </c>
      <c r="V148" s="201">
        <f t="shared" si="15"/>
        <v>7741.339129</v>
      </c>
      <c r="W148" s="201">
        <f t="shared" si="15"/>
        <v>7741.339129</v>
      </c>
      <c r="X148" s="201">
        <f t="shared" si="15"/>
        <v>0</v>
      </c>
    </row>
    <row r="149" spans="1:24" s="169" customFormat="1" ht="26.4">
      <c r="A149" s="192" t="s">
        <v>1172</v>
      </c>
      <c r="B149" s="165" t="s">
        <v>1173</v>
      </c>
      <c r="C149" s="183" t="str">
        <f t="shared" si="10"/>
        <v>1068011</v>
      </c>
      <c r="D149" s="182" t="s">
        <v>1521</v>
      </c>
      <c r="E149" s="206"/>
      <c r="F149" s="207">
        <v>412</v>
      </c>
      <c r="G149" s="207"/>
      <c r="H149" s="205"/>
      <c r="I149" s="167">
        <v>11165089508</v>
      </c>
      <c r="J149" s="167">
        <v>1644439508</v>
      </c>
      <c r="K149" s="167">
        <v>9170400000</v>
      </c>
      <c r="L149" s="168">
        <v>350250000</v>
      </c>
      <c r="M149" s="168">
        <v>11165089508</v>
      </c>
      <c r="N149" s="168"/>
      <c r="O149" s="167">
        <v>9181406623</v>
      </c>
      <c r="P149" s="167">
        <v>9181406623</v>
      </c>
      <c r="Q149" s="168"/>
      <c r="S149" s="201">
        <f t="shared" si="11"/>
        <v>11165.089507999999</v>
      </c>
      <c r="T149" s="201">
        <f t="shared" si="15"/>
        <v>11165.089507999999</v>
      </c>
      <c r="U149" s="201">
        <f t="shared" si="15"/>
        <v>0</v>
      </c>
      <c r="V149" s="201">
        <f t="shared" si="15"/>
        <v>9181.4066230000008</v>
      </c>
      <c r="W149" s="201">
        <f t="shared" si="15"/>
        <v>9181.4066230000008</v>
      </c>
      <c r="X149" s="201">
        <f t="shared" si="15"/>
        <v>0</v>
      </c>
    </row>
    <row r="150" spans="1:24" s="169" customFormat="1" ht="26.4">
      <c r="A150" s="192" t="s">
        <v>1175</v>
      </c>
      <c r="B150" s="165" t="s">
        <v>1176</v>
      </c>
      <c r="C150" s="183" t="str">
        <f t="shared" si="10"/>
        <v>1078282</v>
      </c>
      <c r="D150" s="182" t="s">
        <v>1542</v>
      </c>
      <c r="E150" s="206"/>
      <c r="F150" s="207">
        <v>536</v>
      </c>
      <c r="G150" s="207"/>
      <c r="H150" s="205"/>
      <c r="I150" s="167">
        <v>378700000</v>
      </c>
      <c r="J150" s="166"/>
      <c r="K150" s="167">
        <v>376000000</v>
      </c>
      <c r="L150" s="168">
        <v>2700000</v>
      </c>
      <c r="M150" s="168">
        <v>378700000</v>
      </c>
      <c r="N150" s="168"/>
      <c r="O150" s="167">
        <v>378700000</v>
      </c>
      <c r="P150" s="167">
        <v>378700000</v>
      </c>
      <c r="Q150" s="168"/>
      <c r="S150" s="201">
        <f t="shared" si="11"/>
        <v>378.7</v>
      </c>
      <c r="T150" s="201">
        <f t="shared" si="15"/>
        <v>378.7</v>
      </c>
      <c r="U150" s="201">
        <f t="shared" si="15"/>
        <v>0</v>
      </c>
      <c r="V150" s="201">
        <f t="shared" si="15"/>
        <v>378.7</v>
      </c>
      <c r="W150" s="201">
        <f t="shared" si="15"/>
        <v>378.7</v>
      </c>
      <c r="X150" s="201">
        <f t="shared" si="15"/>
        <v>0</v>
      </c>
    </row>
    <row r="151" spans="1:24" s="169" customFormat="1" ht="26.4">
      <c r="A151" s="192" t="s">
        <v>1179</v>
      </c>
      <c r="B151" s="170" t="s">
        <v>1180</v>
      </c>
      <c r="C151" s="183" t="str">
        <f t="shared" ref="C151:C214" si="16">IF(B151&lt;&gt;"",IF(AND(LEFT(B151,1)&gt;="0",LEFT(B151,1)&lt;="9"),LEFT(B151,7),""),"")</f>
        <v>1078283</v>
      </c>
      <c r="D151" s="182" t="s">
        <v>1543</v>
      </c>
      <c r="E151" s="206"/>
      <c r="F151" s="207">
        <v>405</v>
      </c>
      <c r="G151" s="207"/>
      <c r="H151" s="205"/>
      <c r="I151" s="167">
        <v>390000000</v>
      </c>
      <c r="J151" s="166"/>
      <c r="K151" s="167">
        <v>390000000</v>
      </c>
      <c r="L151" s="171"/>
      <c r="M151" s="168">
        <v>390000000</v>
      </c>
      <c r="N151" s="171"/>
      <c r="O151" s="167">
        <v>390000000</v>
      </c>
      <c r="P151" s="167">
        <v>390000000</v>
      </c>
      <c r="Q151" s="171"/>
      <c r="S151" s="201">
        <f t="shared" si="11"/>
        <v>390</v>
      </c>
      <c r="T151" s="201">
        <f t="shared" si="15"/>
        <v>390</v>
      </c>
      <c r="U151" s="201">
        <f t="shared" si="15"/>
        <v>0</v>
      </c>
      <c r="V151" s="201">
        <f t="shared" si="15"/>
        <v>390</v>
      </c>
      <c r="W151" s="201">
        <f t="shared" si="15"/>
        <v>390</v>
      </c>
      <c r="X151" s="201">
        <f t="shared" si="15"/>
        <v>0</v>
      </c>
    </row>
    <row r="152" spans="1:24" s="169" customFormat="1" ht="26.4">
      <c r="A152" s="192" t="s">
        <v>1183</v>
      </c>
      <c r="B152" s="165" t="s">
        <v>1184</v>
      </c>
      <c r="C152" s="183" t="str">
        <f t="shared" si="16"/>
        <v>1078438</v>
      </c>
      <c r="D152" s="182" t="s">
        <v>1522</v>
      </c>
      <c r="E152" s="206"/>
      <c r="F152" s="207">
        <v>426</v>
      </c>
      <c r="G152" s="207"/>
      <c r="H152" s="205"/>
      <c r="I152" s="167">
        <v>7742311853</v>
      </c>
      <c r="J152" s="167">
        <v>2011411853</v>
      </c>
      <c r="K152" s="167">
        <v>3338900000</v>
      </c>
      <c r="L152" s="168">
        <v>2392000000</v>
      </c>
      <c r="M152" s="168">
        <v>7742311853</v>
      </c>
      <c r="N152" s="168"/>
      <c r="O152" s="167">
        <v>6949211171</v>
      </c>
      <c r="P152" s="167">
        <v>6949211171</v>
      </c>
      <c r="Q152" s="168"/>
      <c r="S152" s="201">
        <f t="shared" ref="S152:S215" si="17">I152/1000000</f>
        <v>7742.3118530000002</v>
      </c>
      <c r="T152" s="201">
        <f t="shared" ref="T152:X167" si="18">M152/1000000</f>
        <v>7742.3118530000002</v>
      </c>
      <c r="U152" s="201">
        <f t="shared" si="18"/>
        <v>0</v>
      </c>
      <c r="V152" s="201">
        <f t="shared" si="18"/>
        <v>6949.2111709999999</v>
      </c>
      <c r="W152" s="201">
        <f t="shared" si="18"/>
        <v>6949.2111709999999</v>
      </c>
      <c r="X152" s="201">
        <f t="shared" si="18"/>
        <v>0</v>
      </c>
    </row>
    <row r="153" spans="1:24" s="169" customFormat="1" ht="26.4">
      <c r="A153" s="192" t="s">
        <v>1186</v>
      </c>
      <c r="B153" s="170" t="s">
        <v>1187</v>
      </c>
      <c r="C153" s="183" t="str">
        <f t="shared" si="16"/>
        <v>1078439</v>
      </c>
      <c r="D153" s="182" t="s">
        <v>1640</v>
      </c>
      <c r="E153" s="206"/>
      <c r="F153" s="207">
        <v>426</v>
      </c>
      <c r="G153" s="207"/>
      <c r="H153" s="205"/>
      <c r="I153" s="167">
        <v>1319300000</v>
      </c>
      <c r="J153" s="166"/>
      <c r="K153" s="167">
        <v>574000000</v>
      </c>
      <c r="L153" s="168">
        <v>745300000</v>
      </c>
      <c r="M153" s="168">
        <v>1319300000</v>
      </c>
      <c r="N153" s="168"/>
      <c r="O153" s="167">
        <v>1209620328</v>
      </c>
      <c r="P153" s="167">
        <v>1209620328</v>
      </c>
      <c r="Q153" s="168"/>
      <c r="S153" s="201">
        <f t="shared" si="17"/>
        <v>1319.3</v>
      </c>
      <c r="T153" s="201">
        <f t="shared" si="18"/>
        <v>1319.3</v>
      </c>
      <c r="U153" s="201">
        <f t="shared" si="18"/>
        <v>0</v>
      </c>
      <c r="V153" s="201">
        <f t="shared" si="18"/>
        <v>1209.620328</v>
      </c>
      <c r="W153" s="201">
        <f t="shared" si="18"/>
        <v>1209.620328</v>
      </c>
      <c r="X153" s="201">
        <f t="shared" si="18"/>
        <v>0</v>
      </c>
    </row>
    <row r="154" spans="1:24" s="169" customFormat="1" ht="26.4">
      <c r="A154" s="192" t="s">
        <v>1189</v>
      </c>
      <c r="B154" s="165" t="s">
        <v>1190</v>
      </c>
      <c r="C154" s="183" t="str">
        <f t="shared" si="16"/>
        <v>1081016</v>
      </c>
      <c r="D154" s="182" t="s">
        <v>1641</v>
      </c>
      <c r="E154" s="206"/>
      <c r="F154" s="207">
        <v>422</v>
      </c>
      <c r="G154" s="207"/>
      <c r="H154" s="205"/>
      <c r="I154" s="167">
        <v>6575268000</v>
      </c>
      <c r="J154" s="166"/>
      <c r="K154" s="167">
        <v>6026358000</v>
      </c>
      <c r="L154" s="168">
        <v>548910000</v>
      </c>
      <c r="M154" s="168">
        <v>6575268000</v>
      </c>
      <c r="N154" s="168"/>
      <c r="O154" s="167">
        <v>6149240500</v>
      </c>
      <c r="P154" s="167">
        <v>6149240500</v>
      </c>
      <c r="Q154" s="168"/>
      <c r="S154" s="201">
        <f t="shared" si="17"/>
        <v>6575.268</v>
      </c>
      <c r="T154" s="201">
        <f t="shared" si="18"/>
        <v>6575.268</v>
      </c>
      <c r="U154" s="201">
        <f t="shared" si="18"/>
        <v>0</v>
      </c>
      <c r="V154" s="201">
        <f t="shared" si="18"/>
        <v>6149.2404999999999</v>
      </c>
      <c r="W154" s="201">
        <f t="shared" si="18"/>
        <v>6149.2404999999999</v>
      </c>
      <c r="X154" s="201">
        <f t="shared" si="18"/>
        <v>0</v>
      </c>
    </row>
    <row r="155" spans="1:24" s="169" customFormat="1" ht="26.4">
      <c r="A155" s="192" t="s">
        <v>1192</v>
      </c>
      <c r="B155" s="165" t="s">
        <v>1193</v>
      </c>
      <c r="C155" s="183" t="str">
        <f t="shared" si="16"/>
        <v>1081017</v>
      </c>
      <c r="D155" s="182" t="s">
        <v>1642</v>
      </c>
      <c r="E155" s="206"/>
      <c r="F155" s="207">
        <v>423</v>
      </c>
      <c r="G155" s="207"/>
      <c r="H155" s="205"/>
      <c r="I155" s="167">
        <v>21077000000</v>
      </c>
      <c r="J155" s="167">
        <v>882000000</v>
      </c>
      <c r="K155" s="167">
        <v>15528000000</v>
      </c>
      <c r="L155" s="168">
        <v>4667000000</v>
      </c>
      <c r="M155" s="168">
        <v>21077000000</v>
      </c>
      <c r="N155" s="168"/>
      <c r="O155" s="167">
        <v>19634993318</v>
      </c>
      <c r="P155" s="167">
        <v>19634993318</v>
      </c>
      <c r="Q155" s="168"/>
      <c r="S155" s="201">
        <f t="shared" si="17"/>
        <v>21077</v>
      </c>
      <c r="T155" s="201">
        <f t="shared" si="18"/>
        <v>21077</v>
      </c>
      <c r="U155" s="201">
        <f t="shared" si="18"/>
        <v>0</v>
      </c>
      <c r="V155" s="201">
        <f t="shared" si="18"/>
        <v>19634.993318000001</v>
      </c>
      <c r="W155" s="201">
        <f t="shared" si="18"/>
        <v>19634.993318000001</v>
      </c>
      <c r="X155" s="201">
        <f t="shared" si="18"/>
        <v>0</v>
      </c>
    </row>
    <row r="156" spans="1:24" s="169" customFormat="1" ht="39.6">
      <c r="A156" s="192" t="s">
        <v>1196</v>
      </c>
      <c r="B156" s="165" t="s">
        <v>1197</v>
      </c>
      <c r="C156" s="183" t="str">
        <f t="shared" si="16"/>
        <v>1082133</v>
      </c>
      <c r="D156" s="182" t="s">
        <v>1637</v>
      </c>
      <c r="E156" s="206"/>
      <c r="F156" s="207">
        <v>422</v>
      </c>
      <c r="G156" s="207"/>
      <c r="H156" s="205"/>
      <c r="I156" s="167">
        <v>4279674000</v>
      </c>
      <c r="J156" s="166"/>
      <c r="K156" s="167">
        <v>4213856000</v>
      </c>
      <c r="L156" s="168">
        <v>65818000</v>
      </c>
      <c r="M156" s="168">
        <v>4279674000</v>
      </c>
      <c r="N156" s="168"/>
      <c r="O156" s="167">
        <v>4234641000</v>
      </c>
      <c r="P156" s="167">
        <v>4234641000</v>
      </c>
      <c r="Q156" s="168"/>
      <c r="S156" s="201">
        <f t="shared" si="17"/>
        <v>4279.674</v>
      </c>
      <c r="T156" s="201">
        <f t="shared" si="18"/>
        <v>4279.674</v>
      </c>
      <c r="U156" s="201">
        <f t="shared" si="18"/>
        <v>0</v>
      </c>
      <c r="V156" s="201">
        <f t="shared" si="18"/>
        <v>4234.6409999999996</v>
      </c>
      <c r="W156" s="201">
        <f t="shared" si="18"/>
        <v>4234.6409999999996</v>
      </c>
      <c r="X156" s="201">
        <f t="shared" si="18"/>
        <v>0</v>
      </c>
    </row>
    <row r="157" spans="1:24" s="169" customFormat="1" ht="39.6">
      <c r="A157" s="192" t="s">
        <v>1199</v>
      </c>
      <c r="B157" s="165" t="s">
        <v>1200</v>
      </c>
      <c r="C157" s="183" t="str">
        <f t="shared" si="16"/>
        <v>1082134</v>
      </c>
      <c r="D157" s="182" t="s">
        <v>1638</v>
      </c>
      <c r="E157" s="206"/>
      <c r="F157" s="207">
        <v>422</v>
      </c>
      <c r="G157" s="207"/>
      <c r="H157" s="205"/>
      <c r="I157" s="167">
        <v>5627652000</v>
      </c>
      <c r="J157" s="166"/>
      <c r="K157" s="167">
        <v>5495688000</v>
      </c>
      <c r="L157" s="168">
        <v>131964000</v>
      </c>
      <c r="M157" s="168">
        <v>5627652000</v>
      </c>
      <c r="N157" s="168"/>
      <c r="O157" s="167">
        <v>5581075860</v>
      </c>
      <c r="P157" s="167">
        <v>5581075860</v>
      </c>
      <c r="Q157" s="168"/>
      <c r="S157" s="201">
        <f t="shared" si="17"/>
        <v>5627.652</v>
      </c>
      <c r="T157" s="201">
        <f t="shared" si="18"/>
        <v>5627.652</v>
      </c>
      <c r="U157" s="201">
        <f t="shared" si="18"/>
        <v>0</v>
      </c>
      <c r="V157" s="201">
        <f t="shared" si="18"/>
        <v>5581.0758599999999</v>
      </c>
      <c r="W157" s="201">
        <f t="shared" si="18"/>
        <v>5581.0758599999999</v>
      </c>
      <c r="X157" s="201">
        <f t="shared" si="18"/>
        <v>0</v>
      </c>
    </row>
    <row r="158" spans="1:24" s="169" customFormat="1" ht="28.8">
      <c r="A158" s="192" t="s">
        <v>1202</v>
      </c>
      <c r="B158" s="176" t="s">
        <v>1203</v>
      </c>
      <c r="C158" s="183" t="str">
        <f t="shared" si="16"/>
        <v>1082143</v>
      </c>
      <c r="D158" s="182" t="s">
        <v>1570</v>
      </c>
      <c r="E158" s="206"/>
      <c r="F158" s="207">
        <v>412</v>
      </c>
      <c r="G158" s="207"/>
      <c r="H158" s="205"/>
      <c r="I158" s="167">
        <v>3019365039</v>
      </c>
      <c r="J158" s="167">
        <v>128365039</v>
      </c>
      <c r="K158" s="167">
        <v>2805000000</v>
      </c>
      <c r="L158" s="168">
        <v>86000000</v>
      </c>
      <c r="M158" s="168">
        <v>3019365039</v>
      </c>
      <c r="N158" s="168"/>
      <c r="O158" s="167">
        <v>3018215039</v>
      </c>
      <c r="P158" s="167">
        <v>3018215039</v>
      </c>
      <c r="Q158" s="168"/>
      <c r="S158" s="201">
        <f t="shared" si="17"/>
        <v>3019.3650389999998</v>
      </c>
      <c r="T158" s="201">
        <f t="shared" si="18"/>
        <v>3019.3650389999998</v>
      </c>
      <c r="U158" s="201">
        <f t="shared" si="18"/>
        <v>0</v>
      </c>
      <c r="V158" s="201">
        <f t="shared" si="18"/>
        <v>3018.2150390000002</v>
      </c>
      <c r="W158" s="201">
        <f t="shared" si="18"/>
        <v>3018.2150390000002</v>
      </c>
      <c r="X158" s="201">
        <f t="shared" si="18"/>
        <v>0</v>
      </c>
    </row>
    <row r="159" spans="1:24" s="169" customFormat="1" ht="26.4">
      <c r="A159" s="192" t="s">
        <v>1205</v>
      </c>
      <c r="B159" s="176" t="s">
        <v>1206</v>
      </c>
      <c r="C159" s="183" t="str">
        <f t="shared" si="16"/>
        <v>1082144</v>
      </c>
      <c r="D159" s="182" t="s">
        <v>1499</v>
      </c>
      <c r="E159" s="206"/>
      <c r="F159" s="207">
        <v>412</v>
      </c>
      <c r="G159" s="207"/>
      <c r="H159" s="205"/>
      <c r="I159" s="167">
        <v>2142000000</v>
      </c>
      <c r="J159" s="166"/>
      <c r="K159" s="167">
        <v>2087000000</v>
      </c>
      <c r="L159" s="168">
        <v>55000000</v>
      </c>
      <c r="M159" s="168">
        <v>2142000000</v>
      </c>
      <c r="N159" s="168"/>
      <c r="O159" s="167">
        <v>2142000000</v>
      </c>
      <c r="P159" s="167">
        <v>2142000000</v>
      </c>
      <c r="Q159" s="168"/>
      <c r="S159" s="201">
        <f t="shared" si="17"/>
        <v>2142</v>
      </c>
      <c r="T159" s="201">
        <f t="shared" si="18"/>
        <v>2142</v>
      </c>
      <c r="U159" s="201">
        <f t="shared" si="18"/>
        <v>0</v>
      </c>
      <c r="V159" s="201">
        <f t="shared" si="18"/>
        <v>2142</v>
      </c>
      <c r="W159" s="201">
        <f t="shared" si="18"/>
        <v>2142</v>
      </c>
      <c r="X159" s="201">
        <f t="shared" si="18"/>
        <v>0</v>
      </c>
    </row>
    <row r="160" spans="1:24" s="169" customFormat="1" ht="28.8">
      <c r="A160" s="192" t="s">
        <v>1208</v>
      </c>
      <c r="B160" s="176" t="s">
        <v>1209</v>
      </c>
      <c r="C160" s="183" t="str">
        <f t="shared" si="16"/>
        <v>1082145</v>
      </c>
      <c r="D160" s="182" t="s">
        <v>1571</v>
      </c>
      <c r="E160" s="206"/>
      <c r="F160" s="207">
        <v>412</v>
      </c>
      <c r="G160" s="207"/>
      <c r="H160" s="205"/>
      <c r="I160" s="167">
        <v>2371984127</v>
      </c>
      <c r="J160" s="167">
        <v>46984127</v>
      </c>
      <c r="K160" s="167">
        <v>2253000000</v>
      </c>
      <c r="L160" s="168">
        <v>72000000</v>
      </c>
      <c r="M160" s="168">
        <v>2371984127</v>
      </c>
      <c r="N160" s="168"/>
      <c r="O160" s="167">
        <v>2371984127</v>
      </c>
      <c r="P160" s="167">
        <v>2371984127</v>
      </c>
      <c r="Q160" s="168"/>
      <c r="S160" s="201">
        <f t="shared" si="17"/>
        <v>2371.9841270000002</v>
      </c>
      <c r="T160" s="201">
        <f t="shared" si="18"/>
        <v>2371.9841270000002</v>
      </c>
      <c r="U160" s="201">
        <f t="shared" si="18"/>
        <v>0</v>
      </c>
      <c r="V160" s="201">
        <f t="shared" si="18"/>
        <v>2371.9841270000002</v>
      </c>
      <c r="W160" s="201">
        <f t="shared" si="18"/>
        <v>2371.9841270000002</v>
      </c>
      <c r="X160" s="201">
        <f t="shared" si="18"/>
        <v>0</v>
      </c>
    </row>
    <row r="161" spans="1:24" s="169" customFormat="1" ht="13.8">
      <c r="A161" s="192" t="s">
        <v>1211</v>
      </c>
      <c r="B161" s="164" t="s">
        <v>1212</v>
      </c>
      <c r="C161" s="183" t="str">
        <f t="shared" si="16"/>
        <v>1082897</v>
      </c>
      <c r="D161" s="182" t="s">
        <v>1500</v>
      </c>
      <c r="E161" s="206"/>
      <c r="F161" s="207">
        <v>412</v>
      </c>
      <c r="G161" s="207"/>
      <c r="H161" s="205"/>
      <c r="I161" s="167">
        <v>3556000000</v>
      </c>
      <c r="J161" s="166"/>
      <c r="K161" s="167">
        <v>2410000000</v>
      </c>
      <c r="L161" s="168">
        <v>1146000000</v>
      </c>
      <c r="M161" s="168">
        <v>3556000000</v>
      </c>
      <c r="N161" s="168"/>
      <c r="O161" s="167">
        <v>2468000000</v>
      </c>
      <c r="P161" s="167">
        <v>2468000000</v>
      </c>
      <c r="Q161" s="168"/>
      <c r="S161" s="201">
        <f t="shared" si="17"/>
        <v>3556</v>
      </c>
      <c r="T161" s="201">
        <f t="shared" si="18"/>
        <v>3556</v>
      </c>
      <c r="U161" s="201">
        <f t="shared" si="18"/>
        <v>0</v>
      </c>
      <c r="V161" s="201">
        <f t="shared" si="18"/>
        <v>2468</v>
      </c>
      <c r="W161" s="201">
        <f t="shared" si="18"/>
        <v>2468</v>
      </c>
      <c r="X161" s="201">
        <f t="shared" si="18"/>
        <v>0</v>
      </c>
    </row>
    <row r="162" spans="1:24" s="169" customFormat="1" ht="39.6">
      <c r="A162" s="192" t="s">
        <v>1215</v>
      </c>
      <c r="B162" s="176" t="s">
        <v>1216</v>
      </c>
      <c r="C162" s="183" t="str">
        <f t="shared" si="16"/>
        <v>1082898</v>
      </c>
      <c r="D162" s="182" t="s">
        <v>1523</v>
      </c>
      <c r="E162" s="206"/>
      <c r="F162" s="207">
        <v>412</v>
      </c>
      <c r="G162" s="207"/>
      <c r="H162" s="205"/>
      <c r="I162" s="167">
        <v>3471500000</v>
      </c>
      <c r="J162" s="166"/>
      <c r="K162" s="167">
        <v>2604000000</v>
      </c>
      <c r="L162" s="168">
        <v>867500000</v>
      </c>
      <c r="M162" s="168">
        <v>3471500000</v>
      </c>
      <c r="N162" s="168"/>
      <c r="O162" s="167">
        <v>2673500000</v>
      </c>
      <c r="P162" s="167">
        <v>2673500000</v>
      </c>
      <c r="Q162" s="168"/>
      <c r="S162" s="201">
        <f t="shared" si="17"/>
        <v>3471.5</v>
      </c>
      <c r="T162" s="201">
        <f t="shared" si="18"/>
        <v>3471.5</v>
      </c>
      <c r="U162" s="201">
        <f t="shared" si="18"/>
        <v>0</v>
      </c>
      <c r="V162" s="201">
        <f t="shared" si="18"/>
        <v>2673.5</v>
      </c>
      <c r="W162" s="201">
        <f t="shared" si="18"/>
        <v>2673.5</v>
      </c>
      <c r="X162" s="201">
        <f t="shared" si="18"/>
        <v>0</v>
      </c>
    </row>
    <row r="163" spans="1:24" s="169" customFormat="1" ht="26.4">
      <c r="A163" s="192" t="s">
        <v>1219</v>
      </c>
      <c r="B163" s="176" t="s">
        <v>1220</v>
      </c>
      <c r="C163" s="183" t="str">
        <f t="shared" si="16"/>
        <v>1083231</v>
      </c>
      <c r="D163" s="182" t="s">
        <v>1501</v>
      </c>
      <c r="E163" s="206"/>
      <c r="F163" s="207">
        <v>423</v>
      </c>
      <c r="G163" s="207"/>
      <c r="H163" s="205"/>
      <c r="I163" s="167">
        <v>6442360000</v>
      </c>
      <c r="J163" s="166"/>
      <c r="K163" s="167">
        <v>6244360000</v>
      </c>
      <c r="L163" s="168">
        <v>198000000</v>
      </c>
      <c r="M163" s="168">
        <v>6442360000</v>
      </c>
      <c r="N163" s="168"/>
      <c r="O163" s="167">
        <v>5354498909</v>
      </c>
      <c r="P163" s="167">
        <v>5354498909</v>
      </c>
      <c r="Q163" s="168"/>
      <c r="S163" s="201">
        <f t="shared" si="17"/>
        <v>6442.36</v>
      </c>
      <c r="T163" s="201">
        <f t="shared" si="18"/>
        <v>6442.36</v>
      </c>
      <c r="U163" s="201">
        <f t="shared" si="18"/>
        <v>0</v>
      </c>
      <c r="V163" s="201">
        <f t="shared" si="18"/>
        <v>5354.4989089999999</v>
      </c>
      <c r="W163" s="201">
        <f t="shared" si="18"/>
        <v>5354.4989089999999</v>
      </c>
      <c r="X163" s="201">
        <f t="shared" si="18"/>
        <v>0</v>
      </c>
    </row>
    <row r="164" spans="1:24" s="169" customFormat="1" ht="26.4">
      <c r="A164" s="192" t="s">
        <v>1222</v>
      </c>
      <c r="B164" s="176" t="s">
        <v>1223</v>
      </c>
      <c r="C164" s="183" t="str">
        <f t="shared" si="16"/>
        <v>1084079</v>
      </c>
      <c r="D164" s="182" t="s">
        <v>1643</v>
      </c>
      <c r="E164" s="206"/>
      <c r="F164" s="207">
        <v>427</v>
      </c>
      <c r="G164" s="207"/>
      <c r="H164" s="205"/>
      <c r="I164" s="167">
        <v>542600000</v>
      </c>
      <c r="J164" s="166"/>
      <c r="K164" s="167">
        <v>542600000</v>
      </c>
      <c r="L164" s="171"/>
      <c r="M164" s="168">
        <v>542600000</v>
      </c>
      <c r="N164" s="171"/>
      <c r="O164" s="167">
        <v>485095010</v>
      </c>
      <c r="P164" s="167">
        <v>485095010</v>
      </c>
      <c r="Q164" s="171"/>
      <c r="S164" s="201">
        <f t="shared" si="17"/>
        <v>542.6</v>
      </c>
      <c r="T164" s="201">
        <f t="shared" si="18"/>
        <v>542.6</v>
      </c>
      <c r="U164" s="201">
        <f t="shared" si="18"/>
        <v>0</v>
      </c>
      <c r="V164" s="201">
        <f t="shared" si="18"/>
        <v>485.09501</v>
      </c>
      <c r="W164" s="201">
        <f t="shared" si="18"/>
        <v>485.09501</v>
      </c>
      <c r="X164" s="201">
        <f t="shared" si="18"/>
        <v>0</v>
      </c>
    </row>
    <row r="165" spans="1:24" s="169" customFormat="1" ht="26.4">
      <c r="A165" s="192" t="s">
        <v>1226</v>
      </c>
      <c r="B165" s="176" t="s">
        <v>1227</v>
      </c>
      <c r="C165" s="183" t="str">
        <f t="shared" si="16"/>
        <v>1090829</v>
      </c>
      <c r="D165" s="182" t="s">
        <v>1644</v>
      </c>
      <c r="E165" s="206"/>
      <c r="F165" s="207">
        <v>414</v>
      </c>
      <c r="G165" s="207"/>
      <c r="H165" s="205"/>
      <c r="I165" s="167">
        <v>286000000</v>
      </c>
      <c r="J165" s="166"/>
      <c r="K165" s="167">
        <v>446253000</v>
      </c>
      <c r="L165" s="168">
        <v>-160253000</v>
      </c>
      <c r="M165" s="168">
        <v>286000000</v>
      </c>
      <c r="N165" s="168"/>
      <c r="O165" s="167">
        <v>286000000</v>
      </c>
      <c r="P165" s="167">
        <v>286000000</v>
      </c>
      <c r="Q165" s="168"/>
      <c r="S165" s="201">
        <f t="shared" si="17"/>
        <v>286</v>
      </c>
      <c r="T165" s="201">
        <f t="shared" si="18"/>
        <v>286</v>
      </c>
      <c r="U165" s="201">
        <f t="shared" si="18"/>
        <v>0</v>
      </c>
      <c r="V165" s="201">
        <f t="shared" si="18"/>
        <v>286</v>
      </c>
      <c r="W165" s="201">
        <f t="shared" si="18"/>
        <v>286</v>
      </c>
      <c r="X165" s="201">
        <f t="shared" si="18"/>
        <v>0</v>
      </c>
    </row>
    <row r="166" spans="1:24" s="169" customFormat="1" ht="26.4">
      <c r="A166" s="192" t="s">
        <v>1229</v>
      </c>
      <c r="B166" s="176" t="s">
        <v>1230</v>
      </c>
      <c r="C166" s="183" t="str">
        <f t="shared" si="16"/>
        <v>1093133</v>
      </c>
      <c r="D166" s="182" t="s">
        <v>1645</v>
      </c>
      <c r="E166" s="206"/>
      <c r="F166" s="207">
        <v>412</v>
      </c>
      <c r="G166" s="207"/>
      <c r="H166" s="205"/>
      <c r="I166" s="167">
        <v>3787000000</v>
      </c>
      <c r="J166" s="166"/>
      <c r="K166" s="167">
        <v>2330000000</v>
      </c>
      <c r="L166" s="168">
        <v>1457000000</v>
      </c>
      <c r="M166" s="168">
        <v>3787000000</v>
      </c>
      <c r="N166" s="168"/>
      <c r="O166" s="167">
        <v>3785094000</v>
      </c>
      <c r="P166" s="167">
        <v>3785094000</v>
      </c>
      <c r="Q166" s="168"/>
      <c r="S166" s="201">
        <f t="shared" si="17"/>
        <v>3787</v>
      </c>
      <c r="T166" s="201">
        <f t="shared" si="18"/>
        <v>3787</v>
      </c>
      <c r="U166" s="201">
        <f t="shared" si="18"/>
        <v>0</v>
      </c>
      <c r="V166" s="201">
        <f t="shared" si="18"/>
        <v>3785.0940000000001</v>
      </c>
      <c r="W166" s="201">
        <f t="shared" si="18"/>
        <v>3785.0940000000001</v>
      </c>
      <c r="X166" s="201">
        <f t="shared" si="18"/>
        <v>0</v>
      </c>
    </row>
    <row r="167" spans="1:24" s="169" customFormat="1" ht="26.4">
      <c r="A167" s="192" t="s">
        <v>1233</v>
      </c>
      <c r="B167" s="170" t="s">
        <v>1234</v>
      </c>
      <c r="C167" s="183" t="str">
        <f t="shared" si="16"/>
        <v>1093434</v>
      </c>
      <c r="D167" s="182" t="s">
        <v>1544</v>
      </c>
      <c r="E167" s="206"/>
      <c r="F167" s="207">
        <v>599</v>
      </c>
      <c r="G167" s="207"/>
      <c r="H167" s="205"/>
      <c r="I167" s="167">
        <v>25200000</v>
      </c>
      <c r="J167" s="166"/>
      <c r="K167" s="167">
        <v>20000000</v>
      </c>
      <c r="L167" s="168">
        <v>5200000</v>
      </c>
      <c r="M167" s="168">
        <v>25200000</v>
      </c>
      <c r="N167" s="168"/>
      <c r="O167" s="167">
        <v>25200000</v>
      </c>
      <c r="P167" s="167">
        <v>25200000</v>
      </c>
      <c r="Q167" s="168"/>
      <c r="S167" s="201">
        <f t="shared" si="17"/>
        <v>25.2</v>
      </c>
      <c r="T167" s="201">
        <f t="shared" si="18"/>
        <v>25.2</v>
      </c>
      <c r="U167" s="201">
        <f t="shared" si="18"/>
        <v>0</v>
      </c>
      <c r="V167" s="201">
        <f t="shared" si="18"/>
        <v>25.2</v>
      </c>
      <c r="W167" s="201">
        <f t="shared" si="18"/>
        <v>25.2</v>
      </c>
      <c r="X167" s="201">
        <f t="shared" si="18"/>
        <v>0</v>
      </c>
    </row>
    <row r="168" spans="1:24" s="169" customFormat="1" ht="13.8">
      <c r="A168" s="192" t="s">
        <v>1236</v>
      </c>
      <c r="B168" s="170" t="s">
        <v>1237</v>
      </c>
      <c r="C168" s="183" t="str">
        <f t="shared" si="16"/>
        <v>1093512</v>
      </c>
      <c r="D168" s="182" t="s">
        <v>1545</v>
      </c>
      <c r="E168" s="206"/>
      <c r="F168" s="207">
        <v>521</v>
      </c>
      <c r="G168" s="207"/>
      <c r="H168" s="205"/>
      <c r="I168" s="167">
        <v>255700000</v>
      </c>
      <c r="J168" s="166"/>
      <c r="K168" s="167">
        <v>233000000</v>
      </c>
      <c r="L168" s="168">
        <v>22700000</v>
      </c>
      <c r="M168" s="168">
        <v>255700000</v>
      </c>
      <c r="N168" s="168"/>
      <c r="O168" s="167">
        <v>255700000</v>
      </c>
      <c r="P168" s="167">
        <v>255700000</v>
      </c>
      <c r="Q168" s="168"/>
      <c r="S168" s="201">
        <f t="shared" si="17"/>
        <v>255.7</v>
      </c>
      <c r="T168" s="201">
        <f t="shared" ref="T168:X183" si="19">M168/1000000</f>
        <v>255.7</v>
      </c>
      <c r="U168" s="201">
        <f t="shared" si="19"/>
        <v>0</v>
      </c>
      <c r="V168" s="201">
        <f t="shared" si="19"/>
        <v>255.7</v>
      </c>
      <c r="W168" s="201">
        <f t="shared" si="19"/>
        <v>255.7</v>
      </c>
      <c r="X168" s="201">
        <f t="shared" si="19"/>
        <v>0</v>
      </c>
    </row>
    <row r="169" spans="1:24" s="169" customFormat="1" ht="13.8">
      <c r="A169" s="192" t="s">
        <v>1239</v>
      </c>
      <c r="B169" s="170" t="s">
        <v>1240</v>
      </c>
      <c r="C169" s="183" t="str">
        <f t="shared" si="16"/>
        <v>1093795</v>
      </c>
      <c r="D169" s="182" t="s">
        <v>1646</v>
      </c>
      <c r="E169" s="206"/>
      <c r="F169" s="207">
        <v>599</v>
      </c>
      <c r="G169" s="207"/>
      <c r="H169" s="205"/>
      <c r="I169" s="167">
        <v>246000000</v>
      </c>
      <c r="J169" s="166"/>
      <c r="K169" s="167">
        <v>158000000</v>
      </c>
      <c r="L169" s="168">
        <v>88000000</v>
      </c>
      <c r="M169" s="168">
        <v>246000000</v>
      </c>
      <c r="N169" s="168"/>
      <c r="O169" s="167">
        <v>246000000</v>
      </c>
      <c r="P169" s="167">
        <v>246000000</v>
      </c>
      <c r="Q169" s="168"/>
      <c r="S169" s="201">
        <f t="shared" si="17"/>
        <v>246</v>
      </c>
      <c r="T169" s="201">
        <f t="shared" si="19"/>
        <v>246</v>
      </c>
      <c r="U169" s="201">
        <f t="shared" si="19"/>
        <v>0</v>
      </c>
      <c r="V169" s="201">
        <f t="shared" si="19"/>
        <v>246</v>
      </c>
      <c r="W169" s="201">
        <f t="shared" si="19"/>
        <v>246</v>
      </c>
      <c r="X169" s="201">
        <f t="shared" si="19"/>
        <v>0</v>
      </c>
    </row>
    <row r="170" spans="1:24" s="169" customFormat="1" ht="26.4">
      <c r="A170" s="192" t="s">
        <v>1242</v>
      </c>
      <c r="B170" s="170" t="s">
        <v>1243</v>
      </c>
      <c r="C170" s="183" t="str">
        <f t="shared" si="16"/>
        <v>1093848</v>
      </c>
      <c r="D170" s="182" t="s">
        <v>1647</v>
      </c>
      <c r="E170" s="206"/>
      <c r="F170" s="207">
        <v>539</v>
      </c>
      <c r="G170" s="207"/>
      <c r="H170" s="205"/>
      <c r="I170" s="167">
        <v>270700000</v>
      </c>
      <c r="J170" s="166"/>
      <c r="K170" s="167">
        <v>257000000</v>
      </c>
      <c r="L170" s="168">
        <v>13700000</v>
      </c>
      <c r="M170" s="168">
        <v>270700000</v>
      </c>
      <c r="N170" s="168"/>
      <c r="O170" s="167">
        <v>270700000</v>
      </c>
      <c r="P170" s="167">
        <v>270700000</v>
      </c>
      <c r="Q170" s="168"/>
      <c r="S170" s="201">
        <f t="shared" si="17"/>
        <v>270.7</v>
      </c>
      <c r="T170" s="201">
        <f t="shared" si="19"/>
        <v>270.7</v>
      </c>
      <c r="U170" s="201">
        <f t="shared" si="19"/>
        <v>0</v>
      </c>
      <c r="V170" s="201">
        <f t="shared" si="19"/>
        <v>270.7</v>
      </c>
      <c r="W170" s="201">
        <f t="shared" si="19"/>
        <v>270.7</v>
      </c>
      <c r="X170" s="201">
        <f t="shared" si="19"/>
        <v>0</v>
      </c>
    </row>
    <row r="171" spans="1:24" s="169" customFormat="1" ht="26.4">
      <c r="A171" s="192" t="s">
        <v>1246</v>
      </c>
      <c r="B171" s="165" t="s">
        <v>1247</v>
      </c>
      <c r="C171" s="183" t="str">
        <f t="shared" si="16"/>
        <v>1093941</v>
      </c>
      <c r="D171" s="182" t="s">
        <v>1648</v>
      </c>
      <c r="E171" s="206"/>
      <c r="F171" s="207">
        <v>422</v>
      </c>
      <c r="G171" s="207"/>
      <c r="H171" s="205"/>
      <c r="I171" s="167">
        <v>9229943000</v>
      </c>
      <c r="J171" s="166"/>
      <c r="K171" s="167">
        <v>8294934000</v>
      </c>
      <c r="L171" s="168">
        <v>935009000</v>
      </c>
      <c r="M171" s="168">
        <v>9229943000</v>
      </c>
      <c r="N171" s="168"/>
      <c r="O171" s="167">
        <v>8459215000</v>
      </c>
      <c r="P171" s="167">
        <v>8459215000</v>
      </c>
      <c r="Q171" s="168"/>
      <c r="S171" s="201">
        <f t="shared" si="17"/>
        <v>9229.9429999999993</v>
      </c>
      <c r="T171" s="201">
        <f t="shared" si="19"/>
        <v>9229.9429999999993</v>
      </c>
      <c r="U171" s="201">
        <f t="shared" si="19"/>
        <v>0</v>
      </c>
      <c r="V171" s="201">
        <f t="shared" si="19"/>
        <v>8459.2150000000001</v>
      </c>
      <c r="W171" s="201">
        <f t="shared" si="19"/>
        <v>8459.2150000000001</v>
      </c>
      <c r="X171" s="201">
        <f t="shared" si="19"/>
        <v>0</v>
      </c>
    </row>
    <row r="172" spans="1:24" s="169" customFormat="1" ht="39.6">
      <c r="A172" s="192" t="s">
        <v>1249</v>
      </c>
      <c r="B172" s="165" t="s">
        <v>1250</v>
      </c>
      <c r="C172" s="183" t="str">
        <f t="shared" si="16"/>
        <v>1094591</v>
      </c>
      <c r="D172" s="182" t="s">
        <v>1649</v>
      </c>
      <c r="E172" s="206"/>
      <c r="F172" s="207">
        <v>538</v>
      </c>
      <c r="G172" s="207"/>
      <c r="H172" s="205"/>
      <c r="I172" s="167">
        <v>387700000</v>
      </c>
      <c r="J172" s="166"/>
      <c r="K172" s="167">
        <v>385000000</v>
      </c>
      <c r="L172" s="168">
        <v>2700000</v>
      </c>
      <c r="M172" s="168">
        <v>387700000</v>
      </c>
      <c r="N172" s="168"/>
      <c r="O172" s="167">
        <v>387700000</v>
      </c>
      <c r="P172" s="167">
        <v>387700000</v>
      </c>
      <c r="Q172" s="168"/>
      <c r="S172" s="201">
        <f t="shared" si="17"/>
        <v>387.7</v>
      </c>
      <c r="T172" s="201">
        <f t="shared" si="19"/>
        <v>387.7</v>
      </c>
      <c r="U172" s="201">
        <f t="shared" si="19"/>
        <v>0</v>
      </c>
      <c r="V172" s="201">
        <f t="shared" si="19"/>
        <v>387.7</v>
      </c>
      <c r="W172" s="201">
        <f t="shared" si="19"/>
        <v>387.7</v>
      </c>
      <c r="X172" s="201">
        <f t="shared" si="19"/>
        <v>0</v>
      </c>
    </row>
    <row r="173" spans="1:24" s="169" customFormat="1" ht="26.4">
      <c r="A173" s="192" t="s">
        <v>1253</v>
      </c>
      <c r="B173" s="165" t="s">
        <v>1254</v>
      </c>
      <c r="C173" s="183" t="str">
        <f t="shared" si="16"/>
        <v>1094963</v>
      </c>
      <c r="D173" s="182" t="s">
        <v>1524</v>
      </c>
      <c r="E173" s="206"/>
      <c r="F173" s="207">
        <v>537</v>
      </c>
      <c r="G173" s="207"/>
      <c r="H173" s="205"/>
      <c r="I173" s="167">
        <v>306100000</v>
      </c>
      <c r="J173" s="166"/>
      <c r="K173" s="167">
        <v>290000000</v>
      </c>
      <c r="L173" s="168">
        <v>16100000</v>
      </c>
      <c r="M173" s="168">
        <v>306100000</v>
      </c>
      <c r="N173" s="168"/>
      <c r="O173" s="167">
        <v>306100000</v>
      </c>
      <c r="P173" s="167">
        <v>306100000</v>
      </c>
      <c r="Q173" s="168"/>
      <c r="S173" s="201">
        <f t="shared" si="17"/>
        <v>306.10000000000002</v>
      </c>
      <c r="T173" s="201">
        <f t="shared" si="19"/>
        <v>306.10000000000002</v>
      </c>
      <c r="U173" s="201">
        <f t="shared" si="19"/>
        <v>0</v>
      </c>
      <c r="V173" s="201">
        <f t="shared" si="19"/>
        <v>306.10000000000002</v>
      </c>
      <c r="W173" s="201">
        <f t="shared" si="19"/>
        <v>306.10000000000002</v>
      </c>
      <c r="X173" s="201">
        <f t="shared" si="19"/>
        <v>0</v>
      </c>
    </row>
    <row r="174" spans="1:24" s="169" customFormat="1" ht="26.4">
      <c r="A174" s="192" t="s">
        <v>1257</v>
      </c>
      <c r="B174" s="165" t="s">
        <v>1258</v>
      </c>
      <c r="C174" s="183" t="str">
        <f t="shared" si="16"/>
        <v>1095546</v>
      </c>
      <c r="D174" s="182" t="s">
        <v>1650</v>
      </c>
      <c r="E174" s="206"/>
      <c r="F174" s="207">
        <v>402</v>
      </c>
      <c r="G174" s="207"/>
      <c r="H174" s="205"/>
      <c r="I174" s="167">
        <v>4872000000</v>
      </c>
      <c r="J174" s="166"/>
      <c r="K174" s="167">
        <v>4872000000</v>
      </c>
      <c r="L174" s="171"/>
      <c r="M174" s="168">
        <v>4872000000</v>
      </c>
      <c r="N174" s="171"/>
      <c r="O174" s="167">
        <v>4485877400</v>
      </c>
      <c r="P174" s="167">
        <v>4485877400</v>
      </c>
      <c r="Q174" s="171"/>
      <c r="S174" s="201">
        <f t="shared" si="17"/>
        <v>4872</v>
      </c>
      <c r="T174" s="201">
        <f t="shared" si="19"/>
        <v>4872</v>
      </c>
      <c r="U174" s="201">
        <f t="shared" si="19"/>
        <v>0</v>
      </c>
      <c r="V174" s="201">
        <f t="shared" si="19"/>
        <v>4485.8774000000003</v>
      </c>
      <c r="W174" s="201">
        <f t="shared" si="19"/>
        <v>4485.8774000000003</v>
      </c>
      <c r="X174" s="201">
        <f t="shared" si="19"/>
        <v>0</v>
      </c>
    </row>
    <row r="175" spans="1:24" s="169" customFormat="1" ht="27.6">
      <c r="A175" s="192" t="s">
        <v>1260</v>
      </c>
      <c r="B175" s="165" t="s">
        <v>1261</v>
      </c>
      <c r="C175" s="183" t="str">
        <f t="shared" si="16"/>
        <v>1096607</v>
      </c>
      <c r="D175" s="182" t="s">
        <v>1525</v>
      </c>
      <c r="E175" s="206"/>
      <c r="F175" s="207">
        <v>426</v>
      </c>
      <c r="G175" s="207"/>
      <c r="H175" s="205"/>
      <c r="I175" s="167">
        <v>1069100000</v>
      </c>
      <c r="J175" s="166"/>
      <c r="K175" s="167">
        <v>1069100000</v>
      </c>
      <c r="L175" s="171"/>
      <c r="M175" s="168">
        <v>1069100000</v>
      </c>
      <c r="N175" s="171"/>
      <c r="O175" s="167">
        <v>1069100000</v>
      </c>
      <c r="P175" s="167">
        <v>1069100000</v>
      </c>
      <c r="Q175" s="171"/>
      <c r="S175" s="201">
        <f t="shared" si="17"/>
        <v>1069.0999999999999</v>
      </c>
      <c r="T175" s="201">
        <f t="shared" si="19"/>
        <v>1069.0999999999999</v>
      </c>
      <c r="U175" s="201">
        <f t="shared" si="19"/>
        <v>0</v>
      </c>
      <c r="V175" s="201">
        <f t="shared" si="19"/>
        <v>1069.0999999999999</v>
      </c>
      <c r="W175" s="201">
        <f t="shared" si="19"/>
        <v>1069.0999999999999</v>
      </c>
      <c r="X175" s="201">
        <f t="shared" si="19"/>
        <v>0</v>
      </c>
    </row>
    <row r="176" spans="1:24" s="169" customFormat="1" ht="13.8">
      <c r="A176" s="192" t="s">
        <v>1264</v>
      </c>
      <c r="B176" s="170" t="s">
        <v>1265</v>
      </c>
      <c r="C176" s="183" t="str">
        <f t="shared" si="16"/>
        <v>1096916</v>
      </c>
      <c r="D176" s="182" t="s">
        <v>1546</v>
      </c>
      <c r="E176" s="206"/>
      <c r="F176" s="207">
        <v>599</v>
      </c>
      <c r="G176" s="207"/>
      <c r="H176" s="205"/>
      <c r="I176" s="167">
        <v>90000000</v>
      </c>
      <c r="J176" s="166"/>
      <c r="K176" s="167">
        <v>50000000</v>
      </c>
      <c r="L176" s="168">
        <v>40000000</v>
      </c>
      <c r="M176" s="168">
        <v>90000000</v>
      </c>
      <c r="N176" s="168"/>
      <c r="O176" s="167">
        <v>90000000</v>
      </c>
      <c r="P176" s="167">
        <v>90000000</v>
      </c>
      <c r="Q176" s="168"/>
      <c r="S176" s="201">
        <f t="shared" si="17"/>
        <v>90</v>
      </c>
      <c r="T176" s="201">
        <f t="shared" si="19"/>
        <v>90</v>
      </c>
      <c r="U176" s="201">
        <f t="shared" si="19"/>
        <v>0</v>
      </c>
      <c r="V176" s="201">
        <f t="shared" si="19"/>
        <v>90</v>
      </c>
      <c r="W176" s="201">
        <f t="shared" si="19"/>
        <v>90</v>
      </c>
      <c r="X176" s="201">
        <f t="shared" si="19"/>
        <v>0</v>
      </c>
    </row>
    <row r="177" spans="1:24" s="169" customFormat="1" ht="13.8">
      <c r="A177" s="192" t="s">
        <v>1267</v>
      </c>
      <c r="B177" s="170" t="s">
        <v>1268</v>
      </c>
      <c r="C177" s="183" t="str">
        <f t="shared" si="16"/>
        <v>1098089</v>
      </c>
      <c r="D177" s="182" t="s">
        <v>486</v>
      </c>
      <c r="E177" s="206"/>
      <c r="F177" s="207">
        <v>520</v>
      </c>
      <c r="G177" s="207"/>
      <c r="H177" s="205"/>
      <c r="I177" s="167">
        <v>949731750</v>
      </c>
      <c r="J177" s="167">
        <v>24231750</v>
      </c>
      <c r="K177" s="167">
        <v>820000000</v>
      </c>
      <c r="L177" s="168">
        <v>105500000</v>
      </c>
      <c r="M177" s="168">
        <v>949731750</v>
      </c>
      <c r="N177" s="168"/>
      <c r="O177" s="167">
        <v>912785750</v>
      </c>
      <c r="P177" s="167">
        <v>912785750</v>
      </c>
      <c r="Q177" s="168"/>
      <c r="S177" s="201">
        <f t="shared" si="17"/>
        <v>949.73175000000003</v>
      </c>
      <c r="T177" s="201">
        <f t="shared" si="19"/>
        <v>949.73175000000003</v>
      </c>
      <c r="U177" s="201">
        <f t="shared" si="19"/>
        <v>0</v>
      </c>
      <c r="V177" s="201">
        <f t="shared" si="19"/>
        <v>912.78575000000001</v>
      </c>
      <c r="W177" s="201">
        <f t="shared" si="19"/>
        <v>912.78575000000001</v>
      </c>
      <c r="X177" s="201">
        <f t="shared" si="19"/>
        <v>0</v>
      </c>
    </row>
    <row r="178" spans="1:24" s="169" customFormat="1" ht="26.4">
      <c r="A178" s="192" t="s">
        <v>1271</v>
      </c>
      <c r="B178" s="165" t="s">
        <v>1272</v>
      </c>
      <c r="C178" s="183" t="str">
        <f t="shared" si="16"/>
        <v>1098191</v>
      </c>
      <c r="D178" s="182" t="s">
        <v>1651</v>
      </c>
      <c r="E178" s="206"/>
      <c r="F178" s="207">
        <v>511</v>
      </c>
      <c r="G178" s="207"/>
      <c r="H178" s="205"/>
      <c r="I178" s="167">
        <v>242000000</v>
      </c>
      <c r="J178" s="166"/>
      <c r="K178" s="167">
        <v>242000000</v>
      </c>
      <c r="L178" s="171"/>
      <c r="M178" s="168">
        <v>242000000</v>
      </c>
      <c r="N178" s="171"/>
      <c r="O178" s="167">
        <v>242000000</v>
      </c>
      <c r="P178" s="167">
        <v>242000000</v>
      </c>
      <c r="Q178" s="171"/>
      <c r="S178" s="201">
        <f t="shared" si="17"/>
        <v>242</v>
      </c>
      <c r="T178" s="201">
        <f t="shared" si="19"/>
        <v>242</v>
      </c>
      <c r="U178" s="201">
        <f t="shared" si="19"/>
        <v>0</v>
      </c>
      <c r="V178" s="201">
        <f t="shared" si="19"/>
        <v>242</v>
      </c>
      <c r="W178" s="201">
        <f t="shared" si="19"/>
        <v>242</v>
      </c>
      <c r="X178" s="201">
        <f t="shared" si="19"/>
        <v>0</v>
      </c>
    </row>
    <row r="179" spans="1:24" s="169" customFormat="1" ht="39.6">
      <c r="A179" s="192" t="s">
        <v>1274</v>
      </c>
      <c r="B179" s="165" t="s">
        <v>1275</v>
      </c>
      <c r="C179" s="183" t="str">
        <f t="shared" si="16"/>
        <v>1098455</v>
      </c>
      <c r="D179" s="182" t="s">
        <v>1639</v>
      </c>
      <c r="E179" s="206"/>
      <c r="F179" s="207">
        <v>422</v>
      </c>
      <c r="G179" s="207"/>
      <c r="H179" s="205"/>
      <c r="I179" s="167">
        <v>8669501000</v>
      </c>
      <c r="J179" s="166"/>
      <c r="K179" s="167">
        <v>8328490000</v>
      </c>
      <c r="L179" s="168">
        <v>341011000</v>
      </c>
      <c r="M179" s="168">
        <v>8669501000</v>
      </c>
      <c r="N179" s="168"/>
      <c r="O179" s="167">
        <v>8361115000</v>
      </c>
      <c r="P179" s="167">
        <v>8361115000</v>
      </c>
      <c r="Q179" s="168"/>
      <c r="S179" s="201">
        <f t="shared" si="17"/>
        <v>8669.5010000000002</v>
      </c>
      <c r="T179" s="201">
        <f t="shared" si="19"/>
        <v>8669.5010000000002</v>
      </c>
      <c r="U179" s="201">
        <f t="shared" si="19"/>
        <v>0</v>
      </c>
      <c r="V179" s="201">
        <f t="shared" si="19"/>
        <v>8361.1149999999998</v>
      </c>
      <c r="W179" s="201">
        <f t="shared" si="19"/>
        <v>8361.1149999999998</v>
      </c>
      <c r="X179" s="201">
        <f t="shared" si="19"/>
        <v>0</v>
      </c>
    </row>
    <row r="180" spans="1:24" s="169" customFormat="1" ht="26.4">
      <c r="A180" s="192" t="s">
        <v>1277</v>
      </c>
      <c r="B180" s="165" t="s">
        <v>1278</v>
      </c>
      <c r="C180" s="183" t="str">
        <f t="shared" si="16"/>
        <v>1098629</v>
      </c>
      <c r="D180" s="182" t="s">
        <v>1547</v>
      </c>
      <c r="E180" s="206"/>
      <c r="F180" s="207">
        <v>423</v>
      </c>
      <c r="G180" s="207"/>
      <c r="H180" s="205"/>
      <c r="I180" s="167">
        <v>6141280182</v>
      </c>
      <c r="J180" s="166"/>
      <c r="K180" s="167">
        <v>4785430182</v>
      </c>
      <c r="L180" s="168">
        <v>1355850000</v>
      </c>
      <c r="M180" s="168">
        <v>6141280182</v>
      </c>
      <c r="N180" s="168"/>
      <c r="O180" s="167">
        <v>4845280182</v>
      </c>
      <c r="P180" s="167">
        <v>4845280182</v>
      </c>
      <c r="Q180" s="168"/>
      <c r="S180" s="201">
        <f t="shared" si="17"/>
        <v>6141.2801820000004</v>
      </c>
      <c r="T180" s="201">
        <f t="shared" si="19"/>
        <v>6141.2801820000004</v>
      </c>
      <c r="U180" s="201">
        <f t="shared" si="19"/>
        <v>0</v>
      </c>
      <c r="V180" s="201">
        <f t="shared" si="19"/>
        <v>4845.2801820000004</v>
      </c>
      <c r="W180" s="201">
        <f t="shared" si="19"/>
        <v>4845.2801820000004</v>
      </c>
      <c r="X180" s="201">
        <f t="shared" si="19"/>
        <v>0</v>
      </c>
    </row>
    <row r="181" spans="1:24" s="169" customFormat="1" ht="26.4">
      <c r="A181" s="192" t="s">
        <v>1281</v>
      </c>
      <c r="B181" s="165" t="s">
        <v>1282</v>
      </c>
      <c r="C181" s="183" t="str">
        <f t="shared" si="16"/>
        <v>1098957</v>
      </c>
      <c r="D181" s="182" t="s">
        <v>1652</v>
      </c>
      <c r="E181" s="206"/>
      <c r="F181" s="207">
        <v>511</v>
      </c>
      <c r="G181" s="207"/>
      <c r="H181" s="205"/>
      <c r="I181" s="167">
        <v>171000000</v>
      </c>
      <c r="J181" s="166"/>
      <c r="K181" s="167">
        <v>171000000</v>
      </c>
      <c r="L181" s="171"/>
      <c r="M181" s="168">
        <v>171000000</v>
      </c>
      <c r="N181" s="171"/>
      <c r="O181" s="167">
        <v>171000000</v>
      </c>
      <c r="P181" s="167">
        <v>171000000</v>
      </c>
      <c r="Q181" s="171"/>
      <c r="S181" s="201">
        <f t="shared" si="17"/>
        <v>171</v>
      </c>
      <c r="T181" s="201">
        <f t="shared" si="19"/>
        <v>171</v>
      </c>
      <c r="U181" s="201">
        <f t="shared" si="19"/>
        <v>0</v>
      </c>
      <c r="V181" s="201">
        <f t="shared" si="19"/>
        <v>171</v>
      </c>
      <c r="W181" s="201">
        <f t="shared" si="19"/>
        <v>171</v>
      </c>
      <c r="X181" s="201">
        <f t="shared" si="19"/>
        <v>0</v>
      </c>
    </row>
    <row r="182" spans="1:24" s="169" customFormat="1" ht="39.6">
      <c r="A182" s="192" t="s">
        <v>1284</v>
      </c>
      <c r="B182" s="165" t="s">
        <v>1285</v>
      </c>
      <c r="C182" s="183" t="str">
        <f t="shared" si="16"/>
        <v>1102850</v>
      </c>
      <c r="D182" s="182" t="s">
        <v>1653</v>
      </c>
      <c r="E182" s="206"/>
      <c r="F182" s="207">
        <v>412</v>
      </c>
      <c r="G182" s="207"/>
      <c r="H182" s="205"/>
      <c r="I182" s="167">
        <v>3894500000</v>
      </c>
      <c r="J182" s="166"/>
      <c r="K182" s="167">
        <v>2086000000</v>
      </c>
      <c r="L182" s="168">
        <v>1808500000</v>
      </c>
      <c r="M182" s="168">
        <v>2894500000</v>
      </c>
      <c r="N182" s="168">
        <v>1000000000</v>
      </c>
      <c r="O182" s="167">
        <v>2026025900</v>
      </c>
      <c r="P182" s="167">
        <v>2026025900</v>
      </c>
      <c r="Q182" s="168">
        <v>0</v>
      </c>
      <c r="S182" s="201">
        <f t="shared" si="17"/>
        <v>3894.5</v>
      </c>
      <c r="T182" s="201">
        <f t="shared" si="19"/>
        <v>2894.5</v>
      </c>
      <c r="U182" s="201">
        <f t="shared" si="19"/>
        <v>1000</v>
      </c>
      <c r="V182" s="201">
        <f t="shared" si="19"/>
        <v>2026.0259000000001</v>
      </c>
      <c r="W182" s="201">
        <f t="shared" si="19"/>
        <v>2026.0259000000001</v>
      </c>
      <c r="X182" s="201">
        <f t="shared" si="19"/>
        <v>0</v>
      </c>
    </row>
    <row r="183" spans="1:24" s="169" customFormat="1" ht="26.4">
      <c r="A183" s="192" t="s">
        <v>1288</v>
      </c>
      <c r="B183" s="176" t="s">
        <v>1289</v>
      </c>
      <c r="C183" s="183" t="str">
        <f t="shared" si="16"/>
        <v>1102860</v>
      </c>
      <c r="D183" s="182" t="s">
        <v>1654</v>
      </c>
      <c r="E183" s="206"/>
      <c r="F183" s="207">
        <v>599</v>
      </c>
      <c r="G183" s="207"/>
      <c r="H183" s="205"/>
      <c r="I183" s="167">
        <v>12023335321</v>
      </c>
      <c r="J183" s="167">
        <v>814797654</v>
      </c>
      <c r="K183" s="167">
        <v>10300720000</v>
      </c>
      <c r="L183" s="168">
        <v>907817667</v>
      </c>
      <c r="M183" s="168">
        <v>12023335321</v>
      </c>
      <c r="N183" s="168"/>
      <c r="O183" s="167">
        <v>11873335321</v>
      </c>
      <c r="P183" s="167">
        <v>11873335321</v>
      </c>
      <c r="Q183" s="168"/>
      <c r="S183" s="201">
        <f t="shared" si="17"/>
        <v>12023.335321</v>
      </c>
      <c r="T183" s="201">
        <f t="shared" si="19"/>
        <v>12023.335321</v>
      </c>
      <c r="U183" s="201">
        <f t="shared" si="19"/>
        <v>0</v>
      </c>
      <c r="V183" s="201">
        <f t="shared" si="19"/>
        <v>11873.335321</v>
      </c>
      <c r="W183" s="201">
        <f t="shared" si="19"/>
        <v>11873.335321</v>
      </c>
      <c r="X183" s="201">
        <f t="shared" si="19"/>
        <v>0</v>
      </c>
    </row>
    <row r="184" spans="1:24" s="169" customFormat="1" ht="39.6">
      <c r="A184" s="192" t="s">
        <v>1292</v>
      </c>
      <c r="B184" s="176" t="s">
        <v>1293</v>
      </c>
      <c r="C184" s="183" t="str">
        <f t="shared" si="16"/>
        <v>1103882</v>
      </c>
      <c r="D184" s="182" t="s">
        <v>1655</v>
      </c>
      <c r="E184" s="206"/>
      <c r="F184" s="207">
        <v>599</v>
      </c>
      <c r="G184" s="207"/>
      <c r="H184" s="205"/>
      <c r="I184" s="167">
        <v>1429280000</v>
      </c>
      <c r="J184" s="166"/>
      <c r="K184" s="167">
        <v>1429280000</v>
      </c>
      <c r="L184" s="171"/>
      <c r="M184" s="168">
        <v>1429280000</v>
      </c>
      <c r="N184" s="171"/>
      <c r="O184" s="167">
        <v>842956000</v>
      </c>
      <c r="P184" s="167">
        <v>842956000</v>
      </c>
      <c r="Q184" s="171"/>
      <c r="S184" s="201">
        <f t="shared" si="17"/>
        <v>1429.28</v>
      </c>
      <c r="T184" s="201">
        <f t="shared" ref="T184:X199" si="20">M184/1000000</f>
        <v>1429.28</v>
      </c>
      <c r="U184" s="201">
        <f t="shared" si="20"/>
        <v>0</v>
      </c>
      <c r="V184" s="201">
        <f t="shared" si="20"/>
        <v>842.95600000000002</v>
      </c>
      <c r="W184" s="201">
        <f t="shared" si="20"/>
        <v>842.95600000000002</v>
      </c>
      <c r="X184" s="201">
        <f t="shared" si="20"/>
        <v>0</v>
      </c>
    </row>
    <row r="185" spans="1:24" s="169" customFormat="1" ht="13.8">
      <c r="A185" s="192" t="s">
        <v>1295</v>
      </c>
      <c r="B185" s="164" t="s">
        <v>1296</v>
      </c>
      <c r="C185" s="183" t="str">
        <f t="shared" si="16"/>
        <v>1104765</v>
      </c>
      <c r="D185" s="182" t="s">
        <v>1526</v>
      </c>
      <c r="E185" s="206"/>
      <c r="F185" s="207">
        <v>425</v>
      </c>
      <c r="G185" s="207"/>
      <c r="H185" s="205"/>
      <c r="I185" s="167">
        <v>1452900000</v>
      </c>
      <c r="J185" s="166"/>
      <c r="K185" s="167">
        <v>1430900000</v>
      </c>
      <c r="L185" s="168">
        <v>22000000</v>
      </c>
      <c r="M185" s="168">
        <v>1452900000</v>
      </c>
      <c r="N185" s="168"/>
      <c r="O185" s="167">
        <v>1452900000</v>
      </c>
      <c r="P185" s="167">
        <v>1452900000</v>
      </c>
      <c r="Q185" s="168"/>
      <c r="S185" s="201">
        <f t="shared" si="17"/>
        <v>1452.9</v>
      </c>
      <c r="T185" s="201">
        <f t="shared" si="20"/>
        <v>1452.9</v>
      </c>
      <c r="U185" s="201">
        <f t="shared" si="20"/>
        <v>0</v>
      </c>
      <c r="V185" s="201">
        <f t="shared" si="20"/>
        <v>1452.9</v>
      </c>
      <c r="W185" s="201">
        <f t="shared" si="20"/>
        <v>1452.9</v>
      </c>
      <c r="X185" s="201">
        <f t="shared" si="20"/>
        <v>0</v>
      </c>
    </row>
    <row r="186" spans="1:24" s="169" customFormat="1" ht="39.6">
      <c r="A186" s="192" t="s">
        <v>1298</v>
      </c>
      <c r="B186" s="176" t="s">
        <v>1299</v>
      </c>
      <c r="C186" s="183" t="str">
        <f t="shared" si="16"/>
        <v>1105650</v>
      </c>
      <c r="D186" s="182" t="s">
        <v>1656</v>
      </c>
      <c r="E186" s="206"/>
      <c r="F186" s="207">
        <v>422</v>
      </c>
      <c r="G186" s="207"/>
      <c r="H186" s="205"/>
      <c r="I186" s="167">
        <v>7474643364</v>
      </c>
      <c r="J186" s="167">
        <v>73727364</v>
      </c>
      <c r="K186" s="167">
        <v>7267388000</v>
      </c>
      <c r="L186" s="168">
        <v>133528000</v>
      </c>
      <c r="M186" s="168">
        <v>7474643364</v>
      </c>
      <c r="N186" s="168"/>
      <c r="O186" s="167">
        <v>7454327414</v>
      </c>
      <c r="P186" s="167">
        <v>7454327414</v>
      </c>
      <c r="Q186" s="168"/>
      <c r="S186" s="201">
        <f t="shared" si="17"/>
        <v>7474.6433639999996</v>
      </c>
      <c r="T186" s="201">
        <f t="shared" si="20"/>
        <v>7474.6433639999996</v>
      </c>
      <c r="U186" s="201">
        <f t="shared" si="20"/>
        <v>0</v>
      </c>
      <c r="V186" s="201">
        <f t="shared" si="20"/>
        <v>7454.3274140000003</v>
      </c>
      <c r="W186" s="201">
        <f t="shared" si="20"/>
        <v>7454.3274140000003</v>
      </c>
      <c r="X186" s="201">
        <f t="shared" si="20"/>
        <v>0</v>
      </c>
    </row>
    <row r="187" spans="1:24" s="169" customFormat="1" ht="26.4">
      <c r="A187" s="192" t="s">
        <v>1301</v>
      </c>
      <c r="B187" s="165" t="s">
        <v>1302</v>
      </c>
      <c r="C187" s="183" t="str">
        <f t="shared" si="16"/>
        <v>1105744</v>
      </c>
      <c r="D187" s="182" t="s">
        <v>1603</v>
      </c>
      <c r="E187" s="206"/>
      <c r="F187" s="207">
        <v>599</v>
      </c>
      <c r="G187" s="207"/>
      <c r="H187" s="205"/>
      <c r="I187" s="167">
        <v>6078076050</v>
      </c>
      <c r="J187" s="167">
        <v>57676050</v>
      </c>
      <c r="K187" s="167">
        <v>4022400000</v>
      </c>
      <c r="L187" s="168">
        <v>1998000000</v>
      </c>
      <c r="M187" s="168">
        <v>6078076050</v>
      </c>
      <c r="N187" s="168"/>
      <c r="O187" s="167">
        <v>6077955341</v>
      </c>
      <c r="P187" s="167">
        <v>6077955341</v>
      </c>
      <c r="Q187" s="168"/>
      <c r="S187" s="201">
        <f t="shared" si="17"/>
        <v>6078.0760499999997</v>
      </c>
      <c r="T187" s="201">
        <f t="shared" si="20"/>
        <v>6078.0760499999997</v>
      </c>
      <c r="U187" s="201">
        <f t="shared" si="20"/>
        <v>0</v>
      </c>
      <c r="V187" s="201">
        <f t="shared" si="20"/>
        <v>6077.9553409999999</v>
      </c>
      <c r="W187" s="201">
        <f t="shared" si="20"/>
        <v>6077.9553409999999</v>
      </c>
      <c r="X187" s="201">
        <f t="shared" si="20"/>
        <v>0</v>
      </c>
    </row>
    <row r="188" spans="1:24" s="169" customFormat="1" ht="26.4">
      <c r="A188" s="192" t="s">
        <v>1304</v>
      </c>
      <c r="B188" s="165" t="s">
        <v>1305</v>
      </c>
      <c r="C188" s="183" t="str">
        <f t="shared" si="16"/>
        <v>1105924</v>
      </c>
      <c r="D188" s="182" t="s">
        <v>1657</v>
      </c>
      <c r="E188" s="206"/>
      <c r="F188" s="207">
        <v>511</v>
      </c>
      <c r="G188" s="207"/>
      <c r="H188" s="205"/>
      <c r="I188" s="167">
        <v>445000000</v>
      </c>
      <c r="J188" s="166"/>
      <c r="K188" s="167">
        <v>445000000</v>
      </c>
      <c r="L188" s="171"/>
      <c r="M188" s="168">
        <v>445000000</v>
      </c>
      <c r="N188" s="171"/>
      <c r="O188" s="167">
        <v>445000000</v>
      </c>
      <c r="P188" s="167">
        <v>445000000</v>
      </c>
      <c r="Q188" s="171"/>
      <c r="S188" s="201">
        <f t="shared" si="17"/>
        <v>445</v>
      </c>
      <c r="T188" s="201">
        <f t="shared" si="20"/>
        <v>445</v>
      </c>
      <c r="U188" s="201">
        <f t="shared" si="20"/>
        <v>0</v>
      </c>
      <c r="V188" s="201">
        <f t="shared" si="20"/>
        <v>445</v>
      </c>
      <c r="W188" s="201">
        <f t="shared" si="20"/>
        <v>445</v>
      </c>
      <c r="X188" s="201">
        <f t="shared" si="20"/>
        <v>0</v>
      </c>
    </row>
    <row r="189" spans="1:24" s="169" customFormat="1" ht="28.8">
      <c r="A189" s="192" t="s">
        <v>1307</v>
      </c>
      <c r="B189" s="165" t="s">
        <v>1308</v>
      </c>
      <c r="C189" s="183" t="str">
        <f t="shared" si="16"/>
        <v>1106147</v>
      </c>
      <c r="D189" s="182" t="s">
        <v>1658</v>
      </c>
      <c r="E189" s="206"/>
      <c r="F189" s="207">
        <v>422</v>
      </c>
      <c r="G189" s="207"/>
      <c r="H189" s="205"/>
      <c r="I189" s="167">
        <v>3926822000</v>
      </c>
      <c r="J189" s="166"/>
      <c r="K189" s="167">
        <v>3923421000</v>
      </c>
      <c r="L189" s="168">
        <v>3401000</v>
      </c>
      <c r="M189" s="168">
        <v>3926822000</v>
      </c>
      <c r="N189" s="168"/>
      <c r="O189" s="167">
        <v>3922581500</v>
      </c>
      <c r="P189" s="167">
        <v>3922581500</v>
      </c>
      <c r="Q189" s="168"/>
      <c r="S189" s="201">
        <f t="shared" si="17"/>
        <v>3926.8220000000001</v>
      </c>
      <c r="T189" s="201">
        <f t="shared" si="20"/>
        <v>3926.8220000000001</v>
      </c>
      <c r="U189" s="201">
        <f t="shared" si="20"/>
        <v>0</v>
      </c>
      <c r="V189" s="201">
        <f t="shared" si="20"/>
        <v>3922.5814999999998</v>
      </c>
      <c r="W189" s="201">
        <f t="shared" si="20"/>
        <v>3922.5814999999998</v>
      </c>
      <c r="X189" s="201">
        <f t="shared" si="20"/>
        <v>0</v>
      </c>
    </row>
    <row r="190" spans="1:24" s="169" customFormat="1" ht="42">
      <c r="A190" s="192" t="s">
        <v>1310</v>
      </c>
      <c r="B190" s="165" t="s">
        <v>1311</v>
      </c>
      <c r="C190" s="183" t="str">
        <f t="shared" si="16"/>
        <v>1106537</v>
      </c>
      <c r="D190" s="182" t="s">
        <v>1659</v>
      </c>
      <c r="E190" s="206"/>
      <c r="F190" s="207">
        <v>422</v>
      </c>
      <c r="G190" s="207"/>
      <c r="H190" s="205"/>
      <c r="I190" s="167">
        <v>4520596288</v>
      </c>
      <c r="J190" s="167">
        <v>106288</v>
      </c>
      <c r="K190" s="167">
        <v>4055280000</v>
      </c>
      <c r="L190" s="168">
        <v>465210000</v>
      </c>
      <c r="M190" s="168">
        <v>4520596288</v>
      </c>
      <c r="N190" s="168"/>
      <c r="O190" s="167">
        <v>4091981890</v>
      </c>
      <c r="P190" s="167">
        <v>4091981890</v>
      </c>
      <c r="Q190" s="168"/>
      <c r="S190" s="201">
        <f t="shared" si="17"/>
        <v>4520.5962879999997</v>
      </c>
      <c r="T190" s="201">
        <f t="shared" si="20"/>
        <v>4520.5962879999997</v>
      </c>
      <c r="U190" s="201">
        <f t="shared" si="20"/>
        <v>0</v>
      </c>
      <c r="V190" s="201">
        <f t="shared" si="20"/>
        <v>4091.98189</v>
      </c>
      <c r="W190" s="201">
        <f t="shared" si="20"/>
        <v>4091.98189</v>
      </c>
      <c r="X190" s="201">
        <f t="shared" si="20"/>
        <v>0</v>
      </c>
    </row>
    <row r="191" spans="1:24" s="169" customFormat="1" ht="39.6">
      <c r="A191" s="192" t="s">
        <v>1313</v>
      </c>
      <c r="B191" s="176" t="s">
        <v>1314</v>
      </c>
      <c r="C191" s="183" t="str">
        <f t="shared" si="16"/>
        <v>1107173</v>
      </c>
      <c r="D191" s="182" t="s">
        <v>1502</v>
      </c>
      <c r="E191" s="206"/>
      <c r="F191" s="207">
        <v>517</v>
      </c>
      <c r="G191" s="207"/>
      <c r="H191" s="205"/>
      <c r="I191" s="167">
        <v>202000000</v>
      </c>
      <c r="J191" s="166"/>
      <c r="K191" s="167">
        <v>202000000</v>
      </c>
      <c r="L191" s="171"/>
      <c r="M191" s="168">
        <v>202000000</v>
      </c>
      <c r="N191" s="171"/>
      <c r="O191" s="167">
        <v>201996206</v>
      </c>
      <c r="P191" s="167">
        <v>201996206</v>
      </c>
      <c r="Q191" s="171"/>
      <c r="S191" s="201">
        <f t="shared" si="17"/>
        <v>202</v>
      </c>
      <c r="T191" s="201">
        <f t="shared" si="20"/>
        <v>202</v>
      </c>
      <c r="U191" s="201">
        <f t="shared" si="20"/>
        <v>0</v>
      </c>
      <c r="V191" s="201">
        <f t="shared" si="20"/>
        <v>201.996206</v>
      </c>
      <c r="W191" s="201">
        <f t="shared" si="20"/>
        <v>201.996206</v>
      </c>
      <c r="X191" s="201">
        <f t="shared" si="20"/>
        <v>0</v>
      </c>
    </row>
    <row r="192" spans="1:24" s="169" customFormat="1" ht="26.4">
      <c r="A192" s="192" t="s">
        <v>1317</v>
      </c>
      <c r="B192" s="176" t="s">
        <v>1318</v>
      </c>
      <c r="C192" s="183" t="str">
        <f t="shared" si="16"/>
        <v>1108872</v>
      </c>
      <c r="D192" s="182" t="s">
        <v>1527</v>
      </c>
      <c r="E192" s="206"/>
      <c r="F192" s="207">
        <v>423</v>
      </c>
      <c r="G192" s="207"/>
      <c r="H192" s="205"/>
      <c r="I192" s="167">
        <v>3494539000</v>
      </c>
      <c r="J192" s="166"/>
      <c r="K192" s="167">
        <v>3286390000</v>
      </c>
      <c r="L192" s="168">
        <v>208149000</v>
      </c>
      <c r="M192" s="168">
        <v>3494539000</v>
      </c>
      <c r="N192" s="168"/>
      <c r="O192" s="167">
        <v>3494539000</v>
      </c>
      <c r="P192" s="167">
        <v>3494539000</v>
      </c>
      <c r="Q192" s="168"/>
      <c r="S192" s="201">
        <f t="shared" si="17"/>
        <v>3494.5390000000002</v>
      </c>
      <c r="T192" s="201">
        <f t="shared" si="20"/>
        <v>3494.5390000000002</v>
      </c>
      <c r="U192" s="201">
        <f t="shared" si="20"/>
        <v>0</v>
      </c>
      <c r="V192" s="201">
        <f t="shared" si="20"/>
        <v>3494.5390000000002</v>
      </c>
      <c r="W192" s="201">
        <f t="shared" si="20"/>
        <v>3494.5390000000002</v>
      </c>
      <c r="X192" s="201">
        <f t="shared" si="20"/>
        <v>0</v>
      </c>
    </row>
    <row r="193" spans="1:24" s="169" customFormat="1" ht="39.6">
      <c r="A193" s="192" t="s">
        <v>1321</v>
      </c>
      <c r="B193" s="165" t="s">
        <v>1322</v>
      </c>
      <c r="C193" s="183" t="str">
        <f t="shared" si="16"/>
        <v>1109490</v>
      </c>
      <c r="D193" s="182" t="s">
        <v>1660</v>
      </c>
      <c r="E193" s="206"/>
      <c r="F193" s="207">
        <v>417</v>
      </c>
      <c r="G193" s="207"/>
      <c r="H193" s="205"/>
      <c r="I193" s="167">
        <v>741076918</v>
      </c>
      <c r="J193" s="167">
        <v>76918</v>
      </c>
      <c r="K193" s="167">
        <v>732700000</v>
      </c>
      <c r="L193" s="168">
        <v>8300000</v>
      </c>
      <c r="M193" s="168">
        <v>741076918</v>
      </c>
      <c r="N193" s="168"/>
      <c r="O193" s="167">
        <v>719092918</v>
      </c>
      <c r="P193" s="167">
        <v>719092918</v>
      </c>
      <c r="Q193" s="168"/>
      <c r="S193" s="201">
        <f t="shared" si="17"/>
        <v>741.07691799999998</v>
      </c>
      <c r="T193" s="201">
        <f t="shared" si="20"/>
        <v>741.07691799999998</v>
      </c>
      <c r="U193" s="201">
        <f t="shared" si="20"/>
        <v>0</v>
      </c>
      <c r="V193" s="201">
        <f t="shared" si="20"/>
        <v>719.09291800000005</v>
      </c>
      <c r="W193" s="201">
        <f t="shared" si="20"/>
        <v>719.09291800000005</v>
      </c>
      <c r="X193" s="201">
        <f t="shared" si="20"/>
        <v>0</v>
      </c>
    </row>
    <row r="194" spans="1:24" s="169" customFormat="1" ht="26.4">
      <c r="A194" s="192" t="s">
        <v>1324</v>
      </c>
      <c r="B194" s="176" t="s">
        <v>1325</v>
      </c>
      <c r="C194" s="183" t="str">
        <f t="shared" si="16"/>
        <v>1112480</v>
      </c>
      <c r="D194" s="182" t="s">
        <v>1548</v>
      </c>
      <c r="E194" s="206"/>
      <c r="F194" s="207">
        <v>599</v>
      </c>
      <c r="G194" s="207"/>
      <c r="H194" s="205"/>
      <c r="I194" s="167">
        <v>32864412505</v>
      </c>
      <c r="J194" s="167">
        <v>320412505</v>
      </c>
      <c r="K194" s="167">
        <v>21947000000</v>
      </c>
      <c r="L194" s="168">
        <v>10597000000</v>
      </c>
      <c r="M194" s="168">
        <v>32864412505</v>
      </c>
      <c r="N194" s="168"/>
      <c r="O194" s="167">
        <v>31124412502</v>
      </c>
      <c r="P194" s="167">
        <v>31124412502</v>
      </c>
      <c r="Q194" s="168"/>
      <c r="S194" s="201">
        <f t="shared" si="17"/>
        <v>32864.412505</v>
      </c>
      <c r="T194" s="201">
        <f t="shared" si="20"/>
        <v>32864.412505</v>
      </c>
      <c r="U194" s="201">
        <f t="shared" si="20"/>
        <v>0</v>
      </c>
      <c r="V194" s="201">
        <f t="shared" si="20"/>
        <v>31124.412501999999</v>
      </c>
      <c r="W194" s="201">
        <f t="shared" si="20"/>
        <v>31124.412501999999</v>
      </c>
      <c r="X194" s="201">
        <f t="shared" si="20"/>
        <v>0</v>
      </c>
    </row>
    <row r="195" spans="1:24" s="169" customFormat="1" ht="26.4">
      <c r="A195" s="192" t="s">
        <v>1327</v>
      </c>
      <c r="B195" s="165" t="s">
        <v>1328</v>
      </c>
      <c r="C195" s="183" t="str">
        <f t="shared" si="16"/>
        <v>1113386</v>
      </c>
      <c r="D195" s="182" t="s">
        <v>1661</v>
      </c>
      <c r="E195" s="206"/>
      <c r="F195" s="207">
        <v>435</v>
      </c>
      <c r="G195" s="207"/>
      <c r="H195" s="205"/>
      <c r="I195" s="167">
        <v>1396200000</v>
      </c>
      <c r="J195" s="166"/>
      <c r="K195" s="167">
        <v>1262000000</v>
      </c>
      <c r="L195" s="168">
        <v>134200000</v>
      </c>
      <c r="M195" s="168">
        <v>1396200000</v>
      </c>
      <c r="N195" s="168"/>
      <c r="O195" s="167">
        <v>1396200000</v>
      </c>
      <c r="P195" s="167">
        <v>1396200000</v>
      </c>
      <c r="Q195" s="168"/>
      <c r="S195" s="201">
        <f t="shared" si="17"/>
        <v>1396.2</v>
      </c>
      <c r="T195" s="201">
        <f t="shared" si="20"/>
        <v>1396.2</v>
      </c>
      <c r="U195" s="201">
        <f t="shared" si="20"/>
        <v>0</v>
      </c>
      <c r="V195" s="201">
        <f t="shared" si="20"/>
        <v>1396.2</v>
      </c>
      <c r="W195" s="201">
        <f t="shared" si="20"/>
        <v>1396.2</v>
      </c>
      <c r="X195" s="201">
        <f t="shared" si="20"/>
        <v>0</v>
      </c>
    </row>
    <row r="196" spans="1:24" s="169" customFormat="1" ht="39.6">
      <c r="A196" s="192" t="s">
        <v>1330</v>
      </c>
      <c r="B196" s="165" t="s">
        <v>1331</v>
      </c>
      <c r="C196" s="183" t="str">
        <f t="shared" si="16"/>
        <v>1114113</v>
      </c>
      <c r="D196" s="182" t="s">
        <v>1662</v>
      </c>
      <c r="E196" s="206"/>
      <c r="F196" s="207">
        <v>411</v>
      </c>
      <c r="G196" s="207"/>
      <c r="H196" s="205"/>
      <c r="I196" s="167">
        <v>33874205973</v>
      </c>
      <c r="J196" s="167">
        <v>18819205973</v>
      </c>
      <c r="K196" s="167">
        <v>15055000000</v>
      </c>
      <c r="L196" s="171"/>
      <c r="M196" s="168">
        <v>33874205973</v>
      </c>
      <c r="N196" s="171"/>
      <c r="O196" s="167">
        <v>33874205973</v>
      </c>
      <c r="P196" s="167">
        <v>33874205973</v>
      </c>
      <c r="Q196" s="171"/>
      <c r="S196" s="201">
        <f t="shared" si="17"/>
        <v>33874.205972999996</v>
      </c>
      <c r="T196" s="201">
        <f t="shared" si="20"/>
        <v>33874.205972999996</v>
      </c>
      <c r="U196" s="201">
        <f t="shared" si="20"/>
        <v>0</v>
      </c>
      <c r="V196" s="201">
        <f t="shared" si="20"/>
        <v>33874.205972999996</v>
      </c>
      <c r="W196" s="201">
        <f t="shared" si="20"/>
        <v>33874.205972999996</v>
      </c>
      <c r="X196" s="201">
        <f t="shared" si="20"/>
        <v>0</v>
      </c>
    </row>
    <row r="197" spans="1:24" s="169" customFormat="1" ht="26.4">
      <c r="A197" s="192" t="s">
        <v>1333</v>
      </c>
      <c r="B197" s="165" t="s">
        <v>1334</v>
      </c>
      <c r="C197" s="183" t="str">
        <f t="shared" si="16"/>
        <v>1114511</v>
      </c>
      <c r="D197" s="182" t="s">
        <v>1663</v>
      </c>
      <c r="E197" s="206"/>
      <c r="F197" s="207">
        <v>423</v>
      </c>
      <c r="G197" s="207"/>
      <c r="H197" s="205"/>
      <c r="I197" s="167">
        <v>3210000000</v>
      </c>
      <c r="J197" s="166"/>
      <c r="K197" s="167">
        <v>3664950000</v>
      </c>
      <c r="L197" s="168">
        <v>-454950000</v>
      </c>
      <c r="M197" s="168">
        <v>3210000000</v>
      </c>
      <c r="N197" s="168"/>
      <c r="O197" s="167">
        <v>3210000000</v>
      </c>
      <c r="P197" s="167">
        <v>3210000000</v>
      </c>
      <c r="Q197" s="168"/>
      <c r="S197" s="201">
        <f t="shared" si="17"/>
        <v>3210</v>
      </c>
      <c r="T197" s="201">
        <f t="shared" si="20"/>
        <v>3210</v>
      </c>
      <c r="U197" s="201">
        <f t="shared" si="20"/>
        <v>0</v>
      </c>
      <c r="V197" s="201">
        <f t="shared" si="20"/>
        <v>3210</v>
      </c>
      <c r="W197" s="201">
        <f t="shared" si="20"/>
        <v>3210</v>
      </c>
      <c r="X197" s="201">
        <f t="shared" si="20"/>
        <v>0</v>
      </c>
    </row>
    <row r="198" spans="1:24" s="169" customFormat="1" ht="26.4">
      <c r="A198" s="192" t="s">
        <v>1336</v>
      </c>
      <c r="B198" s="165" t="s">
        <v>1337</v>
      </c>
      <c r="C198" s="183" t="str">
        <f t="shared" si="16"/>
        <v>1115051</v>
      </c>
      <c r="D198" s="182" t="s">
        <v>1549</v>
      </c>
      <c r="E198" s="206"/>
      <c r="F198" s="207">
        <v>599</v>
      </c>
      <c r="G198" s="207"/>
      <c r="H198" s="205"/>
      <c r="I198" s="167">
        <v>96000000</v>
      </c>
      <c r="J198" s="166"/>
      <c r="K198" s="167">
        <v>96000000</v>
      </c>
      <c r="L198" s="171"/>
      <c r="M198" s="168">
        <v>96000000</v>
      </c>
      <c r="N198" s="171"/>
      <c r="O198" s="167">
        <v>96000000</v>
      </c>
      <c r="P198" s="167">
        <v>96000000</v>
      </c>
      <c r="Q198" s="171"/>
      <c r="S198" s="201">
        <f t="shared" si="17"/>
        <v>96</v>
      </c>
      <c r="T198" s="201">
        <f t="shared" si="20"/>
        <v>96</v>
      </c>
      <c r="U198" s="201">
        <f t="shared" si="20"/>
        <v>0</v>
      </c>
      <c r="V198" s="201">
        <f t="shared" si="20"/>
        <v>96</v>
      </c>
      <c r="W198" s="201">
        <f t="shared" si="20"/>
        <v>96</v>
      </c>
      <c r="X198" s="201">
        <f t="shared" si="20"/>
        <v>0</v>
      </c>
    </row>
    <row r="199" spans="1:24" s="169" customFormat="1" ht="39.6">
      <c r="A199" s="192" t="s">
        <v>1339</v>
      </c>
      <c r="B199" s="165" t="s">
        <v>1340</v>
      </c>
      <c r="C199" s="183" t="str">
        <f t="shared" si="16"/>
        <v>1115161</v>
      </c>
      <c r="D199" s="182" t="s">
        <v>1664</v>
      </c>
      <c r="E199" s="206"/>
      <c r="F199" s="207">
        <v>422</v>
      </c>
      <c r="G199" s="207"/>
      <c r="H199" s="205"/>
      <c r="I199" s="167">
        <v>25040000000</v>
      </c>
      <c r="J199" s="166"/>
      <c r="K199" s="167">
        <v>5775000000</v>
      </c>
      <c r="L199" s="168">
        <v>19265000000</v>
      </c>
      <c r="M199" s="168">
        <v>25040000000</v>
      </c>
      <c r="N199" s="168"/>
      <c r="O199" s="167">
        <v>24072585000</v>
      </c>
      <c r="P199" s="167">
        <v>24072585000</v>
      </c>
      <c r="Q199" s="168"/>
      <c r="S199" s="201">
        <f t="shared" si="17"/>
        <v>25040</v>
      </c>
      <c r="T199" s="201">
        <f t="shared" si="20"/>
        <v>25040</v>
      </c>
      <c r="U199" s="201">
        <f t="shared" si="20"/>
        <v>0</v>
      </c>
      <c r="V199" s="201">
        <f t="shared" si="20"/>
        <v>24072.584999999999</v>
      </c>
      <c r="W199" s="201">
        <f t="shared" si="20"/>
        <v>24072.584999999999</v>
      </c>
      <c r="X199" s="201">
        <f t="shared" si="20"/>
        <v>0</v>
      </c>
    </row>
    <row r="200" spans="1:24" s="169" customFormat="1" ht="26.4">
      <c r="A200" s="192" t="s">
        <v>1343</v>
      </c>
      <c r="B200" s="165" t="s">
        <v>1344</v>
      </c>
      <c r="C200" s="183" t="str">
        <f t="shared" si="16"/>
        <v>1115609</v>
      </c>
      <c r="D200" s="182" t="s">
        <v>1550</v>
      </c>
      <c r="E200" s="206"/>
      <c r="F200" s="207">
        <v>413</v>
      </c>
      <c r="G200" s="207"/>
      <c r="H200" s="205"/>
      <c r="I200" s="167">
        <v>382000000</v>
      </c>
      <c r="J200" s="166"/>
      <c r="K200" s="167">
        <v>382000000</v>
      </c>
      <c r="L200" s="171"/>
      <c r="M200" s="168">
        <v>382000000</v>
      </c>
      <c r="N200" s="171"/>
      <c r="O200" s="167">
        <v>375535674</v>
      </c>
      <c r="P200" s="167">
        <v>375535674</v>
      </c>
      <c r="Q200" s="171"/>
      <c r="S200" s="201">
        <f t="shared" si="17"/>
        <v>382</v>
      </c>
      <c r="T200" s="201">
        <f t="shared" ref="T200:X215" si="21">M200/1000000</f>
        <v>382</v>
      </c>
      <c r="U200" s="201">
        <f t="shared" si="21"/>
        <v>0</v>
      </c>
      <c r="V200" s="201">
        <f t="shared" si="21"/>
        <v>375.53567399999997</v>
      </c>
      <c r="W200" s="201">
        <f t="shared" si="21"/>
        <v>375.53567399999997</v>
      </c>
      <c r="X200" s="201">
        <f t="shared" si="21"/>
        <v>0</v>
      </c>
    </row>
    <row r="201" spans="1:24" s="169" customFormat="1" ht="26.4">
      <c r="A201" s="192" t="s">
        <v>1346</v>
      </c>
      <c r="B201" s="165" t="s">
        <v>1347</v>
      </c>
      <c r="C201" s="183" t="str">
        <f t="shared" si="16"/>
        <v>1117920</v>
      </c>
      <c r="D201" s="182" t="s">
        <v>1665</v>
      </c>
      <c r="E201" s="206"/>
      <c r="F201" s="207">
        <v>599</v>
      </c>
      <c r="G201" s="207"/>
      <c r="H201" s="205"/>
      <c r="I201" s="167">
        <v>20000000</v>
      </c>
      <c r="J201" s="166"/>
      <c r="K201" s="167">
        <v>20000000</v>
      </c>
      <c r="L201" s="171"/>
      <c r="M201" s="168">
        <v>20000000</v>
      </c>
      <c r="N201" s="171"/>
      <c r="O201" s="167">
        <v>20000000</v>
      </c>
      <c r="P201" s="167">
        <v>20000000</v>
      </c>
      <c r="Q201" s="171"/>
      <c r="S201" s="201">
        <f t="shared" si="17"/>
        <v>20</v>
      </c>
      <c r="T201" s="201">
        <f t="shared" si="21"/>
        <v>20</v>
      </c>
      <c r="U201" s="201">
        <f t="shared" si="21"/>
        <v>0</v>
      </c>
      <c r="V201" s="201">
        <f t="shared" si="21"/>
        <v>20</v>
      </c>
      <c r="W201" s="201">
        <f t="shared" si="21"/>
        <v>20</v>
      </c>
      <c r="X201" s="201">
        <f t="shared" si="21"/>
        <v>0</v>
      </c>
    </row>
    <row r="202" spans="1:24" s="169" customFormat="1" ht="39.6">
      <c r="A202" s="192" t="s">
        <v>1349</v>
      </c>
      <c r="B202" s="165" t="s">
        <v>1350</v>
      </c>
      <c r="C202" s="183" t="str">
        <f t="shared" si="16"/>
        <v>1118341</v>
      </c>
      <c r="D202" s="182" t="e">
        <f>-Phân hiệu trường phổ thông Dân tộc nội trú huyện Kon Plông</f>
        <v>#NAME?</v>
      </c>
      <c r="E202" s="206"/>
      <c r="F202" s="207">
        <v>422</v>
      </c>
      <c r="G202" s="207"/>
      <c r="H202" s="205"/>
      <c r="I202" s="167">
        <v>4513019000</v>
      </c>
      <c r="J202" s="167">
        <v>28215000</v>
      </c>
      <c r="K202" s="167">
        <v>4153169000</v>
      </c>
      <c r="L202" s="168">
        <v>331635000</v>
      </c>
      <c r="M202" s="168">
        <v>4513019000</v>
      </c>
      <c r="N202" s="168"/>
      <c r="O202" s="167">
        <v>4229034000</v>
      </c>
      <c r="P202" s="167">
        <v>4229034000</v>
      </c>
      <c r="Q202" s="168"/>
      <c r="S202" s="201">
        <f t="shared" si="17"/>
        <v>4513.0190000000002</v>
      </c>
      <c r="T202" s="201">
        <f t="shared" si="21"/>
        <v>4513.0190000000002</v>
      </c>
      <c r="U202" s="201">
        <f t="shared" si="21"/>
        <v>0</v>
      </c>
      <c r="V202" s="201">
        <f t="shared" si="21"/>
        <v>4229.0339999999997</v>
      </c>
      <c r="W202" s="201">
        <f t="shared" si="21"/>
        <v>4229.0339999999997</v>
      </c>
      <c r="X202" s="201">
        <f t="shared" si="21"/>
        <v>0</v>
      </c>
    </row>
    <row r="203" spans="1:24" s="169" customFormat="1" ht="39.6">
      <c r="A203" s="192" t="s">
        <v>1352</v>
      </c>
      <c r="B203" s="165" t="s">
        <v>1353</v>
      </c>
      <c r="C203" s="183" t="str">
        <f t="shared" si="16"/>
        <v>1118342</v>
      </c>
      <c r="D203" s="182" t="s">
        <v>1666</v>
      </c>
      <c r="E203" s="206"/>
      <c r="F203" s="207">
        <v>422</v>
      </c>
      <c r="G203" s="207"/>
      <c r="H203" s="205"/>
      <c r="I203" s="167">
        <v>3898006157</v>
      </c>
      <c r="J203" s="167">
        <v>58411157</v>
      </c>
      <c r="K203" s="167">
        <v>3759257000</v>
      </c>
      <c r="L203" s="168">
        <v>80338000</v>
      </c>
      <c r="M203" s="168">
        <v>3898006157</v>
      </c>
      <c r="N203" s="168"/>
      <c r="O203" s="167">
        <v>3879514637</v>
      </c>
      <c r="P203" s="167">
        <v>3879514637</v>
      </c>
      <c r="Q203" s="168"/>
      <c r="S203" s="201">
        <f t="shared" si="17"/>
        <v>3898.0061569999998</v>
      </c>
      <c r="T203" s="201">
        <f t="shared" si="21"/>
        <v>3898.0061569999998</v>
      </c>
      <c r="U203" s="201">
        <f t="shared" si="21"/>
        <v>0</v>
      </c>
      <c r="V203" s="201">
        <f t="shared" si="21"/>
        <v>3879.5146370000002</v>
      </c>
      <c r="W203" s="201">
        <f t="shared" si="21"/>
        <v>3879.5146370000002</v>
      </c>
      <c r="X203" s="201">
        <f t="shared" si="21"/>
        <v>0</v>
      </c>
    </row>
    <row r="204" spans="1:24" s="169" customFormat="1" ht="26.4">
      <c r="A204" s="192" t="s">
        <v>1355</v>
      </c>
      <c r="B204" s="165" t="s">
        <v>1356</v>
      </c>
      <c r="C204" s="183" t="str">
        <f t="shared" si="16"/>
        <v>1121877</v>
      </c>
      <c r="D204" s="182" t="s">
        <v>1667</v>
      </c>
      <c r="E204" s="206"/>
      <c r="F204" s="207">
        <v>513</v>
      </c>
      <c r="G204" s="207"/>
      <c r="H204" s="205"/>
      <c r="I204" s="167">
        <v>135000000</v>
      </c>
      <c r="J204" s="166"/>
      <c r="K204" s="167">
        <v>135000000</v>
      </c>
      <c r="L204" s="171"/>
      <c r="M204" s="168">
        <v>135000000</v>
      </c>
      <c r="N204" s="171"/>
      <c r="O204" s="167">
        <v>80553200</v>
      </c>
      <c r="P204" s="167">
        <v>80553200</v>
      </c>
      <c r="Q204" s="171"/>
      <c r="S204" s="201">
        <f t="shared" si="17"/>
        <v>135</v>
      </c>
      <c r="T204" s="201">
        <f t="shared" si="21"/>
        <v>135</v>
      </c>
      <c r="U204" s="201">
        <f t="shared" si="21"/>
        <v>0</v>
      </c>
      <c r="V204" s="201">
        <f t="shared" si="21"/>
        <v>80.553200000000004</v>
      </c>
      <c r="W204" s="201">
        <f t="shared" si="21"/>
        <v>80.553200000000004</v>
      </c>
      <c r="X204" s="201">
        <f t="shared" si="21"/>
        <v>0</v>
      </c>
    </row>
    <row r="205" spans="1:24" s="169" customFormat="1" ht="13.8">
      <c r="A205" s="192" t="s">
        <v>1358</v>
      </c>
      <c r="B205" s="170" t="s">
        <v>1359</v>
      </c>
      <c r="C205" s="183" t="str">
        <f t="shared" si="16"/>
        <v>1121980</v>
      </c>
      <c r="D205" s="182" t="s">
        <v>1668</v>
      </c>
      <c r="E205" s="206"/>
      <c r="F205" s="207">
        <v>412</v>
      </c>
      <c r="G205" s="207"/>
      <c r="H205" s="205"/>
      <c r="I205" s="167">
        <v>2905295746</v>
      </c>
      <c r="J205" s="167">
        <v>77395746</v>
      </c>
      <c r="K205" s="167">
        <v>2783300000</v>
      </c>
      <c r="L205" s="168">
        <v>44600000</v>
      </c>
      <c r="M205" s="168">
        <v>2905295746</v>
      </c>
      <c r="N205" s="168"/>
      <c r="O205" s="167">
        <v>2905295746</v>
      </c>
      <c r="P205" s="167">
        <v>2905295746</v>
      </c>
      <c r="Q205" s="168"/>
      <c r="S205" s="201">
        <f t="shared" si="17"/>
        <v>2905.2957459999998</v>
      </c>
      <c r="T205" s="201">
        <f t="shared" si="21"/>
        <v>2905.2957459999998</v>
      </c>
      <c r="U205" s="201">
        <f t="shared" si="21"/>
        <v>0</v>
      </c>
      <c r="V205" s="201">
        <f t="shared" si="21"/>
        <v>2905.2957459999998</v>
      </c>
      <c r="W205" s="201">
        <f t="shared" si="21"/>
        <v>2905.2957459999998</v>
      </c>
      <c r="X205" s="201">
        <f t="shared" si="21"/>
        <v>0</v>
      </c>
    </row>
    <row r="206" spans="1:24" s="169" customFormat="1" ht="26.4">
      <c r="A206" s="192" t="s">
        <v>1361</v>
      </c>
      <c r="B206" s="165" t="s">
        <v>1362</v>
      </c>
      <c r="C206" s="183" t="str">
        <f t="shared" si="16"/>
        <v>1122826</v>
      </c>
      <c r="D206" s="182" t="s">
        <v>1604</v>
      </c>
      <c r="E206" s="206"/>
      <c r="F206" s="207">
        <v>423</v>
      </c>
      <c r="G206" s="207"/>
      <c r="H206" s="205"/>
      <c r="I206" s="167">
        <v>7497797682</v>
      </c>
      <c r="J206" s="167">
        <v>138277682</v>
      </c>
      <c r="K206" s="167">
        <v>5925000000</v>
      </c>
      <c r="L206" s="168">
        <v>1434520000</v>
      </c>
      <c r="M206" s="168">
        <v>7497797682</v>
      </c>
      <c r="N206" s="168"/>
      <c r="O206" s="167">
        <v>7186802082</v>
      </c>
      <c r="P206" s="167">
        <v>7186802082</v>
      </c>
      <c r="Q206" s="168"/>
      <c r="S206" s="201">
        <f t="shared" si="17"/>
        <v>7497.7976820000003</v>
      </c>
      <c r="T206" s="201">
        <f t="shared" si="21"/>
        <v>7497.7976820000003</v>
      </c>
      <c r="U206" s="201">
        <f t="shared" si="21"/>
        <v>0</v>
      </c>
      <c r="V206" s="201">
        <f t="shared" si="21"/>
        <v>7186.8020820000002</v>
      </c>
      <c r="W206" s="201">
        <f t="shared" si="21"/>
        <v>7186.8020820000002</v>
      </c>
      <c r="X206" s="201">
        <f t="shared" si="21"/>
        <v>0</v>
      </c>
    </row>
    <row r="207" spans="1:24" s="169" customFormat="1" ht="27.6">
      <c r="A207" s="192" t="s">
        <v>1365</v>
      </c>
      <c r="B207" s="176" t="s">
        <v>1366</v>
      </c>
      <c r="C207" s="183" t="str">
        <f t="shared" si="16"/>
        <v>1123107</v>
      </c>
      <c r="D207" s="182" t="s">
        <v>1631</v>
      </c>
      <c r="E207" s="206"/>
      <c r="F207" s="207">
        <v>435</v>
      </c>
      <c r="G207" s="207"/>
      <c r="H207" s="205"/>
      <c r="I207" s="167">
        <v>4124230000</v>
      </c>
      <c r="J207" s="167">
        <v>9830000</v>
      </c>
      <c r="K207" s="167">
        <v>4032000000</v>
      </c>
      <c r="L207" s="168">
        <v>82400000</v>
      </c>
      <c r="M207" s="168">
        <v>4124230000</v>
      </c>
      <c r="N207" s="168"/>
      <c r="O207" s="167">
        <v>3689429986</v>
      </c>
      <c r="P207" s="167">
        <v>3689429986</v>
      </c>
      <c r="Q207" s="168"/>
      <c r="S207" s="201">
        <f t="shared" si="17"/>
        <v>4124.2299999999996</v>
      </c>
      <c r="T207" s="201">
        <f t="shared" si="21"/>
        <v>4124.2299999999996</v>
      </c>
      <c r="U207" s="201">
        <f t="shared" si="21"/>
        <v>0</v>
      </c>
      <c r="V207" s="201">
        <f t="shared" si="21"/>
        <v>3689.4299860000001</v>
      </c>
      <c r="W207" s="201">
        <f t="shared" si="21"/>
        <v>3689.4299860000001</v>
      </c>
      <c r="X207" s="201">
        <f t="shared" si="21"/>
        <v>0</v>
      </c>
    </row>
    <row r="208" spans="1:24" s="169" customFormat="1" ht="26.4">
      <c r="A208" s="192" t="s">
        <v>1368</v>
      </c>
      <c r="B208" s="176" t="s">
        <v>1369</v>
      </c>
      <c r="C208" s="183" t="str">
        <f t="shared" si="16"/>
        <v>1123126</v>
      </c>
      <c r="D208" s="182" t="s">
        <v>1632</v>
      </c>
      <c r="E208" s="206"/>
      <c r="F208" s="207">
        <v>435</v>
      </c>
      <c r="G208" s="207"/>
      <c r="H208" s="205"/>
      <c r="I208" s="167">
        <v>2425340000</v>
      </c>
      <c r="J208" s="167">
        <v>37040000</v>
      </c>
      <c r="K208" s="167">
        <v>2017000000</v>
      </c>
      <c r="L208" s="168">
        <v>371300000</v>
      </c>
      <c r="M208" s="168">
        <v>2425340000</v>
      </c>
      <c r="N208" s="168"/>
      <c r="O208" s="167">
        <v>2314881159</v>
      </c>
      <c r="P208" s="167">
        <v>2314881159</v>
      </c>
      <c r="Q208" s="168"/>
      <c r="S208" s="201">
        <f t="shared" si="17"/>
        <v>2425.34</v>
      </c>
      <c r="T208" s="201">
        <f t="shared" si="21"/>
        <v>2425.34</v>
      </c>
      <c r="U208" s="201">
        <f t="shared" si="21"/>
        <v>0</v>
      </c>
      <c r="V208" s="201">
        <f t="shared" si="21"/>
        <v>2314.881159</v>
      </c>
      <c r="W208" s="201">
        <f t="shared" si="21"/>
        <v>2314.881159</v>
      </c>
      <c r="X208" s="201">
        <f t="shared" si="21"/>
        <v>0</v>
      </c>
    </row>
    <row r="209" spans="1:24" s="169" customFormat="1" ht="26.4">
      <c r="A209" s="192" t="s">
        <v>1371</v>
      </c>
      <c r="B209" s="176" t="s">
        <v>1372</v>
      </c>
      <c r="C209" s="183" t="str">
        <f t="shared" si="16"/>
        <v>1123648</v>
      </c>
      <c r="D209" s="182" t="s">
        <v>1528</v>
      </c>
      <c r="E209" s="206"/>
      <c r="F209" s="207">
        <v>423</v>
      </c>
      <c r="G209" s="207"/>
      <c r="H209" s="205"/>
      <c r="I209" s="167">
        <v>1952810000</v>
      </c>
      <c r="J209" s="166"/>
      <c r="K209" s="167">
        <v>1452810000</v>
      </c>
      <c r="L209" s="168">
        <v>500000000</v>
      </c>
      <c r="M209" s="168">
        <v>1952810000</v>
      </c>
      <c r="N209" s="168"/>
      <c r="O209" s="167">
        <v>1952810000</v>
      </c>
      <c r="P209" s="167">
        <v>1952810000</v>
      </c>
      <c r="Q209" s="168"/>
      <c r="S209" s="201">
        <f t="shared" si="17"/>
        <v>1952.81</v>
      </c>
      <c r="T209" s="201">
        <f t="shared" si="21"/>
        <v>1952.81</v>
      </c>
      <c r="U209" s="201">
        <f t="shared" si="21"/>
        <v>0</v>
      </c>
      <c r="V209" s="201">
        <f t="shared" si="21"/>
        <v>1952.81</v>
      </c>
      <c r="W209" s="201">
        <f t="shared" si="21"/>
        <v>1952.81</v>
      </c>
      <c r="X209" s="201">
        <f t="shared" si="21"/>
        <v>0</v>
      </c>
    </row>
    <row r="210" spans="1:24" s="169" customFormat="1" ht="39.6">
      <c r="A210" s="192" t="s">
        <v>1374</v>
      </c>
      <c r="B210" s="176" t="s">
        <v>1375</v>
      </c>
      <c r="C210" s="183" t="str">
        <f t="shared" si="16"/>
        <v>1124495</v>
      </c>
      <c r="D210" s="182" t="s">
        <v>1503</v>
      </c>
      <c r="E210" s="206"/>
      <c r="F210" s="207">
        <v>559</v>
      </c>
      <c r="G210" s="207"/>
      <c r="H210" s="205"/>
      <c r="I210" s="167">
        <v>776475243</v>
      </c>
      <c r="J210" s="166"/>
      <c r="K210" s="167">
        <v>776475243</v>
      </c>
      <c r="L210" s="171"/>
      <c r="M210" s="168">
        <v>776475243</v>
      </c>
      <c r="N210" s="171"/>
      <c r="O210" s="167">
        <v>776475243</v>
      </c>
      <c r="P210" s="167">
        <v>776475243</v>
      </c>
      <c r="Q210" s="171"/>
      <c r="S210" s="201">
        <f t="shared" si="17"/>
        <v>776.47524299999998</v>
      </c>
      <c r="T210" s="201">
        <f t="shared" si="21"/>
        <v>776.47524299999998</v>
      </c>
      <c r="U210" s="201">
        <f t="shared" si="21"/>
        <v>0</v>
      </c>
      <c r="V210" s="201">
        <f t="shared" si="21"/>
        <v>776.47524299999998</v>
      </c>
      <c r="W210" s="201">
        <f t="shared" si="21"/>
        <v>776.47524299999998</v>
      </c>
      <c r="X210" s="201">
        <f t="shared" si="21"/>
        <v>0</v>
      </c>
    </row>
    <row r="211" spans="1:24" s="169" customFormat="1" ht="26.4">
      <c r="A211" s="192" t="s">
        <v>1050</v>
      </c>
      <c r="B211" s="176" t="s">
        <v>1377</v>
      </c>
      <c r="C211" s="183" t="str">
        <f t="shared" si="16"/>
        <v>1124496</v>
      </c>
      <c r="D211" s="182" t="s">
        <v>1572</v>
      </c>
      <c r="E211" s="206"/>
      <c r="F211" s="207">
        <v>412</v>
      </c>
      <c r="G211" s="207"/>
      <c r="H211" s="205"/>
      <c r="I211" s="167">
        <v>665500000</v>
      </c>
      <c r="J211" s="166"/>
      <c r="K211" s="167">
        <v>657500000</v>
      </c>
      <c r="L211" s="168">
        <v>8000000</v>
      </c>
      <c r="M211" s="168">
        <v>665500000</v>
      </c>
      <c r="N211" s="168"/>
      <c r="O211" s="167">
        <v>665500000</v>
      </c>
      <c r="P211" s="167">
        <v>665500000</v>
      </c>
      <c r="Q211" s="168"/>
      <c r="S211" s="201">
        <f t="shared" si="17"/>
        <v>665.5</v>
      </c>
      <c r="T211" s="201">
        <f t="shared" si="21"/>
        <v>665.5</v>
      </c>
      <c r="U211" s="201">
        <f t="shared" si="21"/>
        <v>0</v>
      </c>
      <c r="V211" s="201">
        <f t="shared" si="21"/>
        <v>665.5</v>
      </c>
      <c r="W211" s="201">
        <f t="shared" si="21"/>
        <v>665.5</v>
      </c>
      <c r="X211" s="201">
        <f t="shared" si="21"/>
        <v>0</v>
      </c>
    </row>
    <row r="212" spans="1:24" s="169" customFormat="1" ht="52.8">
      <c r="A212" s="192" t="s">
        <v>1379</v>
      </c>
      <c r="B212" s="165" t="s">
        <v>1380</v>
      </c>
      <c r="C212" s="183" t="str">
        <f t="shared" si="16"/>
        <v>1124841</v>
      </c>
      <c r="D212" s="182" t="s">
        <v>1669</v>
      </c>
      <c r="E212" s="206"/>
      <c r="F212" s="207">
        <v>599</v>
      </c>
      <c r="G212" s="207"/>
      <c r="H212" s="205"/>
      <c r="I212" s="167">
        <v>720000000</v>
      </c>
      <c r="J212" s="166"/>
      <c r="K212" s="166"/>
      <c r="L212" s="168">
        <v>720000000</v>
      </c>
      <c r="M212" s="168">
        <v>720000000</v>
      </c>
      <c r="N212" s="168"/>
      <c r="O212" s="167">
        <v>505704737</v>
      </c>
      <c r="P212" s="167">
        <v>505704737</v>
      </c>
      <c r="Q212" s="168"/>
      <c r="S212" s="201">
        <f t="shared" si="17"/>
        <v>720</v>
      </c>
      <c r="T212" s="201">
        <f t="shared" si="21"/>
        <v>720</v>
      </c>
      <c r="U212" s="201">
        <f t="shared" si="21"/>
        <v>0</v>
      </c>
      <c r="V212" s="201">
        <f t="shared" si="21"/>
        <v>505.70473700000002</v>
      </c>
      <c r="W212" s="201">
        <f t="shared" si="21"/>
        <v>505.70473700000002</v>
      </c>
      <c r="X212" s="201">
        <f t="shared" si="21"/>
        <v>0</v>
      </c>
    </row>
    <row r="213" spans="1:24" s="169" customFormat="1" ht="39.6">
      <c r="A213" s="192" t="s">
        <v>1382</v>
      </c>
      <c r="B213" s="165" t="s">
        <v>1383</v>
      </c>
      <c r="C213" s="183" t="str">
        <f t="shared" si="16"/>
        <v>1125130</v>
      </c>
      <c r="D213" s="182" t="s">
        <v>1504</v>
      </c>
      <c r="E213" s="206"/>
      <c r="F213" s="207">
        <v>412</v>
      </c>
      <c r="G213" s="207"/>
      <c r="H213" s="205"/>
      <c r="I213" s="167">
        <v>812250000</v>
      </c>
      <c r="J213" s="167">
        <v>167250000</v>
      </c>
      <c r="K213" s="167">
        <v>635000000</v>
      </c>
      <c r="L213" s="168">
        <v>10000000</v>
      </c>
      <c r="M213" s="168">
        <v>812250000</v>
      </c>
      <c r="N213" s="168"/>
      <c r="O213" s="167">
        <v>812249942</v>
      </c>
      <c r="P213" s="167">
        <v>812249942</v>
      </c>
      <c r="Q213" s="168"/>
      <c r="S213" s="201">
        <f t="shared" si="17"/>
        <v>812.25</v>
      </c>
      <c r="T213" s="201">
        <f t="shared" si="21"/>
        <v>812.25</v>
      </c>
      <c r="U213" s="201">
        <f t="shared" si="21"/>
        <v>0</v>
      </c>
      <c r="V213" s="201">
        <f t="shared" si="21"/>
        <v>812.24994200000003</v>
      </c>
      <c r="W213" s="201">
        <f t="shared" si="21"/>
        <v>812.24994200000003</v>
      </c>
      <c r="X213" s="201">
        <f t="shared" si="21"/>
        <v>0</v>
      </c>
    </row>
    <row r="214" spans="1:24" s="169" customFormat="1" ht="26.4">
      <c r="A214" s="192" t="s">
        <v>1386</v>
      </c>
      <c r="B214" s="165" t="s">
        <v>1387</v>
      </c>
      <c r="C214" s="183" t="str">
        <f t="shared" si="16"/>
        <v>1125215</v>
      </c>
      <c r="D214" s="182" t="s">
        <v>1529</v>
      </c>
      <c r="E214" s="206"/>
      <c r="F214" s="207">
        <v>426</v>
      </c>
      <c r="G214" s="207"/>
      <c r="H214" s="205"/>
      <c r="I214" s="167">
        <v>902000000</v>
      </c>
      <c r="J214" s="166"/>
      <c r="K214" s="167">
        <v>767000000</v>
      </c>
      <c r="L214" s="168">
        <v>135000000</v>
      </c>
      <c r="M214" s="168">
        <v>902000000</v>
      </c>
      <c r="N214" s="168"/>
      <c r="O214" s="167">
        <v>882184940</v>
      </c>
      <c r="P214" s="167">
        <v>882184940</v>
      </c>
      <c r="Q214" s="168"/>
      <c r="S214" s="201">
        <f t="shared" si="17"/>
        <v>902</v>
      </c>
      <c r="T214" s="201">
        <f t="shared" si="21"/>
        <v>902</v>
      </c>
      <c r="U214" s="201">
        <f t="shared" si="21"/>
        <v>0</v>
      </c>
      <c r="V214" s="201">
        <f t="shared" si="21"/>
        <v>882.18493999999998</v>
      </c>
      <c r="W214" s="201">
        <f t="shared" si="21"/>
        <v>882.18493999999998</v>
      </c>
      <c r="X214" s="201">
        <f t="shared" si="21"/>
        <v>0</v>
      </c>
    </row>
    <row r="215" spans="1:24" s="169" customFormat="1" ht="26.4">
      <c r="A215" s="192" t="s">
        <v>1389</v>
      </c>
      <c r="B215" s="165" t="s">
        <v>1390</v>
      </c>
      <c r="C215" s="183" t="str">
        <f t="shared" ref="C215:C228" si="22">IF(B215&lt;&gt;"",IF(AND(LEFT(B215,1)&gt;="0",LEFT(B215,1)&lt;="9"),LEFT(B215,7),""),"")</f>
        <v>1125216</v>
      </c>
      <c r="D215" s="182" t="s">
        <v>1530</v>
      </c>
      <c r="E215" s="206"/>
      <c r="F215" s="207">
        <v>426</v>
      </c>
      <c r="G215" s="207"/>
      <c r="H215" s="205"/>
      <c r="I215" s="167">
        <v>1181700000</v>
      </c>
      <c r="J215" s="166"/>
      <c r="K215" s="167">
        <v>1036000000</v>
      </c>
      <c r="L215" s="168">
        <v>145700000</v>
      </c>
      <c r="M215" s="168">
        <v>1181700000</v>
      </c>
      <c r="N215" s="168"/>
      <c r="O215" s="167">
        <v>1175250000</v>
      </c>
      <c r="P215" s="167">
        <v>1175250000</v>
      </c>
      <c r="Q215" s="168"/>
      <c r="S215" s="201">
        <f t="shared" si="17"/>
        <v>1181.7</v>
      </c>
      <c r="T215" s="201">
        <f t="shared" si="21"/>
        <v>1181.7</v>
      </c>
      <c r="U215" s="201">
        <f t="shared" si="21"/>
        <v>0</v>
      </c>
      <c r="V215" s="201">
        <f t="shared" si="21"/>
        <v>1175.25</v>
      </c>
      <c r="W215" s="201">
        <f t="shared" si="21"/>
        <v>1175.25</v>
      </c>
      <c r="X215" s="201">
        <f t="shared" si="21"/>
        <v>0</v>
      </c>
    </row>
    <row r="216" spans="1:24" s="169" customFormat="1" ht="39.6">
      <c r="A216" s="192" t="s">
        <v>1392</v>
      </c>
      <c r="B216" s="176" t="s">
        <v>1393</v>
      </c>
      <c r="C216" s="183" t="str">
        <f t="shared" si="22"/>
        <v>1125232</v>
      </c>
      <c r="D216" s="182" t="s">
        <v>1531</v>
      </c>
      <c r="E216" s="206"/>
      <c r="F216" s="207">
        <v>417</v>
      </c>
      <c r="G216" s="207"/>
      <c r="H216" s="205"/>
      <c r="I216" s="167">
        <v>350000000</v>
      </c>
      <c r="J216" s="166"/>
      <c r="K216" s="167">
        <v>350000000</v>
      </c>
      <c r="L216" s="171"/>
      <c r="M216" s="168">
        <v>350000000</v>
      </c>
      <c r="N216" s="171"/>
      <c r="O216" s="167">
        <v>350000000</v>
      </c>
      <c r="P216" s="167">
        <v>350000000</v>
      </c>
      <c r="Q216" s="171"/>
      <c r="S216" s="201">
        <f t="shared" ref="S216:S228" si="23">I216/1000000</f>
        <v>350</v>
      </c>
      <c r="T216" s="201">
        <f t="shared" ref="T216:X228" si="24">M216/1000000</f>
        <v>350</v>
      </c>
      <c r="U216" s="201">
        <f t="shared" si="24"/>
        <v>0</v>
      </c>
      <c r="V216" s="201">
        <f t="shared" si="24"/>
        <v>350</v>
      </c>
      <c r="W216" s="201">
        <f t="shared" si="24"/>
        <v>350</v>
      </c>
      <c r="X216" s="201">
        <f t="shared" si="24"/>
        <v>0</v>
      </c>
    </row>
    <row r="217" spans="1:24" s="169" customFormat="1" ht="26.4">
      <c r="A217" s="192" t="s">
        <v>1395</v>
      </c>
      <c r="B217" s="176" t="s">
        <v>1396</v>
      </c>
      <c r="C217" s="183" t="str">
        <f t="shared" si="22"/>
        <v>1125306</v>
      </c>
      <c r="D217" s="182" t="s">
        <v>1532</v>
      </c>
      <c r="E217" s="206"/>
      <c r="F217" s="207">
        <v>419</v>
      </c>
      <c r="G217" s="207"/>
      <c r="H217" s="205"/>
      <c r="I217" s="167">
        <v>841800000</v>
      </c>
      <c r="J217" s="166"/>
      <c r="K217" s="167">
        <v>675000000</v>
      </c>
      <c r="L217" s="168">
        <v>166800000</v>
      </c>
      <c r="M217" s="168">
        <v>841800000</v>
      </c>
      <c r="N217" s="168"/>
      <c r="O217" s="167">
        <v>812504000</v>
      </c>
      <c r="P217" s="167">
        <v>812504000</v>
      </c>
      <c r="Q217" s="168"/>
      <c r="S217" s="201">
        <f t="shared" si="23"/>
        <v>841.8</v>
      </c>
      <c r="T217" s="201">
        <f t="shared" si="24"/>
        <v>841.8</v>
      </c>
      <c r="U217" s="201">
        <f t="shared" si="24"/>
        <v>0</v>
      </c>
      <c r="V217" s="201">
        <f t="shared" si="24"/>
        <v>812.50400000000002</v>
      </c>
      <c r="W217" s="201">
        <f t="shared" si="24"/>
        <v>812.50400000000002</v>
      </c>
      <c r="X217" s="201">
        <f t="shared" si="24"/>
        <v>0</v>
      </c>
    </row>
    <row r="218" spans="1:24" s="169" customFormat="1" ht="39.6">
      <c r="A218" s="192" t="s">
        <v>1398</v>
      </c>
      <c r="B218" s="176" t="s">
        <v>1399</v>
      </c>
      <c r="C218" s="183" t="str">
        <f t="shared" si="22"/>
        <v>1125318</v>
      </c>
      <c r="D218" s="182" t="s">
        <v>1505</v>
      </c>
      <c r="E218" s="206"/>
      <c r="F218" s="207">
        <v>599</v>
      </c>
      <c r="G218" s="207"/>
      <c r="H218" s="205"/>
      <c r="I218" s="167">
        <v>1173877622</v>
      </c>
      <c r="J218" s="166"/>
      <c r="K218" s="167">
        <v>1150957622</v>
      </c>
      <c r="L218" s="168">
        <v>22920000</v>
      </c>
      <c r="M218" s="168">
        <v>1173877622</v>
      </c>
      <c r="N218" s="168"/>
      <c r="O218" s="167">
        <v>1173877622</v>
      </c>
      <c r="P218" s="167">
        <v>1173877622</v>
      </c>
      <c r="Q218" s="168"/>
      <c r="S218" s="201">
        <f t="shared" si="23"/>
        <v>1173.877622</v>
      </c>
      <c r="T218" s="201">
        <f t="shared" si="24"/>
        <v>1173.877622</v>
      </c>
      <c r="U218" s="201">
        <f t="shared" si="24"/>
        <v>0</v>
      </c>
      <c r="V218" s="201">
        <f t="shared" si="24"/>
        <v>1173.877622</v>
      </c>
      <c r="W218" s="201">
        <f t="shared" si="24"/>
        <v>1173.877622</v>
      </c>
      <c r="X218" s="201">
        <f t="shared" si="24"/>
        <v>0</v>
      </c>
    </row>
    <row r="219" spans="1:24" s="169" customFormat="1" ht="39.6">
      <c r="A219" s="192" t="s">
        <v>1401</v>
      </c>
      <c r="B219" s="176" t="s">
        <v>1402</v>
      </c>
      <c r="C219" s="183" t="str">
        <f t="shared" si="22"/>
        <v>1125325</v>
      </c>
      <c r="D219" s="182" t="s">
        <v>1506</v>
      </c>
      <c r="E219" s="206"/>
      <c r="F219" s="207">
        <v>509</v>
      </c>
      <c r="G219" s="207"/>
      <c r="H219" s="205"/>
      <c r="I219" s="167">
        <v>702501790</v>
      </c>
      <c r="J219" s="166"/>
      <c r="K219" s="167">
        <v>678411790</v>
      </c>
      <c r="L219" s="168">
        <v>24090000</v>
      </c>
      <c r="M219" s="168">
        <v>702501790</v>
      </c>
      <c r="N219" s="168"/>
      <c r="O219" s="167">
        <v>702501790</v>
      </c>
      <c r="P219" s="167">
        <v>702501790</v>
      </c>
      <c r="Q219" s="168"/>
      <c r="S219" s="201">
        <f t="shared" si="23"/>
        <v>702.50179000000003</v>
      </c>
      <c r="T219" s="201">
        <f t="shared" si="24"/>
        <v>702.50179000000003</v>
      </c>
      <c r="U219" s="201">
        <f t="shared" si="24"/>
        <v>0</v>
      </c>
      <c r="V219" s="201">
        <f t="shared" si="24"/>
        <v>702.50179000000003</v>
      </c>
      <c r="W219" s="201">
        <f t="shared" si="24"/>
        <v>702.50179000000003</v>
      </c>
      <c r="X219" s="201">
        <f t="shared" si="24"/>
        <v>0</v>
      </c>
    </row>
    <row r="220" spans="1:24" s="169" customFormat="1" ht="39.6">
      <c r="A220" s="192" t="s">
        <v>1404</v>
      </c>
      <c r="B220" s="176" t="s">
        <v>1405</v>
      </c>
      <c r="C220" s="183" t="str">
        <f t="shared" si="22"/>
        <v>1125793</v>
      </c>
      <c r="D220" s="182" t="s">
        <v>1670</v>
      </c>
      <c r="E220" s="206"/>
      <c r="F220" s="207">
        <v>422</v>
      </c>
      <c r="G220" s="207"/>
      <c r="H220" s="205"/>
      <c r="I220" s="167">
        <v>1529240000</v>
      </c>
      <c r="J220" s="166"/>
      <c r="K220" s="167">
        <v>548240000</v>
      </c>
      <c r="L220" s="168">
        <v>981000000</v>
      </c>
      <c r="M220" s="168">
        <v>1529240000</v>
      </c>
      <c r="N220" s="168"/>
      <c r="O220" s="167">
        <v>1529240000</v>
      </c>
      <c r="P220" s="167">
        <v>1529240000</v>
      </c>
      <c r="Q220" s="168"/>
      <c r="S220" s="201">
        <f t="shared" si="23"/>
        <v>1529.24</v>
      </c>
      <c r="T220" s="201">
        <f t="shared" si="24"/>
        <v>1529.24</v>
      </c>
      <c r="U220" s="201">
        <f t="shared" si="24"/>
        <v>0</v>
      </c>
      <c r="V220" s="201">
        <f t="shared" si="24"/>
        <v>1529.24</v>
      </c>
      <c r="W220" s="201">
        <f t="shared" si="24"/>
        <v>1529.24</v>
      </c>
      <c r="X220" s="201">
        <f t="shared" si="24"/>
        <v>0</v>
      </c>
    </row>
    <row r="221" spans="1:24" s="169" customFormat="1" ht="26.4">
      <c r="A221" s="192" t="s">
        <v>1407</v>
      </c>
      <c r="B221" s="165" t="s">
        <v>1408</v>
      </c>
      <c r="C221" s="183" t="str">
        <f t="shared" si="22"/>
        <v>3007431</v>
      </c>
      <c r="D221" s="182" t="s">
        <v>1671</v>
      </c>
      <c r="E221" s="206"/>
      <c r="F221" s="207">
        <v>413</v>
      </c>
      <c r="G221" s="207"/>
      <c r="H221" s="205"/>
      <c r="I221" s="167">
        <v>1826647000</v>
      </c>
      <c r="J221" s="166"/>
      <c r="K221" s="167">
        <v>1643000000</v>
      </c>
      <c r="L221" s="168">
        <v>183647000</v>
      </c>
      <c r="M221" s="168">
        <v>1826647000</v>
      </c>
      <c r="N221" s="168"/>
      <c r="O221" s="167">
        <v>1821979867</v>
      </c>
      <c r="P221" s="167">
        <v>1821979867</v>
      </c>
      <c r="Q221" s="168"/>
      <c r="S221" s="201">
        <f t="shared" si="23"/>
        <v>1826.6469999999999</v>
      </c>
      <c r="T221" s="201">
        <f t="shared" si="24"/>
        <v>1826.6469999999999</v>
      </c>
      <c r="U221" s="201">
        <f t="shared" si="24"/>
        <v>0</v>
      </c>
      <c r="V221" s="201">
        <f t="shared" si="24"/>
        <v>1821.979867</v>
      </c>
      <c r="W221" s="201">
        <f t="shared" si="24"/>
        <v>1821.979867</v>
      </c>
      <c r="X221" s="201">
        <f t="shared" si="24"/>
        <v>0</v>
      </c>
    </row>
    <row r="222" spans="1:24" s="169" customFormat="1" ht="13.8">
      <c r="A222" s="192" t="s">
        <v>1410</v>
      </c>
      <c r="B222" s="170" t="s">
        <v>1411</v>
      </c>
      <c r="C222" s="183" t="str">
        <f t="shared" si="22"/>
        <v>3007905</v>
      </c>
      <c r="D222" s="182" t="s">
        <v>1533</v>
      </c>
      <c r="E222" s="206"/>
      <c r="F222" s="207">
        <v>599</v>
      </c>
      <c r="G222" s="207"/>
      <c r="H222" s="205"/>
      <c r="I222" s="167">
        <v>20000000</v>
      </c>
      <c r="J222" s="166"/>
      <c r="K222" s="167">
        <v>20000000</v>
      </c>
      <c r="L222" s="171"/>
      <c r="M222" s="168">
        <v>20000000</v>
      </c>
      <c r="N222" s="171"/>
      <c r="O222" s="167">
        <v>20000000</v>
      </c>
      <c r="P222" s="167">
        <v>20000000</v>
      </c>
      <c r="Q222" s="171"/>
      <c r="S222" s="201">
        <f t="shared" si="23"/>
        <v>20</v>
      </c>
      <c r="T222" s="201">
        <f t="shared" si="24"/>
        <v>20</v>
      </c>
      <c r="U222" s="201">
        <f t="shared" si="24"/>
        <v>0</v>
      </c>
      <c r="V222" s="201">
        <f t="shared" si="24"/>
        <v>20</v>
      </c>
      <c r="W222" s="201">
        <f t="shared" si="24"/>
        <v>20</v>
      </c>
      <c r="X222" s="201">
        <f t="shared" si="24"/>
        <v>0</v>
      </c>
    </row>
    <row r="223" spans="1:24" s="169" customFormat="1" ht="39.6">
      <c r="A223" s="192" t="s">
        <v>1413</v>
      </c>
      <c r="B223" s="165" t="s">
        <v>1414</v>
      </c>
      <c r="C223" s="183" t="str">
        <f t="shared" si="22"/>
        <v>3016323</v>
      </c>
      <c r="D223" s="182" t="s">
        <v>1672</v>
      </c>
      <c r="E223" s="206"/>
      <c r="F223" s="207">
        <v>412</v>
      </c>
      <c r="G223" s="207"/>
      <c r="H223" s="205"/>
      <c r="I223" s="167">
        <v>1059920000</v>
      </c>
      <c r="J223" s="167">
        <v>162920000</v>
      </c>
      <c r="K223" s="167">
        <v>350000000</v>
      </c>
      <c r="L223" s="168">
        <v>547000000</v>
      </c>
      <c r="M223" s="168">
        <v>350000000</v>
      </c>
      <c r="N223" s="168">
        <v>709920000</v>
      </c>
      <c r="O223" s="167">
        <v>983381912</v>
      </c>
      <c r="P223" s="167">
        <v>328271912</v>
      </c>
      <c r="Q223" s="168">
        <v>655110000</v>
      </c>
      <c r="S223" s="201">
        <f t="shared" si="23"/>
        <v>1059.92</v>
      </c>
      <c r="T223" s="201">
        <f t="shared" si="24"/>
        <v>350</v>
      </c>
      <c r="U223" s="201">
        <f t="shared" si="24"/>
        <v>709.92</v>
      </c>
      <c r="V223" s="201">
        <f t="shared" si="24"/>
        <v>983.38191200000006</v>
      </c>
      <c r="W223" s="201">
        <f t="shared" si="24"/>
        <v>328.27191199999999</v>
      </c>
      <c r="X223" s="201">
        <f t="shared" si="24"/>
        <v>655.11</v>
      </c>
    </row>
    <row r="224" spans="1:24" s="169" customFormat="1" ht="26.4">
      <c r="A224" s="192" t="s">
        <v>1417</v>
      </c>
      <c r="B224" s="165" t="s">
        <v>1418</v>
      </c>
      <c r="C224" s="183" t="str">
        <f t="shared" si="22"/>
        <v>3017052</v>
      </c>
      <c r="D224" s="182" t="s">
        <v>1673</v>
      </c>
      <c r="E224" s="206"/>
      <c r="F224" s="207">
        <v>533</v>
      </c>
      <c r="G224" s="207"/>
      <c r="H224" s="205"/>
      <c r="I224" s="167">
        <v>729700000</v>
      </c>
      <c r="J224" s="166"/>
      <c r="K224" s="167">
        <v>632000000</v>
      </c>
      <c r="L224" s="168">
        <v>97700000</v>
      </c>
      <c r="M224" s="168">
        <v>729700000</v>
      </c>
      <c r="N224" s="168"/>
      <c r="O224" s="167">
        <v>729700000</v>
      </c>
      <c r="P224" s="167">
        <v>729700000</v>
      </c>
      <c r="Q224" s="168"/>
      <c r="S224" s="201">
        <f t="shared" si="23"/>
        <v>729.7</v>
      </c>
      <c r="T224" s="201">
        <f t="shared" si="24"/>
        <v>729.7</v>
      </c>
      <c r="U224" s="201">
        <f t="shared" si="24"/>
        <v>0</v>
      </c>
      <c r="V224" s="201">
        <f t="shared" si="24"/>
        <v>729.7</v>
      </c>
      <c r="W224" s="201">
        <f t="shared" si="24"/>
        <v>729.7</v>
      </c>
      <c r="X224" s="201">
        <f t="shared" si="24"/>
        <v>0</v>
      </c>
    </row>
    <row r="225" spans="1:24" s="169" customFormat="1" ht="26.4">
      <c r="A225" s="192" t="s">
        <v>1421</v>
      </c>
      <c r="B225" s="165" t="s">
        <v>1422</v>
      </c>
      <c r="C225" s="183" t="str">
        <f t="shared" si="22"/>
        <v>3019708</v>
      </c>
      <c r="D225" s="182" t="s">
        <v>1674</v>
      </c>
      <c r="E225" s="206"/>
      <c r="F225" s="207">
        <v>414</v>
      </c>
      <c r="G225" s="207"/>
      <c r="H225" s="205"/>
      <c r="I225" s="167">
        <v>330500000</v>
      </c>
      <c r="J225" s="166"/>
      <c r="K225" s="167">
        <v>330500000</v>
      </c>
      <c r="L225" s="171"/>
      <c r="M225" s="168">
        <v>330500000</v>
      </c>
      <c r="N225" s="171"/>
      <c r="O225" s="167">
        <v>330500000</v>
      </c>
      <c r="P225" s="167">
        <v>330500000</v>
      </c>
      <c r="Q225" s="171"/>
      <c r="S225" s="201">
        <f t="shared" si="23"/>
        <v>330.5</v>
      </c>
      <c r="T225" s="201">
        <f t="shared" si="24"/>
        <v>330.5</v>
      </c>
      <c r="U225" s="201">
        <f t="shared" si="24"/>
        <v>0</v>
      </c>
      <c r="V225" s="201">
        <f t="shared" si="24"/>
        <v>330.5</v>
      </c>
      <c r="W225" s="201">
        <f t="shared" si="24"/>
        <v>330.5</v>
      </c>
      <c r="X225" s="201">
        <f t="shared" si="24"/>
        <v>0</v>
      </c>
    </row>
    <row r="226" spans="1:24" s="169" customFormat="1" ht="39.6">
      <c r="A226" s="192" t="s">
        <v>1424</v>
      </c>
      <c r="B226" s="165" t="s">
        <v>1425</v>
      </c>
      <c r="C226" s="183" t="str">
        <f t="shared" si="22"/>
        <v>3023385</v>
      </c>
      <c r="D226" s="182" t="s">
        <v>1534</v>
      </c>
      <c r="E226" s="206"/>
      <c r="F226" s="207">
        <v>423</v>
      </c>
      <c r="G226" s="207"/>
      <c r="H226" s="205"/>
      <c r="I226" s="167">
        <v>700000000</v>
      </c>
      <c r="J226" s="166"/>
      <c r="K226" s="167">
        <v>700000000</v>
      </c>
      <c r="L226" s="171"/>
      <c r="M226" s="168">
        <v>700000000</v>
      </c>
      <c r="N226" s="171"/>
      <c r="O226" s="167">
        <v>700000000</v>
      </c>
      <c r="P226" s="167">
        <v>700000000</v>
      </c>
      <c r="Q226" s="171"/>
      <c r="S226" s="201">
        <f t="shared" si="23"/>
        <v>700</v>
      </c>
      <c r="T226" s="201">
        <f t="shared" si="24"/>
        <v>700</v>
      </c>
      <c r="U226" s="201">
        <f t="shared" si="24"/>
        <v>0</v>
      </c>
      <c r="V226" s="201">
        <f t="shared" si="24"/>
        <v>700</v>
      </c>
      <c r="W226" s="201">
        <f t="shared" si="24"/>
        <v>700</v>
      </c>
      <c r="X226" s="201">
        <f t="shared" si="24"/>
        <v>0</v>
      </c>
    </row>
    <row r="227" spans="1:24" s="169" customFormat="1" ht="39.6">
      <c r="A227" s="192" t="s">
        <v>1427</v>
      </c>
      <c r="B227" s="165" t="s">
        <v>1428</v>
      </c>
      <c r="C227" s="183" t="str">
        <f t="shared" si="22"/>
        <v>3024159</v>
      </c>
      <c r="D227" s="182" t="s">
        <v>1675</v>
      </c>
      <c r="E227" s="206"/>
      <c r="F227" s="207">
        <v>599</v>
      </c>
      <c r="G227" s="207"/>
      <c r="H227" s="205"/>
      <c r="I227" s="167">
        <v>20000000</v>
      </c>
      <c r="J227" s="166"/>
      <c r="K227" s="166"/>
      <c r="L227" s="168">
        <v>20000000</v>
      </c>
      <c r="M227" s="168">
        <v>20000000</v>
      </c>
      <c r="N227" s="168"/>
      <c r="O227" s="167">
        <v>20000000</v>
      </c>
      <c r="P227" s="167">
        <v>20000000</v>
      </c>
      <c r="Q227" s="168"/>
      <c r="S227" s="201">
        <f t="shared" si="23"/>
        <v>20</v>
      </c>
      <c r="T227" s="201">
        <f t="shared" si="24"/>
        <v>20</v>
      </c>
      <c r="U227" s="201">
        <f t="shared" si="24"/>
        <v>0</v>
      </c>
      <c r="V227" s="201">
        <f t="shared" si="24"/>
        <v>20</v>
      </c>
      <c r="W227" s="201">
        <f t="shared" si="24"/>
        <v>20</v>
      </c>
      <c r="X227" s="201">
        <f t="shared" si="24"/>
        <v>0</v>
      </c>
    </row>
    <row r="228" spans="1:24" s="169" customFormat="1" ht="39.6">
      <c r="A228" s="192" t="s">
        <v>1430</v>
      </c>
      <c r="B228" s="165" t="s">
        <v>1431</v>
      </c>
      <c r="C228" s="183" t="str">
        <f t="shared" si="22"/>
        <v>3027473</v>
      </c>
      <c r="D228" s="182" t="s">
        <v>1605</v>
      </c>
      <c r="E228" s="206"/>
      <c r="F228" s="207">
        <v>423</v>
      </c>
      <c r="G228" s="207"/>
      <c r="H228" s="205"/>
      <c r="I228" s="167">
        <v>130000000</v>
      </c>
      <c r="J228" s="166"/>
      <c r="K228" s="167">
        <v>130000000</v>
      </c>
      <c r="L228" s="171"/>
      <c r="M228" s="168">
        <v>130000000</v>
      </c>
      <c r="N228" s="171"/>
      <c r="O228" s="167">
        <v>130000000</v>
      </c>
      <c r="P228" s="167">
        <v>130000000</v>
      </c>
      <c r="Q228" s="171"/>
      <c r="S228" s="201">
        <f t="shared" si="23"/>
        <v>130</v>
      </c>
      <c r="T228" s="201">
        <f t="shared" si="24"/>
        <v>130</v>
      </c>
      <c r="U228" s="201">
        <f t="shared" si="24"/>
        <v>0</v>
      </c>
      <c r="V228" s="201">
        <f t="shared" si="24"/>
        <v>130</v>
      </c>
      <c r="W228" s="201">
        <f t="shared" si="24"/>
        <v>130</v>
      </c>
      <c r="X228" s="201">
        <f t="shared" si="24"/>
        <v>0</v>
      </c>
    </row>
  </sheetData>
  <mergeCells count="30">
    <mergeCell ref="F14:F17"/>
    <mergeCell ref="A14:A17"/>
    <mergeCell ref="B14:B17"/>
    <mergeCell ref="C14:C17"/>
    <mergeCell ref="D14:D17"/>
    <mergeCell ref="E14:E17"/>
    <mergeCell ref="G14:G17"/>
    <mergeCell ref="H14:H17"/>
    <mergeCell ref="I14:N14"/>
    <mergeCell ref="O14:O17"/>
    <mergeCell ref="P14:Q14"/>
    <mergeCell ref="I15:I17"/>
    <mergeCell ref="J15:L15"/>
    <mergeCell ref="M15:N15"/>
    <mergeCell ref="P15:P17"/>
    <mergeCell ref="Q15:Q17"/>
    <mergeCell ref="X15:X17"/>
    <mergeCell ref="J16:J17"/>
    <mergeCell ref="K16:K17"/>
    <mergeCell ref="L16:L17"/>
    <mergeCell ref="M16:M17"/>
    <mergeCell ref="N16:N17"/>
    <mergeCell ref="T16:T17"/>
    <mergeCell ref="U16:U17"/>
    <mergeCell ref="V14:V17"/>
    <mergeCell ref="W14:X14"/>
    <mergeCell ref="S15:S17"/>
    <mergeCell ref="T15:U15"/>
    <mergeCell ref="W15:W17"/>
    <mergeCell ref="S14:U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56"/>
  <sheetViews>
    <sheetView topLeftCell="E13" workbookViewId="0">
      <selection activeCell="J22" sqref="J22"/>
    </sheetView>
  </sheetViews>
  <sheetFormatPr defaultColWidth="9.109375" defaultRowHeight="13.2" outlineLevelRow="1" outlineLevelCol="1"/>
  <cols>
    <col min="1" max="1" width="9.109375" style="190"/>
    <col min="2" max="2" width="31.33203125" style="149" hidden="1" customWidth="1" outlineLevel="1"/>
    <col min="3" max="3" width="10.33203125" style="149" hidden="1" customWidth="1" outlineLevel="1"/>
    <col min="4" max="4" width="46.6640625" style="149" customWidth="1" collapsed="1"/>
    <col min="5" max="7" width="9.109375" style="190"/>
    <col min="8" max="8" width="9.109375" style="208"/>
    <col min="9" max="9" width="16.109375" style="208" customWidth="1"/>
    <col min="10" max="10" width="18.5546875" style="149" customWidth="1"/>
    <col min="11" max="11" width="15" style="149" hidden="1" customWidth="1" outlineLevel="1"/>
    <col min="12" max="12" width="17.6640625" style="149" hidden="1" customWidth="1" outlineLevel="1"/>
    <col min="13" max="13" width="16" style="150" hidden="1" customWidth="1" outlineLevel="1"/>
    <col min="14" max="14" width="18.33203125" style="150" customWidth="1" collapsed="1"/>
    <col min="15" max="15" width="16" style="150" customWidth="1"/>
    <col min="16" max="18" width="17.6640625" style="149" customWidth="1"/>
    <col min="19" max="16384" width="9.109375" style="149"/>
  </cols>
  <sheetData>
    <row r="1" spans="1:25" hidden="1" outlineLevel="1">
      <c r="A1" s="189" t="s">
        <v>635</v>
      </c>
    </row>
    <row r="2" spans="1:25" hidden="1" outlineLevel="1">
      <c r="A2" s="189" t="s">
        <v>636</v>
      </c>
    </row>
    <row r="3" spans="1:25" hidden="1" outlineLevel="1"/>
    <row r="4" spans="1:25" hidden="1" outlineLevel="1">
      <c r="A4" s="189" t="s">
        <v>637</v>
      </c>
    </row>
    <row r="5" spans="1:25" hidden="1" outlineLevel="1">
      <c r="A5" s="189" t="s">
        <v>638</v>
      </c>
    </row>
    <row r="6" spans="1:25" hidden="1" outlineLevel="1">
      <c r="A6" s="189" t="s">
        <v>639</v>
      </c>
    </row>
    <row r="7" spans="1:25" hidden="1" outlineLevel="1">
      <c r="A7" s="189" t="s">
        <v>640</v>
      </c>
    </row>
    <row r="8" spans="1:25" hidden="1" outlineLevel="1"/>
    <row r="9" spans="1:25" hidden="1" outlineLevel="1">
      <c r="A9" s="189" t="s">
        <v>641</v>
      </c>
    </row>
    <row r="10" spans="1:25" hidden="1" outlineLevel="1">
      <c r="A10" s="189" t="s">
        <v>642</v>
      </c>
    </row>
    <row r="11" spans="1:25" hidden="1" outlineLevel="1"/>
    <row r="12" spans="1:25" hidden="1" outlineLevel="1">
      <c r="A12" s="189" t="s">
        <v>643</v>
      </c>
    </row>
    <row r="13" spans="1:25" ht="18.75" customHeight="1" collapsed="1">
      <c r="F13" s="216">
        <f t="shared" ref="F13:H13" si="0">F22-F19</f>
        <v>0</v>
      </c>
      <c r="G13" s="216">
        <f t="shared" si="0"/>
        <v>0</v>
      </c>
      <c r="H13" s="216">
        <f t="shared" si="0"/>
        <v>0</v>
      </c>
      <c r="I13" s="216"/>
      <c r="J13" s="216">
        <f>J22-J19</f>
        <v>350000000</v>
      </c>
      <c r="K13" s="216">
        <f t="shared" ref="K13:O13" si="1">K22-K19</f>
        <v>0</v>
      </c>
      <c r="L13" s="216">
        <f t="shared" si="1"/>
        <v>0</v>
      </c>
      <c r="M13" s="216">
        <f t="shared" si="1"/>
        <v>350000000</v>
      </c>
      <c r="N13" s="216">
        <f t="shared" si="1"/>
        <v>1356067046973</v>
      </c>
      <c r="O13" s="216">
        <f t="shared" si="1"/>
        <v>11399920000</v>
      </c>
      <c r="P13" s="216">
        <f>P22-P19</f>
        <v>0</v>
      </c>
      <c r="X13" s="149" t="s">
        <v>1439</v>
      </c>
    </row>
    <row r="14" spans="1:25" s="197" customFormat="1" ht="15" customHeight="1">
      <c r="A14" s="846" t="s">
        <v>644</v>
      </c>
      <c r="B14" s="846" t="s">
        <v>645</v>
      </c>
      <c r="C14" s="848" t="s">
        <v>1433</v>
      </c>
      <c r="D14" s="847" t="s">
        <v>1434</v>
      </c>
      <c r="E14" s="840" t="s">
        <v>646</v>
      </c>
      <c r="F14" s="840" t="s">
        <v>647</v>
      </c>
      <c r="G14" s="840" t="s">
        <v>648</v>
      </c>
      <c r="H14" s="843" t="s">
        <v>649</v>
      </c>
      <c r="I14" s="219"/>
      <c r="J14" s="854" t="s">
        <v>1438</v>
      </c>
      <c r="K14" s="854"/>
      <c r="L14" s="854"/>
      <c r="M14" s="854"/>
      <c r="N14" s="854"/>
      <c r="O14" s="854"/>
      <c r="P14" s="849" t="s">
        <v>1435</v>
      </c>
      <c r="Q14" s="850" t="s">
        <v>162</v>
      </c>
      <c r="R14" s="851"/>
      <c r="T14" s="854" t="s">
        <v>1438</v>
      </c>
      <c r="U14" s="854"/>
      <c r="V14" s="854"/>
      <c r="W14" s="849" t="s">
        <v>1435</v>
      </c>
      <c r="X14" s="850" t="s">
        <v>162</v>
      </c>
      <c r="Y14" s="851"/>
    </row>
    <row r="15" spans="1:25" s="197" customFormat="1">
      <c r="A15" s="846"/>
      <c r="B15" s="846"/>
      <c r="C15" s="848"/>
      <c r="D15" s="847"/>
      <c r="E15" s="841"/>
      <c r="F15" s="841"/>
      <c r="G15" s="841"/>
      <c r="H15" s="844"/>
      <c r="I15" s="220"/>
      <c r="J15" s="855" t="s">
        <v>650</v>
      </c>
      <c r="K15" s="855" t="s">
        <v>651</v>
      </c>
      <c r="L15" s="855"/>
      <c r="M15" s="855"/>
      <c r="N15" s="850" t="s">
        <v>162</v>
      </c>
      <c r="O15" s="851"/>
      <c r="P15" s="849"/>
      <c r="Q15" s="852" t="s">
        <v>1436</v>
      </c>
      <c r="R15" s="853" t="s">
        <v>1437</v>
      </c>
      <c r="T15" s="855" t="s">
        <v>650</v>
      </c>
      <c r="U15" s="850" t="s">
        <v>162</v>
      </c>
      <c r="V15" s="851"/>
      <c r="W15" s="849"/>
      <c r="X15" s="852" t="s">
        <v>1436</v>
      </c>
      <c r="Y15" s="853" t="s">
        <v>1437</v>
      </c>
    </row>
    <row r="16" spans="1:25" s="197" customFormat="1" ht="12.75" customHeight="1">
      <c r="A16" s="846"/>
      <c r="B16" s="846"/>
      <c r="C16" s="848"/>
      <c r="D16" s="847"/>
      <c r="E16" s="841"/>
      <c r="F16" s="841"/>
      <c r="G16" s="841"/>
      <c r="H16" s="844"/>
      <c r="I16" s="220"/>
      <c r="J16" s="846"/>
      <c r="K16" s="856" t="s">
        <v>652</v>
      </c>
      <c r="L16" s="856" t="s">
        <v>653</v>
      </c>
      <c r="M16" s="857" t="s">
        <v>654</v>
      </c>
      <c r="N16" s="843" t="s">
        <v>1436</v>
      </c>
      <c r="O16" s="843" t="s">
        <v>1437</v>
      </c>
      <c r="P16" s="849"/>
      <c r="Q16" s="852"/>
      <c r="R16" s="853"/>
      <c r="T16" s="846"/>
      <c r="U16" s="843" t="s">
        <v>1436</v>
      </c>
      <c r="V16" s="843" t="s">
        <v>1437</v>
      </c>
      <c r="W16" s="849"/>
      <c r="X16" s="852"/>
      <c r="Y16" s="853"/>
    </row>
    <row r="17" spans="1:25" s="197" customFormat="1" ht="59.25" customHeight="1">
      <c r="A17" s="846"/>
      <c r="B17" s="846"/>
      <c r="C17" s="848"/>
      <c r="D17" s="847"/>
      <c r="E17" s="842"/>
      <c r="F17" s="842"/>
      <c r="G17" s="842"/>
      <c r="H17" s="845"/>
      <c r="I17" s="221"/>
      <c r="J17" s="846"/>
      <c r="K17" s="856"/>
      <c r="L17" s="856"/>
      <c r="M17" s="857"/>
      <c r="N17" s="844"/>
      <c r="O17" s="845"/>
      <c r="P17" s="849"/>
      <c r="Q17" s="852"/>
      <c r="R17" s="853"/>
      <c r="T17" s="846"/>
      <c r="U17" s="844"/>
      <c r="V17" s="845"/>
      <c r="W17" s="849"/>
      <c r="X17" s="852"/>
      <c r="Y17" s="853"/>
    </row>
    <row r="18" spans="1:25">
      <c r="A18" s="151" t="s">
        <v>655</v>
      </c>
      <c r="B18" s="151" t="s">
        <v>656</v>
      </c>
      <c r="C18" s="151"/>
      <c r="D18" s="151"/>
      <c r="E18" s="151" t="s">
        <v>657</v>
      </c>
      <c r="F18" s="151" t="s">
        <v>658</v>
      </c>
      <c r="G18" s="151" t="s">
        <v>659</v>
      </c>
      <c r="H18" s="209" t="s">
        <v>660</v>
      </c>
      <c r="I18" s="209"/>
      <c r="J18" s="152" t="s">
        <v>661</v>
      </c>
      <c r="K18" s="151" t="s">
        <v>662</v>
      </c>
      <c r="L18" s="151" t="s">
        <v>663</v>
      </c>
      <c r="M18" s="198" t="s">
        <v>664</v>
      </c>
      <c r="N18" s="200"/>
      <c r="O18" s="200"/>
      <c r="P18" s="199" t="s">
        <v>665</v>
      </c>
      <c r="Q18" s="151"/>
      <c r="R18" s="151"/>
      <c r="T18" s="152" t="s">
        <v>661</v>
      </c>
      <c r="U18" s="200"/>
      <c r="V18" s="200"/>
      <c r="W18" s="199" t="s">
        <v>665</v>
      </c>
      <c r="X18" s="151"/>
      <c r="Y18" s="151"/>
    </row>
    <row r="19" spans="1:25" s="153" customFormat="1">
      <c r="A19" s="104"/>
      <c r="B19" s="154" t="s">
        <v>148</v>
      </c>
      <c r="C19" s="181"/>
      <c r="D19" s="181"/>
      <c r="E19" s="202"/>
      <c r="F19" s="202"/>
      <c r="G19" s="202"/>
      <c r="H19" s="203"/>
      <c r="I19" s="203"/>
      <c r="J19" s="155">
        <v>1367116966973</v>
      </c>
      <c r="K19" s="155">
        <v>92332580561</v>
      </c>
      <c r="L19" s="156">
        <v>1064982786772</v>
      </c>
      <c r="M19" s="157">
        <v>209801599640</v>
      </c>
      <c r="N19" s="157"/>
      <c r="O19" s="157"/>
      <c r="P19" s="158">
        <v>1245405587745</v>
      </c>
      <c r="Q19" s="158"/>
      <c r="R19" s="158"/>
    </row>
    <row r="20" spans="1:25" s="153" customFormat="1">
      <c r="A20" s="191"/>
      <c r="B20" s="159"/>
      <c r="C20" s="159"/>
      <c r="D20" s="185" t="s">
        <v>670</v>
      </c>
      <c r="E20" s="204"/>
      <c r="F20" s="204"/>
      <c r="G20" s="204"/>
      <c r="H20" s="205"/>
      <c r="I20" s="205"/>
      <c r="J20" s="160">
        <v>1271860559373</v>
      </c>
      <c r="K20" s="160">
        <v>72903660561</v>
      </c>
      <c r="L20" s="161">
        <v>1064212496772</v>
      </c>
      <c r="M20" s="162">
        <v>134744402040</v>
      </c>
      <c r="N20" s="162"/>
      <c r="O20" s="162"/>
      <c r="P20" s="160">
        <v>1195665138417</v>
      </c>
      <c r="Q20" s="160"/>
      <c r="R20" s="160"/>
    </row>
    <row r="21" spans="1:25" s="153" customFormat="1">
      <c r="A21" s="191"/>
      <c r="B21" s="159"/>
      <c r="C21" s="159"/>
      <c r="D21" s="185" t="s">
        <v>671</v>
      </c>
      <c r="E21" s="204"/>
      <c r="F21" s="204"/>
      <c r="G21" s="204"/>
      <c r="H21" s="205"/>
      <c r="I21" s="205"/>
      <c r="J21" s="163">
        <v>95256407600</v>
      </c>
      <c r="K21" s="160">
        <v>19428920000</v>
      </c>
      <c r="L21" s="160">
        <v>770290000</v>
      </c>
      <c r="M21" s="162">
        <v>75057197600</v>
      </c>
      <c r="N21" s="162"/>
      <c r="O21" s="162"/>
      <c r="P21" s="160">
        <v>49740449328</v>
      </c>
      <c r="Q21" s="160"/>
      <c r="R21" s="160"/>
    </row>
    <row r="22" spans="1:25" s="153" customFormat="1">
      <c r="A22" s="191"/>
      <c r="B22" s="159"/>
      <c r="C22" s="159"/>
      <c r="D22" s="191" t="s">
        <v>126</v>
      </c>
      <c r="E22" s="204"/>
      <c r="F22" s="204"/>
      <c r="G22" s="204"/>
      <c r="H22" s="205"/>
      <c r="I22" s="205"/>
      <c r="J22" s="163">
        <f t="shared" ref="J22:O22" si="2">SUM(J23:J256)-J40-J41-J44-J45-J50-J51-J73-J74-J77-J78-J105-J106-J108-J109-J110-J111-J140-J141-J147-J148-J162-J163-J206-J207-J249-J250-J251</f>
        <v>1367466966973</v>
      </c>
      <c r="K22" s="163">
        <f t="shared" si="2"/>
        <v>92332580561</v>
      </c>
      <c r="L22" s="163">
        <f t="shared" si="2"/>
        <v>1064982786772</v>
      </c>
      <c r="M22" s="163">
        <f t="shared" si="2"/>
        <v>210151599640</v>
      </c>
      <c r="N22" s="163">
        <f t="shared" si="2"/>
        <v>1356067046973</v>
      </c>
      <c r="O22" s="163">
        <f t="shared" si="2"/>
        <v>11399920000</v>
      </c>
      <c r="P22" s="163">
        <f>SUM(P23:P256)-P40-P41-P44-P45-P50-P51-P73-P74-P77-P78-P105-P106-P108-P109-P110-P111-P140-P141-P147-P148-P162-P163-P206-P207-P249-P250-P251</f>
        <v>1245405587745</v>
      </c>
      <c r="Q22" s="163">
        <f t="shared" ref="Q22:R22" si="3">SUM(Q23:Q256)-Q40-Q41-Q44-Q45-Q50-Q51-Q73-Q74-Q77-Q78-Q105-Q106-Q108-Q109-Q110-Q111-Q140-Q141-Q147-Q148-Q162-Q163-Q206-Q207-Q249-Q250-Q251</f>
        <v>1236961817455</v>
      </c>
      <c r="R22" s="163">
        <f t="shared" si="3"/>
        <v>8443770290</v>
      </c>
    </row>
    <row r="23" spans="1:25" s="169" customFormat="1" ht="26.4">
      <c r="A23" s="192" t="s">
        <v>672</v>
      </c>
      <c r="B23" s="215" t="s">
        <v>1468</v>
      </c>
      <c r="C23" s="183" t="str">
        <f t="shared" ref="C23:C86" si="4">IF(B23&lt;&gt;"",IF(AND(LEFT(B23,1)&gt;="0",LEFT(B23,1)&lt;="9"),LEFT(B23,7),""),"")</f>
        <v>002685-</v>
      </c>
      <c r="D23" s="182" t="str">
        <f t="shared" ref="D23:D39" si="5">IF(C23&lt;&gt;"",RIGHT(B23,LEN(B23)-8),"")</f>
        <v>Trường Trung Học PhS thông rrân Quốc Tuẫn</v>
      </c>
      <c r="E23" s="206"/>
      <c r="F23" s="192" t="s">
        <v>677</v>
      </c>
      <c r="G23" s="207"/>
      <c r="H23" s="205"/>
      <c r="I23" s="224">
        <f>J23-Sheet1!I22</f>
        <v>0</v>
      </c>
      <c r="J23" s="166">
        <v>7921874000</v>
      </c>
      <c r="K23" s="166"/>
      <c r="L23" s="167">
        <v>7908434000</v>
      </c>
      <c r="M23" s="168">
        <v>13440000</v>
      </c>
      <c r="N23" s="168">
        <f>J23-O23</f>
        <v>7921874000</v>
      </c>
      <c r="O23" s="168"/>
      <c r="P23" s="167">
        <v>7921274000</v>
      </c>
      <c r="Q23" s="167">
        <f>P23-R23</f>
        <v>7921274000</v>
      </c>
      <c r="R23" s="168"/>
      <c r="T23" s="201">
        <f>J23/1000000</f>
        <v>7921.8739999999998</v>
      </c>
      <c r="U23" s="201">
        <f>N23/1000000</f>
        <v>7921.8739999999998</v>
      </c>
      <c r="V23" s="201">
        <f>O23/1000000</f>
        <v>0</v>
      </c>
      <c r="W23" s="201">
        <f>P23/1000000</f>
        <v>7921.2740000000003</v>
      </c>
      <c r="X23" s="201">
        <f t="shared" ref="X23:Y38" si="6">Q23/1000000</f>
        <v>7921.2740000000003</v>
      </c>
      <c r="Y23" s="201">
        <f t="shared" si="6"/>
        <v>0</v>
      </c>
    </row>
    <row r="24" spans="1:25" s="169" customFormat="1" ht="39.6">
      <c r="A24" s="192" t="s">
        <v>682</v>
      </c>
      <c r="B24" s="215" t="s">
        <v>1469</v>
      </c>
      <c r="C24" s="183" t="str">
        <f t="shared" si="4"/>
        <v>006948-</v>
      </c>
      <c r="D24" s="182" t="str">
        <f t="shared" si="5"/>
        <v>Trường Trung Học Cơ sờ -rhực Hành sư phạm Lý tự Trọng tỉnh &lt;ontum</v>
      </c>
      <c r="E24" s="206"/>
      <c r="F24" s="192"/>
      <c r="G24" s="207"/>
      <c r="H24" s="205"/>
      <c r="I24" s="224">
        <f>J24-Sheet1!I31</f>
        <v>0</v>
      </c>
      <c r="J24" s="166">
        <v>11338067000</v>
      </c>
      <c r="K24" s="167">
        <v>21000000</v>
      </c>
      <c r="L24" s="172">
        <v>10891513000</v>
      </c>
      <c r="M24" s="168">
        <v>425554000</v>
      </c>
      <c r="N24" s="168">
        <f t="shared" ref="N24:N87" si="7">J24-O24</f>
        <v>11338067000</v>
      </c>
      <c r="O24" s="168"/>
      <c r="P24" s="167">
        <v>11037267000</v>
      </c>
      <c r="Q24" s="167">
        <f t="shared" ref="Q24:Q87" si="8">P24-R24</f>
        <v>11037267000</v>
      </c>
      <c r="R24" s="168"/>
      <c r="T24" s="201">
        <f t="shared" ref="T24:T87" si="9">J24/1000000</f>
        <v>11338.066999999999</v>
      </c>
      <c r="U24" s="201">
        <f t="shared" ref="U24:Y39" si="10">N24/1000000</f>
        <v>11338.066999999999</v>
      </c>
      <c r="V24" s="201">
        <f t="shared" si="10"/>
        <v>0</v>
      </c>
      <c r="W24" s="201">
        <f t="shared" si="10"/>
        <v>11037.267</v>
      </c>
      <c r="X24" s="201">
        <f t="shared" si="6"/>
        <v>11037.267</v>
      </c>
      <c r="Y24" s="201">
        <f t="shared" si="6"/>
        <v>0</v>
      </c>
    </row>
    <row r="25" spans="1:25" s="169" customFormat="1" ht="27.6">
      <c r="A25" s="192" t="s">
        <v>657</v>
      </c>
      <c r="B25" s="176" t="s">
        <v>687</v>
      </c>
      <c r="C25" s="183" t="str">
        <f t="shared" si="4"/>
        <v>1007205</v>
      </c>
      <c r="D25" s="182" t="str">
        <f t="shared" si="5"/>
        <v>Trường Măm non Thực hành sư phạm tỉnh Kontum</v>
      </c>
      <c r="E25" s="206"/>
      <c r="F25" s="192" t="s">
        <v>677</v>
      </c>
      <c r="G25" s="207"/>
      <c r="H25" s="205"/>
      <c r="I25" s="224">
        <f>J25-Sheet1!I42</f>
        <v>0</v>
      </c>
      <c r="J25" s="167">
        <v>4048788000</v>
      </c>
      <c r="K25" s="167">
        <v>152420000</v>
      </c>
      <c r="L25" s="167">
        <v>3859368000</v>
      </c>
      <c r="M25" s="168">
        <v>37000000</v>
      </c>
      <c r="N25" s="168">
        <f t="shared" si="7"/>
        <v>4048788000</v>
      </c>
      <c r="O25" s="168"/>
      <c r="P25" s="167">
        <v>4042708000</v>
      </c>
      <c r="Q25" s="167">
        <f t="shared" si="8"/>
        <v>4042708000</v>
      </c>
      <c r="R25" s="168"/>
      <c r="T25" s="201">
        <f t="shared" si="9"/>
        <v>4048.788</v>
      </c>
      <c r="U25" s="201">
        <f t="shared" si="10"/>
        <v>4048.788</v>
      </c>
      <c r="V25" s="201">
        <f t="shared" si="10"/>
        <v>0</v>
      </c>
      <c r="W25" s="201">
        <f t="shared" si="10"/>
        <v>4042.7080000000001</v>
      </c>
      <c r="X25" s="201">
        <f t="shared" si="6"/>
        <v>4042.7080000000001</v>
      </c>
      <c r="Y25" s="201">
        <f t="shared" si="6"/>
        <v>0</v>
      </c>
    </row>
    <row r="26" spans="1:25" s="169" customFormat="1" ht="26.4">
      <c r="A26" s="192" t="s">
        <v>658</v>
      </c>
      <c r="B26" s="176" t="s">
        <v>692</v>
      </c>
      <c r="C26" s="183" t="str">
        <f t="shared" si="4"/>
        <v>1008744</v>
      </c>
      <c r="D26" s="182" t="str">
        <f t="shared" si="5"/>
        <v>Đoàn Đại biều Quốc hội Tình Kon Tum</v>
      </c>
      <c r="E26" s="206"/>
      <c r="F26" s="192" t="s">
        <v>694</v>
      </c>
      <c r="G26" s="207"/>
      <c r="H26" s="205"/>
      <c r="I26" s="224">
        <f>J26-Sheet1!I50</f>
        <v>0</v>
      </c>
      <c r="J26" s="167">
        <v>270000000</v>
      </c>
      <c r="K26" s="166"/>
      <c r="L26" s="167">
        <v>270000000</v>
      </c>
      <c r="M26" s="171"/>
      <c r="N26" s="168">
        <f t="shared" si="7"/>
        <v>270000000</v>
      </c>
      <c r="O26" s="171"/>
      <c r="P26" s="167">
        <v>270000000</v>
      </c>
      <c r="Q26" s="167">
        <f t="shared" si="8"/>
        <v>270000000</v>
      </c>
      <c r="R26" s="171"/>
      <c r="T26" s="201">
        <f t="shared" si="9"/>
        <v>270</v>
      </c>
      <c r="U26" s="201">
        <f t="shared" si="10"/>
        <v>270</v>
      </c>
      <c r="V26" s="201">
        <f t="shared" si="10"/>
        <v>0</v>
      </c>
      <c r="W26" s="201">
        <f t="shared" si="10"/>
        <v>270</v>
      </c>
      <c r="X26" s="201">
        <f t="shared" si="6"/>
        <v>270</v>
      </c>
      <c r="Y26" s="201">
        <f t="shared" si="6"/>
        <v>0</v>
      </c>
    </row>
    <row r="27" spans="1:25" s="169" customFormat="1" ht="26.4">
      <c r="A27" s="192" t="s">
        <v>659</v>
      </c>
      <c r="B27" s="176" t="s">
        <v>696</v>
      </c>
      <c r="C27" s="183" t="str">
        <f t="shared" si="4"/>
        <v>1010558</v>
      </c>
      <c r="D27" s="182" t="str">
        <f t="shared" si="5"/>
        <v>BQL Khu bảo tồn Thiên nhiên Ngọc Linh</v>
      </c>
      <c r="E27" s="206"/>
      <c r="F27" s="207">
        <v>412</v>
      </c>
      <c r="G27" s="207"/>
      <c r="H27" s="205"/>
      <c r="I27" s="224">
        <f>J27-Sheet1!I54</f>
        <v>0</v>
      </c>
      <c r="J27" s="167">
        <v>13708487000</v>
      </c>
      <c r="K27" s="167">
        <v>3787000000</v>
      </c>
      <c r="L27" s="167">
        <v>4813000000</v>
      </c>
      <c r="M27" s="168">
        <v>5108487000</v>
      </c>
      <c r="N27" s="168">
        <f t="shared" si="7"/>
        <v>13708487000</v>
      </c>
      <c r="O27" s="168"/>
      <c r="P27" s="167">
        <v>8889988150</v>
      </c>
      <c r="Q27" s="167">
        <f t="shared" si="8"/>
        <v>8889988150</v>
      </c>
      <c r="R27" s="168"/>
      <c r="T27" s="201">
        <f t="shared" si="9"/>
        <v>13708.486999999999</v>
      </c>
      <c r="U27" s="201">
        <f t="shared" si="10"/>
        <v>13708.486999999999</v>
      </c>
      <c r="V27" s="201">
        <f t="shared" si="10"/>
        <v>0</v>
      </c>
      <c r="W27" s="201">
        <f t="shared" si="10"/>
        <v>8889.9881499999992</v>
      </c>
      <c r="X27" s="201">
        <f t="shared" si="6"/>
        <v>8889.9881499999992</v>
      </c>
      <c r="Y27" s="201">
        <f t="shared" si="6"/>
        <v>0</v>
      </c>
    </row>
    <row r="28" spans="1:25" s="169" customFormat="1" ht="26.4">
      <c r="A28" s="192" t="s">
        <v>702</v>
      </c>
      <c r="B28" s="176" t="s">
        <v>703</v>
      </c>
      <c r="C28" s="183" t="str">
        <f t="shared" si="4"/>
        <v>1010559</v>
      </c>
      <c r="D28" s="182" t="str">
        <f t="shared" si="5"/>
        <v>BQL Quỹ khâm chữa bệnh cho người nghèo</v>
      </c>
      <c r="E28" s="206"/>
      <c r="F28" s="207">
        <v>423</v>
      </c>
      <c r="G28" s="207"/>
      <c r="H28" s="205"/>
      <c r="I28" s="224">
        <f>J28-Sheet1!I62</f>
        <v>0</v>
      </c>
      <c r="J28" s="167">
        <v>174000000</v>
      </c>
      <c r="K28" s="166"/>
      <c r="L28" s="167">
        <v>174000000</v>
      </c>
      <c r="M28" s="171"/>
      <c r="N28" s="168">
        <f t="shared" si="7"/>
        <v>174000000</v>
      </c>
      <c r="O28" s="171"/>
      <c r="P28" s="167">
        <v>174000000</v>
      </c>
      <c r="Q28" s="167">
        <f t="shared" si="8"/>
        <v>174000000</v>
      </c>
      <c r="R28" s="171"/>
      <c r="T28" s="201">
        <f t="shared" si="9"/>
        <v>174</v>
      </c>
      <c r="U28" s="201">
        <f t="shared" si="10"/>
        <v>174</v>
      </c>
      <c r="V28" s="201">
        <f t="shared" si="10"/>
        <v>0</v>
      </c>
      <c r="W28" s="201">
        <f t="shared" si="10"/>
        <v>174</v>
      </c>
      <c r="X28" s="201">
        <f t="shared" si="6"/>
        <v>174</v>
      </c>
      <c r="Y28" s="201">
        <f t="shared" si="6"/>
        <v>0</v>
      </c>
    </row>
    <row r="29" spans="1:25" s="169" customFormat="1" ht="26.4">
      <c r="A29" s="192" t="s">
        <v>707</v>
      </c>
      <c r="B29" s="165" t="s">
        <v>708</v>
      </c>
      <c r="C29" s="183" t="str">
        <f t="shared" si="4"/>
        <v>1012069</v>
      </c>
      <c r="D29" s="182" t="str">
        <f t="shared" si="5"/>
        <v>Trường PT Dân tộc Nội trú luyện KonPlong</v>
      </c>
      <c r="E29" s="206"/>
      <c r="F29" s="207">
        <v>422</v>
      </c>
      <c r="G29" s="207"/>
      <c r="H29" s="205"/>
      <c r="I29" s="224">
        <f>J29-Sheet1!I67</f>
        <v>0</v>
      </c>
      <c r="J29" s="167">
        <v>11893387000</v>
      </c>
      <c r="K29" s="166"/>
      <c r="L29" s="167">
        <v>10733687000</v>
      </c>
      <c r="M29" s="168">
        <v>1159700000</v>
      </c>
      <c r="N29" s="168">
        <f t="shared" si="7"/>
        <v>11893387000</v>
      </c>
      <c r="O29" s="168"/>
      <c r="P29" s="167">
        <v>10761596900</v>
      </c>
      <c r="Q29" s="167">
        <f t="shared" si="8"/>
        <v>10761596900</v>
      </c>
      <c r="R29" s="168"/>
      <c r="T29" s="201">
        <f t="shared" si="9"/>
        <v>11893.387000000001</v>
      </c>
      <c r="U29" s="201">
        <f t="shared" si="10"/>
        <v>11893.387000000001</v>
      </c>
      <c r="V29" s="201">
        <f t="shared" si="10"/>
        <v>0</v>
      </c>
      <c r="W29" s="201">
        <f t="shared" si="10"/>
        <v>10761.5969</v>
      </c>
      <c r="X29" s="201">
        <f t="shared" si="6"/>
        <v>10761.5969</v>
      </c>
      <c r="Y29" s="201">
        <f t="shared" si="6"/>
        <v>0</v>
      </c>
    </row>
    <row r="30" spans="1:25" s="169" customFormat="1" ht="26.4">
      <c r="A30" s="192" t="s">
        <v>710</v>
      </c>
      <c r="B30" s="165" t="s">
        <v>711</v>
      </c>
      <c r="C30" s="183" t="str">
        <f t="shared" si="4"/>
        <v>1012070</v>
      </c>
      <c r="D30" s="182" t="str">
        <f t="shared" si="5"/>
        <v>Trường PT Dân tộc Nội trú luyện Đak tô</v>
      </c>
      <c r="E30" s="206"/>
      <c r="F30" s="207">
        <v>422</v>
      </c>
      <c r="G30" s="207"/>
      <c r="H30" s="205"/>
      <c r="I30" s="224">
        <f>J30-Sheet1!I77</f>
        <v>0</v>
      </c>
      <c r="J30" s="167">
        <v>9183011000</v>
      </c>
      <c r="K30" s="166"/>
      <c r="L30" s="167">
        <v>8920897000</v>
      </c>
      <c r="M30" s="168">
        <v>262114000</v>
      </c>
      <c r="N30" s="168">
        <f t="shared" si="7"/>
        <v>9183011000</v>
      </c>
      <c r="O30" s="168"/>
      <c r="P30" s="167">
        <v>8355089456</v>
      </c>
      <c r="Q30" s="167">
        <f t="shared" si="8"/>
        <v>8355089456</v>
      </c>
      <c r="R30" s="168"/>
      <c r="T30" s="201">
        <f t="shared" si="9"/>
        <v>9183.0110000000004</v>
      </c>
      <c r="U30" s="201">
        <f t="shared" si="10"/>
        <v>9183.0110000000004</v>
      </c>
      <c r="V30" s="201">
        <f t="shared" si="10"/>
        <v>0</v>
      </c>
      <c r="W30" s="201">
        <f t="shared" si="10"/>
        <v>8355.0894559999997</v>
      </c>
      <c r="X30" s="201">
        <f t="shared" si="6"/>
        <v>8355.0894559999997</v>
      </c>
      <c r="Y30" s="201">
        <f t="shared" si="6"/>
        <v>0</v>
      </c>
    </row>
    <row r="31" spans="1:25" s="169" customFormat="1" ht="26.4">
      <c r="A31" s="192" t="s">
        <v>663</v>
      </c>
      <c r="B31" s="165" t="s">
        <v>713</v>
      </c>
      <c r="C31" s="183" t="str">
        <f t="shared" si="4"/>
        <v>1012071</v>
      </c>
      <c r="D31" s="182" t="str">
        <f t="shared" si="5"/>
        <v>Trường Trung học phS thông Duy Tân</v>
      </c>
      <c r="E31" s="206"/>
      <c r="F31" s="207">
        <v>422</v>
      </c>
      <c r="G31" s="207"/>
      <c r="H31" s="205"/>
      <c r="I31" s="224">
        <f>J31-Sheet1!I87</f>
        <v>0</v>
      </c>
      <c r="J31" s="167">
        <v>9478749099</v>
      </c>
      <c r="K31" s="167">
        <v>316922099</v>
      </c>
      <c r="L31" s="167">
        <v>9082855000</v>
      </c>
      <c r="M31" s="168">
        <v>78972000</v>
      </c>
      <c r="N31" s="168">
        <f t="shared" si="7"/>
        <v>9478749099</v>
      </c>
      <c r="O31" s="168"/>
      <c r="P31" s="167">
        <v>9381982810</v>
      </c>
      <c r="Q31" s="167">
        <f t="shared" si="8"/>
        <v>9381982810</v>
      </c>
      <c r="R31" s="168"/>
      <c r="T31" s="201">
        <f t="shared" si="9"/>
        <v>9478.7490990000006</v>
      </c>
      <c r="U31" s="201">
        <f t="shared" si="10"/>
        <v>9478.7490990000006</v>
      </c>
      <c r="V31" s="201">
        <f t="shared" si="10"/>
        <v>0</v>
      </c>
      <c r="W31" s="201">
        <f t="shared" si="10"/>
        <v>9381.9828099999995</v>
      </c>
      <c r="X31" s="201">
        <f t="shared" si="6"/>
        <v>9381.9828099999995</v>
      </c>
      <c r="Y31" s="201">
        <f t="shared" si="6"/>
        <v>0</v>
      </c>
    </row>
    <row r="32" spans="1:25" s="169" customFormat="1" ht="26.4">
      <c r="A32" s="192" t="s">
        <v>715</v>
      </c>
      <c r="B32" s="165" t="s">
        <v>716</v>
      </c>
      <c r="C32" s="183" t="str">
        <f t="shared" si="4"/>
        <v>1012077</v>
      </c>
      <c r="D32" s="182" t="str">
        <f t="shared" si="5"/>
        <v>Trung tâm Giáo dục Thường xuyên Kontum</v>
      </c>
      <c r="E32" s="206"/>
      <c r="F32" s="207">
        <v>422</v>
      </c>
      <c r="G32" s="207"/>
      <c r="H32" s="205"/>
      <c r="I32" s="224">
        <f>J32-Sheet1!I95</f>
        <v>0</v>
      </c>
      <c r="J32" s="167">
        <v>4857048174</v>
      </c>
      <c r="K32" s="167">
        <v>56000174</v>
      </c>
      <c r="L32" s="167">
        <v>4651911000</v>
      </c>
      <c r="M32" s="168">
        <v>149137000</v>
      </c>
      <c r="N32" s="168">
        <f t="shared" si="7"/>
        <v>4857048174</v>
      </c>
      <c r="O32" s="168"/>
      <c r="P32" s="167">
        <v>4810916674</v>
      </c>
      <c r="Q32" s="167">
        <f t="shared" si="8"/>
        <v>4810916674</v>
      </c>
      <c r="R32" s="168"/>
      <c r="T32" s="201">
        <f t="shared" si="9"/>
        <v>4857.0481739999996</v>
      </c>
      <c r="U32" s="201">
        <f t="shared" si="10"/>
        <v>4857.0481739999996</v>
      </c>
      <c r="V32" s="201">
        <f t="shared" si="10"/>
        <v>0</v>
      </c>
      <c r="W32" s="201">
        <f t="shared" si="10"/>
        <v>4810.9166740000001</v>
      </c>
      <c r="X32" s="201">
        <f t="shared" si="6"/>
        <v>4810.9166740000001</v>
      </c>
      <c r="Y32" s="201">
        <f t="shared" si="6"/>
        <v>0</v>
      </c>
    </row>
    <row r="33" spans="1:25" s="169" customFormat="1" ht="26.4">
      <c r="A33" s="192" t="s">
        <v>719</v>
      </c>
      <c r="B33" s="165" t="s">
        <v>720</v>
      </c>
      <c r="C33" s="183" t="str">
        <f t="shared" si="4"/>
        <v>1012078</v>
      </c>
      <c r="D33" s="182" t="str">
        <f t="shared" si="5"/>
        <v>Văn phòng ủy ban Nhân dân tỉnh</v>
      </c>
      <c r="E33" s="206"/>
      <c r="F33" s="207">
        <v>405</v>
      </c>
      <c r="G33" s="207"/>
      <c r="H33" s="205"/>
      <c r="I33" s="224">
        <f>J33-Sheet1!I105</f>
        <v>0</v>
      </c>
      <c r="J33" s="167">
        <v>17689258000</v>
      </c>
      <c r="K33" s="166"/>
      <c r="L33" s="167">
        <v>16584000000</v>
      </c>
      <c r="M33" s="168">
        <v>1105258000</v>
      </c>
      <c r="N33" s="168">
        <f t="shared" si="7"/>
        <v>17689258000</v>
      </c>
      <c r="O33" s="168"/>
      <c r="P33" s="167">
        <v>17148632375</v>
      </c>
      <c r="Q33" s="167">
        <f t="shared" si="8"/>
        <v>17148632375</v>
      </c>
      <c r="R33" s="168"/>
      <c r="T33" s="201">
        <f t="shared" si="9"/>
        <v>17689.258000000002</v>
      </c>
      <c r="U33" s="201">
        <f t="shared" si="10"/>
        <v>17689.258000000002</v>
      </c>
      <c r="V33" s="201">
        <f t="shared" si="10"/>
        <v>0</v>
      </c>
      <c r="W33" s="201">
        <f t="shared" si="10"/>
        <v>17148.632375000001</v>
      </c>
      <c r="X33" s="201">
        <f t="shared" si="6"/>
        <v>17148.632375000001</v>
      </c>
      <c r="Y33" s="201">
        <f t="shared" si="6"/>
        <v>0</v>
      </c>
    </row>
    <row r="34" spans="1:25" s="169" customFormat="1" ht="26.4">
      <c r="A34" s="192" t="s">
        <v>681</v>
      </c>
      <c r="B34" s="165" t="s">
        <v>723</v>
      </c>
      <c r="C34" s="183" t="str">
        <f t="shared" si="4"/>
        <v>1012444</v>
      </c>
      <c r="D34" s="182" t="str">
        <f t="shared" si="5"/>
        <v>Văn phòng Hội đồng Nhân dân tỉnh Kontum</v>
      </c>
      <c r="E34" s="206"/>
      <c r="F34" s="207">
        <v>402</v>
      </c>
      <c r="G34" s="207"/>
      <c r="H34" s="205"/>
      <c r="I34" s="224">
        <f>J34-Sheet1!I113</f>
        <v>0</v>
      </c>
      <c r="J34" s="167">
        <v>6363445518</v>
      </c>
      <c r="K34" s="167">
        <v>69785318</v>
      </c>
      <c r="L34" s="167">
        <v>5759000000</v>
      </c>
      <c r="M34" s="168">
        <v>534660200</v>
      </c>
      <c r="N34" s="168">
        <f t="shared" si="7"/>
        <v>6363445518</v>
      </c>
      <c r="O34" s="168"/>
      <c r="P34" s="167">
        <v>6294910105</v>
      </c>
      <c r="Q34" s="167">
        <f t="shared" si="8"/>
        <v>6294910105</v>
      </c>
      <c r="R34" s="168"/>
      <c r="T34" s="201">
        <f t="shared" si="9"/>
        <v>6363.4455180000004</v>
      </c>
      <c r="U34" s="201">
        <f t="shared" si="10"/>
        <v>6363.4455180000004</v>
      </c>
      <c r="V34" s="201">
        <f t="shared" si="10"/>
        <v>0</v>
      </c>
      <c r="W34" s="201">
        <f t="shared" si="10"/>
        <v>6294.9101049999999</v>
      </c>
      <c r="X34" s="201">
        <f t="shared" si="6"/>
        <v>6294.9101049999999</v>
      </c>
      <c r="Y34" s="201">
        <f t="shared" si="6"/>
        <v>0</v>
      </c>
    </row>
    <row r="35" spans="1:25" s="169" customFormat="1" ht="26.4">
      <c r="A35" s="192" t="s">
        <v>666</v>
      </c>
      <c r="B35" s="165" t="s">
        <v>725</v>
      </c>
      <c r="C35" s="183" t="str">
        <f t="shared" si="4"/>
        <v>1014914</v>
      </c>
      <c r="D35" s="182" t="str">
        <f t="shared" si="5"/>
        <v>Trung tâm Khuyẽn nông tỉnh Kontum</v>
      </c>
      <c r="E35" s="206"/>
      <c r="F35" s="207">
        <v>412</v>
      </c>
      <c r="G35" s="207"/>
      <c r="H35" s="205"/>
      <c r="I35" s="224">
        <f>J35-Sheet1!I120</f>
        <v>0</v>
      </c>
      <c r="J35" s="167">
        <v>12521100000</v>
      </c>
      <c r="K35" s="167">
        <v>540000000</v>
      </c>
      <c r="L35" s="167">
        <v>11788000000</v>
      </c>
      <c r="M35" s="168">
        <v>193100000</v>
      </c>
      <c r="N35" s="168">
        <f t="shared" si="7"/>
        <v>12521100000</v>
      </c>
      <c r="O35" s="168"/>
      <c r="P35" s="167">
        <v>11900946662</v>
      </c>
      <c r="Q35" s="167">
        <f t="shared" si="8"/>
        <v>11900946662</v>
      </c>
      <c r="R35" s="168"/>
      <c r="T35" s="201">
        <f t="shared" si="9"/>
        <v>12521.1</v>
      </c>
      <c r="U35" s="201">
        <f t="shared" si="10"/>
        <v>12521.1</v>
      </c>
      <c r="V35" s="201">
        <f t="shared" si="10"/>
        <v>0</v>
      </c>
      <c r="W35" s="201">
        <f t="shared" si="10"/>
        <v>11900.946662</v>
      </c>
      <c r="X35" s="201">
        <f t="shared" si="6"/>
        <v>11900.946662</v>
      </c>
      <c r="Y35" s="201">
        <f t="shared" si="6"/>
        <v>0</v>
      </c>
    </row>
    <row r="36" spans="1:25" s="169" customFormat="1" ht="27">
      <c r="A36" s="192" t="s">
        <v>679</v>
      </c>
      <c r="B36" s="165" t="s">
        <v>728</v>
      </c>
      <c r="C36" s="183" t="str">
        <f t="shared" si="4"/>
        <v>1014915</v>
      </c>
      <c r="D36" s="182" t="str">
        <f t="shared" si="5"/>
        <v>Trung tâm Giống cây trồng, 1/ật nuôi, thủy sản</v>
      </c>
      <c r="E36" s="206"/>
      <c r="F36" s="207">
        <v>412</v>
      </c>
      <c r="G36" s="207"/>
      <c r="H36" s="205"/>
      <c r="I36" s="224">
        <f>J36-Sheet1!I128</f>
        <v>0</v>
      </c>
      <c r="J36" s="167">
        <v>2371016000</v>
      </c>
      <c r="K36" s="167">
        <v>64000000</v>
      </c>
      <c r="L36" s="167">
        <v>1697000000</v>
      </c>
      <c r="M36" s="168">
        <v>610016000</v>
      </c>
      <c r="N36" s="168">
        <f t="shared" si="7"/>
        <v>2371016000</v>
      </c>
      <c r="O36" s="168"/>
      <c r="P36" s="167">
        <v>2046807375</v>
      </c>
      <c r="Q36" s="167">
        <f t="shared" si="8"/>
        <v>2046807375</v>
      </c>
      <c r="R36" s="168"/>
      <c r="T36" s="201">
        <f t="shared" si="9"/>
        <v>2371.0160000000001</v>
      </c>
      <c r="U36" s="201">
        <f t="shared" si="10"/>
        <v>2371.0160000000001</v>
      </c>
      <c r="V36" s="201">
        <f t="shared" si="10"/>
        <v>0</v>
      </c>
      <c r="W36" s="201">
        <f t="shared" si="10"/>
        <v>2046.8073750000001</v>
      </c>
      <c r="X36" s="201">
        <f t="shared" si="6"/>
        <v>2046.8073750000001</v>
      </c>
      <c r="Y36" s="201">
        <f t="shared" si="6"/>
        <v>0</v>
      </c>
    </row>
    <row r="37" spans="1:25" s="169" customFormat="1" ht="27.6">
      <c r="A37" s="192" t="s">
        <v>667</v>
      </c>
      <c r="B37" s="165" t="s">
        <v>732</v>
      </c>
      <c r="C37" s="183" t="str">
        <f t="shared" si="4"/>
        <v>1015164</v>
      </c>
      <c r="D37" s="182" t="str">
        <f t="shared" si="5"/>
        <v>Chi cục Trồng trọt và Bảo vệ tiực vật tỉnh Kon Tum</v>
      </c>
      <c r="E37" s="206"/>
      <c r="F37" s="207">
        <v>412</v>
      </c>
      <c r="G37" s="207"/>
      <c r="H37" s="205"/>
      <c r="I37" s="224">
        <f>J37-Sheet1!I137</f>
        <v>0</v>
      </c>
      <c r="J37" s="167">
        <v>6278654381</v>
      </c>
      <c r="K37" s="167">
        <v>130289381</v>
      </c>
      <c r="L37" s="167">
        <v>5546000000</v>
      </c>
      <c r="M37" s="168">
        <v>602365000</v>
      </c>
      <c r="N37" s="168">
        <f t="shared" si="7"/>
        <v>6278654381</v>
      </c>
      <c r="O37" s="168"/>
      <c r="P37" s="167">
        <v>6272967381</v>
      </c>
      <c r="Q37" s="167">
        <f t="shared" si="8"/>
        <v>6272967381</v>
      </c>
      <c r="R37" s="168"/>
      <c r="T37" s="201">
        <f t="shared" si="9"/>
        <v>6278.6543810000003</v>
      </c>
      <c r="U37" s="201">
        <f t="shared" si="10"/>
        <v>6278.6543810000003</v>
      </c>
      <c r="V37" s="201">
        <f t="shared" si="10"/>
        <v>0</v>
      </c>
      <c r="W37" s="201">
        <f t="shared" si="10"/>
        <v>6272.9673810000004</v>
      </c>
      <c r="X37" s="201">
        <f t="shared" si="6"/>
        <v>6272.9673810000004</v>
      </c>
      <c r="Y37" s="201">
        <f t="shared" si="6"/>
        <v>0</v>
      </c>
    </row>
    <row r="38" spans="1:25" s="169" customFormat="1" ht="26.4">
      <c r="A38" s="192" t="s">
        <v>668</v>
      </c>
      <c r="B38" s="165" t="s">
        <v>734</v>
      </c>
      <c r="C38" s="183" t="str">
        <f t="shared" si="4"/>
        <v>1015165</v>
      </c>
      <c r="D38" s="182" t="str">
        <f t="shared" si="5"/>
        <v>Trung tâm Nước sinh hoạt và vs MT nông thôn</v>
      </c>
      <c r="E38" s="206"/>
      <c r="F38" s="207">
        <v>412</v>
      </c>
      <c r="G38" s="207"/>
      <c r="H38" s="205"/>
      <c r="I38" s="224">
        <f>J38-Sheet1!I147</f>
        <v>0</v>
      </c>
      <c r="J38" s="167">
        <v>4966667000</v>
      </c>
      <c r="K38" s="167">
        <v>2823967000</v>
      </c>
      <c r="L38" s="167">
        <v>2114000000</v>
      </c>
      <c r="M38" s="168">
        <v>28700000</v>
      </c>
      <c r="N38" s="168">
        <f t="shared" si="7"/>
        <v>4966667000</v>
      </c>
      <c r="O38" s="168"/>
      <c r="P38" s="167">
        <v>4757081000</v>
      </c>
      <c r="Q38" s="167">
        <f t="shared" si="8"/>
        <v>4757081000</v>
      </c>
      <c r="R38" s="168"/>
      <c r="T38" s="201">
        <f t="shared" si="9"/>
        <v>4966.6670000000004</v>
      </c>
      <c r="U38" s="201">
        <f t="shared" si="10"/>
        <v>4966.6670000000004</v>
      </c>
      <c r="V38" s="201">
        <f t="shared" si="10"/>
        <v>0</v>
      </c>
      <c r="W38" s="201">
        <f t="shared" si="10"/>
        <v>4757.0810000000001</v>
      </c>
      <c r="X38" s="201">
        <f t="shared" si="6"/>
        <v>4757.0810000000001</v>
      </c>
      <c r="Y38" s="201">
        <f t="shared" si="6"/>
        <v>0</v>
      </c>
    </row>
    <row r="39" spans="1:25" s="169" customFormat="1" ht="27.6">
      <c r="A39" s="192" t="s">
        <v>669</v>
      </c>
      <c r="B39" s="165" t="s">
        <v>737</v>
      </c>
      <c r="C39" s="183" t="str">
        <f t="shared" si="4"/>
        <v>1015168</v>
      </c>
      <c r="D39" s="182" t="str">
        <f t="shared" si="5"/>
        <v>Văn phòng sờ Nông nghiệp 1/à Phát triền Nông thôn</v>
      </c>
      <c r="E39" s="206"/>
      <c r="F39" s="207">
        <v>412</v>
      </c>
      <c r="G39" s="207"/>
      <c r="H39" s="205"/>
      <c r="I39" s="224">
        <f>J39-Sheet1!I154</f>
        <v>0</v>
      </c>
      <c r="J39" s="167">
        <v>9958692000</v>
      </c>
      <c r="K39" s="167">
        <v>633592000</v>
      </c>
      <c r="L39" s="167">
        <v>8244000000</v>
      </c>
      <c r="M39" s="168">
        <v>1081100000</v>
      </c>
      <c r="N39" s="168">
        <f t="shared" si="7"/>
        <v>9258692000</v>
      </c>
      <c r="O39" s="168">
        <f>O40+O41</f>
        <v>700000000</v>
      </c>
      <c r="P39" s="167">
        <v>8909763600</v>
      </c>
      <c r="Q39" s="167">
        <f t="shared" si="8"/>
        <v>8750630600</v>
      </c>
      <c r="R39" s="168">
        <f>R40+R41</f>
        <v>159133000</v>
      </c>
      <c r="T39" s="201">
        <f t="shared" si="9"/>
        <v>9958.6919999999991</v>
      </c>
      <c r="U39" s="201">
        <f t="shared" si="10"/>
        <v>9258.6919999999991</v>
      </c>
      <c r="V39" s="201">
        <f t="shared" si="10"/>
        <v>700</v>
      </c>
      <c r="W39" s="201">
        <f t="shared" si="10"/>
        <v>8909.7636000000002</v>
      </c>
      <c r="X39" s="201">
        <f t="shared" si="10"/>
        <v>8750.6306000000004</v>
      </c>
      <c r="Y39" s="201">
        <f t="shared" si="10"/>
        <v>159.13300000000001</v>
      </c>
    </row>
    <row r="40" spans="1:25" s="169" customFormat="1" ht="13.8">
      <c r="A40" s="192"/>
      <c r="B40" s="170" t="s">
        <v>675</v>
      </c>
      <c r="C40" s="183" t="str">
        <f t="shared" si="4"/>
        <v/>
      </c>
      <c r="D40" s="182" t="s">
        <v>1464</v>
      </c>
      <c r="E40" s="206"/>
      <c r="F40" s="207">
        <v>412</v>
      </c>
      <c r="G40" s="207"/>
      <c r="H40" s="205"/>
      <c r="I40" s="205"/>
      <c r="J40" s="167">
        <v>9258692000</v>
      </c>
      <c r="K40" s="167">
        <v>633592000</v>
      </c>
      <c r="L40" s="167">
        <v>8244000000</v>
      </c>
      <c r="M40" s="168">
        <v>381100000</v>
      </c>
      <c r="N40" s="168">
        <f t="shared" si="7"/>
        <v>9258692000</v>
      </c>
      <c r="O40" s="168"/>
      <c r="P40" s="167">
        <v>8750630600</v>
      </c>
      <c r="Q40" s="167">
        <f t="shared" si="8"/>
        <v>8750630600</v>
      </c>
      <c r="R40" s="168"/>
      <c r="T40" s="201">
        <f t="shared" si="9"/>
        <v>9258.6919999999991</v>
      </c>
      <c r="U40" s="201">
        <f t="shared" ref="U40:Y55" si="11">N40/1000000</f>
        <v>9258.6919999999991</v>
      </c>
      <c r="V40" s="201">
        <f t="shared" si="11"/>
        <v>0</v>
      </c>
      <c r="W40" s="201">
        <f t="shared" si="11"/>
        <v>8750.6306000000004</v>
      </c>
      <c r="X40" s="201">
        <f t="shared" si="11"/>
        <v>8750.6306000000004</v>
      </c>
      <c r="Y40" s="201">
        <f t="shared" si="11"/>
        <v>0</v>
      </c>
    </row>
    <row r="41" spans="1:25" s="169" customFormat="1" ht="13.8">
      <c r="A41" s="192"/>
      <c r="B41" s="170" t="s">
        <v>731</v>
      </c>
      <c r="C41" s="183" t="str">
        <f t="shared" si="4"/>
        <v/>
      </c>
      <c r="D41" s="182" t="s">
        <v>1465</v>
      </c>
      <c r="E41" s="192" t="s">
        <v>681</v>
      </c>
      <c r="F41" s="192" t="s">
        <v>698</v>
      </c>
      <c r="G41" s="192" t="s">
        <v>727</v>
      </c>
      <c r="H41" s="210" t="s">
        <v>1442</v>
      </c>
      <c r="I41" s="210"/>
      <c r="J41" s="167">
        <v>700000000</v>
      </c>
      <c r="K41" s="166"/>
      <c r="L41" s="166"/>
      <c r="M41" s="168">
        <v>700000000</v>
      </c>
      <c r="N41" s="168">
        <f t="shared" si="7"/>
        <v>0</v>
      </c>
      <c r="O41" s="168">
        <f>J41</f>
        <v>700000000</v>
      </c>
      <c r="P41" s="167">
        <v>159133000</v>
      </c>
      <c r="Q41" s="167">
        <f t="shared" si="8"/>
        <v>0</v>
      </c>
      <c r="R41" s="168">
        <f>P41</f>
        <v>159133000</v>
      </c>
      <c r="T41" s="201">
        <f t="shared" si="9"/>
        <v>700</v>
      </c>
      <c r="U41" s="201">
        <f t="shared" si="11"/>
        <v>0</v>
      </c>
      <c r="V41" s="201">
        <f t="shared" si="11"/>
        <v>700</v>
      </c>
      <c r="W41" s="201">
        <f t="shared" si="11"/>
        <v>159.13300000000001</v>
      </c>
      <c r="X41" s="201">
        <f t="shared" si="11"/>
        <v>0</v>
      </c>
      <c r="Y41" s="201">
        <f t="shared" si="11"/>
        <v>159.13300000000001</v>
      </c>
    </row>
    <row r="42" spans="1:25" s="169" customFormat="1" ht="26.4">
      <c r="A42" s="192" t="s">
        <v>742</v>
      </c>
      <c r="B42" s="176" t="s">
        <v>743</v>
      </c>
      <c r="C42" s="183" t="str">
        <f t="shared" si="4"/>
        <v>1015425</v>
      </c>
      <c r="D42" s="182" t="str">
        <f t="shared" ref="D42:D43" si="12">IF(C42&lt;&gt;"",RIGHT(B42,LEN(B42)-8),"")</f>
        <v>Chi cục Thủy lợi tỉnh Kon rum</v>
      </c>
      <c r="E42" s="206"/>
      <c r="F42" s="207">
        <v>412</v>
      </c>
      <c r="G42" s="207"/>
      <c r="H42" s="205"/>
      <c r="I42" s="224">
        <f>J42-Sheet1!I168</f>
        <v>0</v>
      </c>
      <c r="J42" s="167">
        <v>2832509000</v>
      </c>
      <c r="K42" s="167">
        <v>567000000</v>
      </c>
      <c r="L42" s="167">
        <v>1787000000</v>
      </c>
      <c r="M42" s="168">
        <v>478509000</v>
      </c>
      <c r="N42" s="168">
        <f t="shared" si="7"/>
        <v>2832509000</v>
      </c>
      <c r="O42" s="168"/>
      <c r="P42" s="167">
        <v>2473728311</v>
      </c>
      <c r="Q42" s="167">
        <f t="shared" si="8"/>
        <v>2473728311</v>
      </c>
      <c r="R42" s="168"/>
      <c r="T42" s="201">
        <f t="shared" si="9"/>
        <v>2832.509</v>
      </c>
      <c r="U42" s="201">
        <f t="shared" si="11"/>
        <v>2832.509</v>
      </c>
      <c r="V42" s="201">
        <f t="shared" si="11"/>
        <v>0</v>
      </c>
      <c r="W42" s="201">
        <f t="shared" si="11"/>
        <v>2473.7283109999998</v>
      </c>
      <c r="X42" s="201">
        <f t="shared" si="11"/>
        <v>2473.7283109999998</v>
      </c>
      <c r="Y42" s="201">
        <f t="shared" si="11"/>
        <v>0</v>
      </c>
    </row>
    <row r="43" spans="1:25" s="169" customFormat="1" ht="26.4">
      <c r="A43" s="192" t="s">
        <v>746</v>
      </c>
      <c r="B43" s="176" t="s">
        <v>747</v>
      </c>
      <c r="C43" s="183" t="str">
        <f t="shared" si="4"/>
        <v>1015428</v>
      </c>
      <c r="D43" s="182" t="str">
        <f t="shared" si="12"/>
        <v>Chi cục Chăn nuôi và Thú y :ỉnh Kon Tum</v>
      </c>
      <c r="E43" s="206"/>
      <c r="F43" s="207">
        <v>412</v>
      </c>
      <c r="G43" s="207"/>
      <c r="H43" s="205"/>
      <c r="I43" s="224">
        <f>J43-Sheet1!I175</f>
        <v>0</v>
      </c>
      <c r="J43" s="167">
        <v>18364075920</v>
      </c>
      <c r="K43" s="167">
        <v>270435420</v>
      </c>
      <c r="L43" s="167">
        <v>11576300000</v>
      </c>
      <c r="M43" s="168">
        <v>6517340500</v>
      </c>
      <c r="N43" s="168">
        <f t="shared" si="7"/>
        <v>13906075920</v>
      </c>
      <c r="O43" s="168">
        <f>O44+O45</f>
        <v>4458000000</v>
      </c>
      <c r="P43" s="167">
        <v>18057664370</v>
      </c>
      <c r="Q43" s="167">
        <f t="shared" si="8"/>
        <v>13601989370</v>
      </c>
      <c r="R43" s="168">
        <f>R44+R45</f>
        <v>4455675000</v>
      </c>
      <c r="T43" s="201">
        <f t="shared" si="9"/>
        <v>18364.075919999999</v>
      </c>
      <c r="U43" s="201">
        <f t="shared" si="11"/>
        <v>13906.075919999999</v>
      </c>
      <c r="V43" s="201">
        <f t="shared" si="11"/>
        <v>4458</v>
      </c>
      <c r="W43" s="201">
        <f t="shared" si="11"/>
        <v>18057.664369999999</v>
      </c>
      <c r="X43" s="201">
        <f t="shared" si="11"/>
        <v>13601.989369999999</v>
      </c>
      <c r="Y43" s="201">
        <f t="shared" si="11"/>
        <v>4455.6750000000002</v>
      </c>
    </row>
    <row r="44" spans="1:25" s="169" customFormat="1" ht="13.8">
      <c r="A44" s="192"/>
      <c r="B44" s="164" t="s">
        <v>675</v>
      </c>
      <c r="C44" s="183" t="str">
        <f t="shared" si="4"/>
        <v/>
      </c>
      <c r="D44" s="182" t="s">
        <v>1464</v>
      </c>
      <c r="E44" s="206"/>
      <c r="F44" s="207"/>
      <c r="G44" s="207"/>
      <c r="H44" s="205"/>
      <c r="I44" s="205"/>
      <c r="J44" s="167">
        <v>13906075920</v>
      </c>
      <c r="K44" s="167">
        <v>270435420</v>
      </c>
      <c r="L44" s="167">
        <v>11576300000</v>
      </c>
      <c r="M44" s="168">
        <v>2059340500</v>
      </c>
      <c r="N44" s="168">
        <f t="shared" si="7"/>
        <v>13906075920</v>
      </c>
      <c r="O44" s="168"/>
      <c r="P44" s="167">
        <v>13601989370</v>
      </c>
      <c r="Q44" s="167">
        <f t="shared" si="8"/>
        <v>13601989370</v>
      </c>
      <c r="R44" s="168"/>
      <c r="T44" s="201">
        <f t="shared" si="9"/>
        <v>13906.075919999999</v>
      </c>
      <c r="U44" s="201">
        <f t="shared" si="11"/>
        <v>13906.075919999999</v>
      </c>
      <c r="V44" s="201">
        <f t="shared" si="11"/>
        <v>0</v>
      </c>
      <c r="W44" s="201">
        <f t="shared" si="11"/>
        <v>13601.989369999999</v>
      </c>
      <c r="X44" s="201">
        <f t="shared" si="11"/>
        <v>13601.989369999999</v>
      </c>
      <c r="Y44" s="201">
        <f t="shared" si="11"/>
        <v>0</v>
      </c>
    </row>
    <row r="45" spans="1:25" s="169" customFormat="1" ht="13.8">
      <c r="A45" s="192"/>
      <c r="B45" s="164" t="s">
        <v>731</v>
      </c>
      <c r="C45" s="183" t="str">
        <f t="shared" si="4"/>
        <v/>
      </c>
      <c r="D45" s="182" t="s">
        <v>1466</v>
      </c>
      <c r="E45" s="192" t="s">
        <v>681</v>
      </c>
      <c r="F45" s="192" t="s">
        <v>698</v>
      </c>
      <c r="G45" s="192" t="s">
        <v>749</v>
      </c>
      <c r="H45" s="210" t="s">
        <v>1443</v>
      </c>
      <c r="I45" s="210"/>
      <c r="J45" s="167">
        <v>4458000000</v>
      </c>
      <c r="K45" s="166"/>
      <c r="L45" s="166"/>
      <c r="M45" s="168">
        <v>4458000000</v>
      </c>
      <c r="N45" s="168">
        <f t="shared" si="7"/>
        <v>0</v>
      </c>
      <c r="O45" s="168">
        <f>J45</f>
        <v>4458000000</v>
      </c>
      <c r="P45" s="167">
        <v>4455675000</v>
      </c>
      <c r="Q45" s="167">
        <f>P45-R45</f>
        <v>0</v>
      </c>
      <c r="R45" s="168">
        <f>P45</f>
        <v>4455675000</v>
      </c>
      <c r="T45" s="201">
        <f t="shared" si="9"/>
        <v>4458</v>
      </c>
      <c r="U45" s="201">
        <f t="shared" si="11"/>
        <v>0</v>
      </c>
      <c r="V45" s="201">
        <f t="shared" si="11"/>
        <v>4458</v>
      </c>
      <c r="W45" s="201">
        <f t="shared" si="11"/>
        <v>4455.6750000000002</v>
      </c>
      <c r="X45" s="201">
        <f t="shared" si="11"/>
        <v>0</v>
      </c>
      <c r="Y45" s="201">
        <f t="shared" si="11"/>
        <v>4455.6750000000002</v>
      </c>
    </row>
    <row r="46" spans="1:25" s="169" customFormat="1" ht="26.4">
      <c r="A46" s="192" t="s">
        <v>751</v>
      </c>
      <c r="B46" s="176" t="s">
        <v>752</v>
      </c>
      <c r="C46" s="183" t="str">
        <f t="shared" si="4"/>
        <v>1016743</v>
      </c>
      <c r="D46" s="182" t="str">
        <f t="shared" ref="D46:D49" si="13">IF(C46&lt;&gt;"",RIGHT(B46,LEN(B46)-8),"")</f>
        <v>Trường Trung học PhS thông Mguyên Văn Cừ</v>
      </c>
      <c r="E46" s="206"/>
      <c r="F46" s="207">
        <v>422</v>
      </c>
      <c r="G46" s="207"/>
      <c r="H46" s="205"/>
      <c r="I46" s="224">
        <f>J46-Sheet1!I188</f>
        <v>0</v>
      </c>
      <c r="J46" s="167">
        <v>6737583000</v>
      </c>
      <c r="K46" s="167">
        <v>1000000</v>
      </c>
      <c r="L46" s="167">
        <v>6495427000</v>
      </c>
      <c r="M46" s="168">
        <v>241156000</v>
      </c>
      <c r="N46" s="168">
        <f t="shared" si="7"/>
        <v>6737583000</v>
      </c>
      <c r="O46" s="168"/>
      <c r="P46" s="167">
        <v>6683067556</v>
      </c>
      <c r="Q46" s="167">
        <f t="shared" si="8"/>
        <v>6683067556</v>
      </c>
      <c r="R46" s="168"/>
      <c r="T46" s="201">
        <f t="shared" si="9"/>
        <v>6737.5829999999996</v>
      </c>
      <c r="U46" s="201">
        <f t="shared" si="11"/>
        <v>6737.5829999999996</v>
      </c>
      <c r="V46" s="201">
        <f t="shared" si="11"/>
        <v>0</v>
      </c>
      <c r="W46" s="201">
        <f t="shared" si="11"/>
        <v>6683.067556</v>
      </c>
      <c r="X46" s="201">
        <f t="shared" si="11"/>
        <v>6683.067556</v>
      </c>
      <c r="Y46" s="201">
        <f t="shared" si="11"/>
        <v>0</v>
      </c>
    </row>
    <row r="47" spans="1:25" s="169" customFormat="1" ht="39.6">
      <c r="A47" s="192" t="s">
        <v>754</v>
      </c>
      <c r="B47" s="165" t="s">
        <v>755</v>
      </c>
      <c r="C47" s="183" t="str">
        <f t="shared" si="4"/>
        <v>1026899</v>
      </c>
      <c r="D47" s="182" t="str">
        <f t="shared" si="13"/>
        <v>Ban chỉ huy phòng chổng thiên tai và tim kiẽm cứu nạn tỉnh Kon Tum</v>
      </c>
      <c r="E47" s="206"/>
      <c r="F47" s="207">
        <v>412</v>
      </c>
      <c r="G47" s="207"/>
      <c r="H47" s="205"/>
      <c r="I47" s="224">
        <f>J47-Sheet1!I198</f>
        <v>0</v>
      </c>
      <c r="J47" s="167">
        <v>430700000</v>
      </c>
      <c r="K47" s="167">
        <v>63000000</v>
      </c>
      <c r="L47" s="167">
        <v>362000000</v>
      </c>
      <c r="M47" s="168">
        <v>5700000</v>
      </c>
      <c r="N47" s="168">
        <f t="shared" si="7"/>
        <v>430700000</v>
      </c>
      <c r="O47" s="168"/>
      <c r="P47" s="167">
        <v>430700000</v>
      </c>
      <c r="Q47" s="167">
        <f t="shared" si="8"/>
        <v>430700000</v>
      </c>
      <c r="R47" s="168"/>
      <c r="T47" s="201">
        <f t="shared" si="9"/>
        <v>430.7</v>
      </c>
      <c r="U47" s="201">
        <f t="shared" si="11"/>
        <v>430.7</v>
      </c>
      <c r="V47" s="201">
        <f t="shared" si="11"/>
        <v>0</v>
      </c>
      <c r="W47" s="201">
        <f t="shared" si="11"/>
        <v>430.7</v>
      </c>
      <c r="X47" s="201">
        <f t="shared" si="11"/>
        <v>430.7</v>
      </c>
      <c r="Y47" s="201">
        <f t="shared" si="11"/>
        <v>0</v>
      </c>
    </row>
    <row r="48" spans="1:25" s="169" customFormat="1" ht="27.6">
      <c r="A48" s="192" t="s">
        <v>757</v>
      </c>
      <c r="B48" s="165" t="s">
        <v>758</v>
      </c>
      <c r="C48" s="183" t="str">
        <f t="shared" si="4"/>
        <v>1027233</v>
      </c>
      <c r="D48" s="182" t="str">
        <f t="shared" si="13"/>
        <v>Trung tâm giáo dục nghễ nghiệp nông nghiệp công nghệ cao</v>
      </c>
      <c r="E48" s="206"/>
      <c r="F48" s="207">
        <v>599</v>
      </c>
      <c r="G48" s="207"/>
      <c r="H48" s="205"/>
      <c r="I48" s="224">
        <f>J48-Sheet1!I203</f>
        <v>0</v>
      </c>
      <c r="J48" s="167">
        <v>1496245345</v>
      </c>
      <c r="K48" s="166"/>
      <c r="L48" s="167">
        <v>1454155345</v>
      </c>
      <c r="M48" s="168">
        <v>42090000</v>
      </c>
      <c r="N48" s="168">
        <f t="shared" si="7"/>
        <v>1496245345</v>
      </c>
      <c r="O48" s="168"/>
      <c r="P48" s="167">
        <v>1496245345</v>
      </c>
      <c r="Q48" s="167">
        <f t="shared" si="8"/>
        <v>1496245345</v>
      </c>
      <c r="R48" s="168"/>
      <c r="T48" s="201">
        <f t="shared" si="9"/>
        <v>1496.245345</v>
      </c>
      <c r="U48" s="201">
        <f t="shared" si="11"/>
        <v>1496.245345</v>
      </c>
      <c r="V48" s="201">
        <f t="shared" si="11"/>
        <v>0</v>
      </c>
      <c r="W48" s="201">
        <f t="shared" si="11"/>
        <v>1496.245345</v>
      </c>
      <c r="X48" s="201">
        <f t="shared" si="11"/>
        <v>1496.245345</v>
      </c>
      <c r="Y48" s="201">
        <f t="shared" si="11"/>
        <v>0</v>
      </c>
    </row>
    <row r="49" spans="1:25" s="169" customFormat="1" ht="26.4">
      <c r="A49" s="192" t="s">
        <v>762</v>
      </c>
      <c r="B49" s="165" t="s">
        <v>763</v>
      </c>
      <c r="C49" s="183" t="str">
        <f t="shared" si="4"/>
        <v>1028496</v>
      </c>
      <c r="D49" s="182" t="str">
        <f t="shared" si="13"/>
        <v>Trung tâm dịch vụ việc làm tỉnh Kon Tum</v>
      </c>
      <c r="E49" s="206"/>
      <c r="F49" s="207">
        <v>424</v>
      </c>
      <c r="G49" s="207"/>
      <c r="H49" s="205"/>
      <c r="I49" s="224">
        <f>J49-Sheet1!I209</f>
        <v>0</v>
      </c>
      <c r="J49" s="167">
        <v>2020800000</v>
      </c>
      <c r="K49" s="166"/>
      <c r="L49" s="167">
        <v>1637000000</v>
      </c>
      <c r="M49" s="168">
        <v>383800000</v>
      </c>
      <c r="N49" s="168">
        <f t="shared" si="7"/>
        <v>1717800000</v>
      </c>
      <c r="O49" s="168">
        <f>O50+O51</f>
        <v>303000000</v>
      </c>
      <c r="P49" s="167">
        <v>1732619494</v>
      </c>
      <c r="Q49" s="167">
        <f t="shared" si="8"/>
        <v>1485881000</v>
      </c>
      <c r="R49" s="168">
        <f>R50+R51</f>
        <v>246738494</v>
      </c>
      <c r="T49" s="201">
        <f t="shared" si="9"/>
        <v>2020.8</v>
      </c>
      <c r="U49" s="201">
        <f t="shared" si="11"/>
        <v>1717.8</v>
      </c>
      <c r="V49" s="201">
        <f t="shared" si="11"/>
        <v>303</v>
      </c>
      <c r="W49" s="201">
        <f t="shared" si="11"/>
        <v>1732.619494</v>
      </c>
      <c r="X49" s="201">
        <f t="shared" si="11"/>
        <v>1485.8810000000001</v>
      </c>
      <c r="Y49" s="201">
        <f t="shared" si="11"/>
        <v>246.738494</v>
      </c>
    </row>
    <row r="50" spans="1:25" s="169" customFormat="1" ht="13.8">
      <c r="A50" s="192"/>
      <c r="B50" s="170" t="s">
        <v>689</v>
      </c>
      <c r="C50" s="183" t="str">
        <f t="shared" si="4"/>
        <v/>
      </c>
      <c r="D50" s="182" t="s">
        <v>1464</v>
      </c>
      <c r="E50" s="206"/>
      <c r="F50" s="207"/>
      <c r="G50" s="207"/>
      <c r="H50" s="205"/>
      <c r="I50" s="205"/>
      <c r="J50" s="167">
        <v>1717800000</v>
      </c>
      <c r="K50" s="167">
        <v>0</v>
      </c>
      <c r="L50" s="167">
        <v>1637000000</v>
      </c>
      <c r="M50" s="167">
        <v>80800000</v>
      </c>
      <c r="N50" s="168">
        <f t="shared" si="7"/>
        <v>1717800000</v>
      </c>
      <c r="O50" s="167">
        <v>0</v>
      </c>
      <c r="P50" s="167">
        <v>1485881000</v>
      </c>
      <c r="Q50" s="167">
        <f t="shared" si="8"/>
        <v>1485881000</v>
      </c>
      <c r="R50" s="167">
        <v>0</v>
      </c>
      <c r="T50" s="201">
        <f t="shared" si="9"/>
        <v>1717.8</v>
      </c>
      <c r="U50" s="201">
        <f t="shared" si="11"/>
        <v>1717.8</v>
      </c>
      <c r="V50" s="201">
        <f t="shared" si="11"/>
        <v>0</v>
      </c>
      <c r="W50" s="201">
        <f t="shared" si="11"/>
        <v>1485.8810000000001</v>
      </c>
      <c r="X50" s="201">
        <f t="shared" si="11"/>
        <v>1485.8810000000001</v>
      </c>
      <c r="Y50" s="201">
        <f t="shared" si="11"/>
        <v>0</v>
      </c>
    </row>
    <row r="51" spans="1:25" s="169" customFormat="1" ht="13.8">
      <c r="A51" s="193"/>
      <c r="B51" s="187"/>
      <c r="C51" s="183" t="str">
        <f t="shared" si="4"/>
        <v/>
      </c>
      <c r="D51" s="182" t="s">
        <v>1466</v>
      </c>
      <c r="E51" s="192" t="s">
        <v>681</v>
      </c>
      <c r="F51" s="192" t="s">
        <v>765</v>
      </c>
      <c r="G51" s="192" t="s">
        <v>767</v>
      </c>
      <c r="H51" s="210" t="s">
        <v>1444</v>
      </c>
      <c r="I51" s="210"/>
      <c r="J51" s="167">
        <v>303000000</v>
      </c>
      <c r="K51" s="166"/>
      <c r="L51" s="166"/>
      <c r="M51" s="168">
        <v>303000000</v>
      </c>
      <c r="N51" s="168">
        <f t="shared" si="7"/>
        <v>0</v>
      </c>
      <c r="O51" s="168">
        <f>J51</f>
        <v>303000000</v>
      </c>
      <c r="P51" s="167">
        <v>246738494</v>
      </c>
      <c r="Q51" s="167">
        <f t="shared" si="8"/>
        <v>0</v>
      </c>
      <c r="R51" s="168">
        <f>P51</f>
        <v>246738494</v>
      </c>
      <c r="T51" s="201">
        <f t="shared" si="9"/>
        <v>303</v>
      </c>
      <c r="U51" s="201">
        <f t="shared" si="11"/>
        <v>0</v>
      </c>
      <c r="V51" s="201">
        <f t="shared" si="11"/>
        <v>303</v>
      </c>
      <c r="W51" s="201">
        <f t="shared" si="11"/>
        <v>246.738494</v>
      </c>
      <c r="X51" s="201">
        <f t="shared" si="11"/>
        <v>0</v>
      </c>
      <c r="Y51" s="201">
        <f t="shared" si="11"/>
        <v>246.738494</v>
      </c>
    </row>
    <row r="52" spans="1:25" s="169" customFormat="1" ht="27.6">
      <c r="A52" s="192" t="s">
        <v>769</v>
      </c>
      <c r="B52" s="165" t="s">
        <v>770</v>
      </c>
      <c r="C52" s="183" t="str">
        <f t="shared" si="4"/>
        <v>1029870</v>
      </c>
      <c r="D52" s="182" t="str">
        <f t="shared" ref="D52:D72" si="14">IF(C52&lt;&gt;"",RIGHT(B52,LEN(B52)-8),"")</f>
        <v>Trường PhS thông dân tộc Nội trú huyện Tu Mơ Rông</v>
      </c>
      <c r="E52" s="206"/>
      <c r="F52" s="207">
        <v>422</v>
      </c>
      <c r="G52" s="207"/>
      <c r="H52" s="205"/>
      <c r="I52" s="224">
        <f>J52-Sheet1!I221</f>
        <v>0</v>
      </c>
      <c r="J52" s="167">
        <v>11160435000</v>
      </c>
      <c r="K52" s="166"/>
      <c r="L52" s="167">
        <v>10464770000</v>
      </c>
      <c r="M52" s="168">
        <v>695665000</v>
      </c>
      <c r="N52" s="168">
        <f t="shared" si="7"/>
        <v>11160435000</v>
      </c>
      <c r="O52" s="168"/>
      <c r="P52" s="167">
        <v>10289322500</v>
      </c>
      <c r="Q52" s="167">
        <f t="shared" si="8"/>
        <v>10289322500</v>
      </c>
      <c r="R52" s="168"/>
      <c r="T52" s="201">
        <f t="shared" si="9"/>
        <v>11160.434999999999</v>
      </c>
      <c r="U52" s="201">
        <f t="shared" si="11"/>
        <v>11160.434999999999</v>
      </c>
      <c r="V52" s="201">
        <f t="shared" si="11"/>
        <v>0</v>
      </c>
      <c r="W52" s="201">
        <f t="shared" si="11"/>
        <v>10289.3225</v>
      </c>
      <c r="X52" s="201">
        <f t="shared" si="11"/>
        <v>10289.3225</v>
      </c>
      <c r="Y52" s="201">
        <f t="shared" si="11"/>
        <v>0</v>
      </c>
    </row>
    <row r="53" spans="1:25" s="169" customFormat="1" ht="26.4">
      <c r="A53" s="192" t="s">
        <v>772</v>
      </c>
      <c r="B53" s="165" t="s">
        <v>773</v>
      </c>
      <c r="C53" s="183" t="str">
        <f t="shared" si="4"/>
        <v>1029922</v>
      </c>
      <c r="D53" s="182" t="str">
        <f t="shared" si="14"/>
        <v>Trung tâm Kiểm dịch Y tẽ Quốc tẽ</v>
      </c>
      <c r="E53" s="206"/>
      <c r="F53" s="207">
        <v>423</v>
      </c>
      <c r="G53" s="207"/>
      <c r="H53" s="205"/>
      <c r="I53" s="224">
        <f>J53-Sheet1!I232</f>
        <v>0</v>
      </c>
      <c r="J53" s="167">
        <v>1699710000</v>
      </c>
      <c r="K53" s="166"/>
      <c r="L53" s="167">
        <v>2456750000</v>
      </c>
      <c r="M53" s="168">
        <v>-757040000</v>
      </c>
      <c r="N53" s="168">
        <f t="shared" si="7"/>
        <v>1699710000</v>
      </c>
      <c r="O53" s="168"/>
      <c r="P53" s="167">
        <v>1699702182</v>
      </c>
      <c r="Q53" s="167">
        <f t="shared" si="8"/>
        <v>1699702182</v>
      </c>
      <c r="R53" s="168"/>
      <c r="T53" s="201">
        <f t="shared" si="9"/>
        <v>1699.71</v>
      </c>
      <c r="U53" s="201">
        <f t="shared" si="11"/>
        <v>1699.71</v>
      </c>
      <c r="V53" s="201">
        <f t="shared" si="11"/>
        <v>0</v>
      </c>
      <c r="W53" s="201">
        <f t="shared" si="11"/>
        <v>1699.702182</v>
      </c>
      <c r="X53" s="201">
        <f t="shared" si="11"/>
        <v>1699.702182</v>
      </c>
      <c r="Y53" s="201">
        <f t="shared" si="11"/>
        <v>0</v>
      </c>
    </row>
    <row r="54" spans="1:25" s="169" customFormat="1" ht="39.6">
      <c r="A54" s="192" t="s">
        <v>776</v>
      </c>
      <c r="B54" s="165" t="s">
        <v>777</v>
      </c>
      <c r="C54" s="183" t="str">
        <f t="shared" si="4"/>
        <v>1030058</v>
      </c>
      <c r="D54" s="182" t="str">
        <f t="shared" si="14"/>
        <v>Ban Chỉ đạo phân giới, cắm mổc tỉnh Kontum (Việt nam - Lào)</v>
      </c>
      <c r="E54" s="206"/>
      <c r="F54" s="207">
        <v>411</v>
      </c>
      <c r="G54" s="207"/>
      <c r="H54" s="205"/>
      <c r="I54" s="224">
        <f>J54-Sheet1!I238</f>
        <v>0</v>
      </c>
      <c r="J54" s="167">
        <v>2387542157</v>
      </c>
      <c r="K54" s="167">
        <v>2387542157</v>
      </c>
      <c r="L54" s="166"/>
      <c r="M54" s="171"/>
      <c r="N54" s="168">
        <f t="shared" si="7"/>
        <v>2387542157</v>
      </c>
      <c r="O54" s="171"/>
      <c r="P54" s="167">
        <v>1130765675</v>
      </c>
      <c r="Q54" s="167">
        <f t="shared" si="8"/>
        <v>1130765675</v>
      </c>
      <c r="R54" s="171"/>
      <c r="T54" s="201">
        <f t="shared" si="9"/>
        <v>2387.5421569999999</v>
      </c>
      <c r="U54" s="201">
        <f t="shared" si="11"/>
        <v>2387.5421569999999</v>
      </c>
      <c r="V54" s="201">
        <f t="shared" si="11"/>
        <v>0</v>
      </c>
      <c r="W54" s="201">
        <f t="shared" si="11"/>
        <v>1130.7656750000001</v>
      </c>
      <c r="X54" s="201">
        <f t="shared" si="11"/>
        <v>1130.7656750000001</v>
      </c>
      <c r="Y54" s="201">
        <f t="shared" si="11"/>
        <v>0</v>
      </c>
    </row>
    <row r="55" spans="1:25" s="169" customFormat="1" ht="26.4">
      <c r="A55" s="192" t="s">
        <v>781</v>
      </c>
      <c r="B55" s="165" t="s">
        <v>782</v>
      </c>
      <c r="C55" s="183" t="str">
        <f t="shared" si="4"/>
        <v>1030064</v>
      </c>
      <c r="D55" s="182" t="str">
        <f t="shared" si="14"/>
        <v>Liên hiệp các Hội KH&amp;KT tỉnh Kontum</v>
      </c>
      <c r="E55" s="206"/>
      <c r="F55" s="207">
        <v>516</v>
      </c>
      <c r="G55" s="207"/>
      <c r="H55" s="205"/>
      <c r="I55" s="224">
        <f>J55-Sheet1!I242</f>
        <v>0</v>
      </c>
      <c r="J55" s="167">
        <v>1769100000</v>
      </c>
      <c r="K55" s="166"/>
      <c r="L55" s="167">
        <v>1664000000</v>
      </c>
      <c r="M55" s="168">
        <v>105100000</v>
      </c>
      <c r="N55" s="168">
        <f t="shared" si="7"/>
        <v>1769100000</v>
      </c>
      <c r="O55" s="168"/>
      <c r="P55" s="167">
        <v>1769100000</v>
      </c>
      <c r="Q55" s="167">
        <f t="shared" si="8"/>
        <v>1769100000</v>
      </c>
      <c r="R55" s="168"/>
      <c r="T55" s="201">
        <f t="shared" si="9"/>
        <v>1769.1</v>
      </c>
      <c r="U55" s="201">
        <f t="shared" si="11"/>
        <v>1769.1</v>
      </c>
      <c r="V55" s="201">
        <f t="shared" si="11"/>
        <v>0</v>
      </c>
      <c r="W55" s="201">
        <f t="shared" si="11"/>
        <v>1769.1</v>
      </c>
      <c r="X55" s="201">
        <f t="shared" si="11"/>
        <v>1769.1</v>
      </c>
      <c r="Y55" s="201">
        <f t="shared" si="11"/>
        <v>0</v>
      </c>
    </row>
    <row r="56" spans="1:25" s="169" customFormat="1" ht="13.8">
      <c r="A56" s="192" t="s">
        <v>787</v>
      </c>
      <c r="B56" s="170" t="s">
        <v>788</v>
      </c>
      <c r="C56" s="183" t="str">
        <f t="shared" si="4"/>
        <v>1030065</v>
      </c>
      <c r="D56" s="182" t="str">
        <f t="shared" si="14"/>
        <v>SỜ Ngoại vụ</v>
      </c>
      <c r="E56" s="206"/>
      <c r="F56" s="207">
        <v>411</v>
      </c>
      <c r="G56" s="207"/>
      <c r="H56" s="205"/>
      <c r="I56" s="224">
        <f>J56-Sheet1!I248</f>
        <v>0</v>
      </c>
      <c r="J56" s="167">
        <v>14915373000</v>
      </c>
      <c r="K56" s="167">
        <v>218373000</v>
      </c>
      <c r="L56" s="167">
        <v>5650000000</v>
      </c>
      <c r="M56" s="168">
        <v>9047000000</v>
      </c>
      <c r="N56" s="168">
        <f t="shared" si="7"/>
        <v>14915373000</v>
      </c>
      <c r="O56" s="168"/>
      <c r="P56" s="167">
        <v>14776002384</v>
      </c>
      <c r="Q56" s="167">
        <f t="shared" si="8"/>
        <v>14776002384</v>
      </c>
      <c r="R56" s="168"/>
      <c r="T56" s="201">
        <f t="shared" si="9"/>
        <v>14915.373</v>
      </c>
      <c r="U56" s="201">
        <f t="shared" ref="U56:Y71" si="15">N56/1000000</f>
        <v>14915.373</v>
      </c>
      <c r="V56" s="201">
        <f t="shared" si="15"/>
        <v>0</v>
      </c>
      <c r="W56" s="201">
        <f t="shared" si="15"/>
        <v>14776.002383999999</v>
      </c>
      <c r="X56" s="201">
        <f t="shared" si="15"/>
        <v>14776.002383999999</v>
      </c>
      <c r="Y56" s="201">
        <f t="shared" si="15"/>
        <v>0</v>
      </c>
    </row>
    <row r="57" spans="1:25" s="169" customFormat="1" ht="27.6">
      <c r="A57" s="192" t="s">
        <v>792</v>
      </c>
      <c r="B57" s="165" t="s">
        <v>793</v>
      </c>
      <c r="C57" s="183" t="str">
        <f t="shared" si="4"/>
        <v>1030470</v>
      </c>
      <c r="D57" s="182" t="str">
        <f t="shared" si="14"/>
        <v>Trung tâm Phát hành Phim &amp; Chiẽu bống tỉnh Kontum</v>
      </c>
      <c r="E57" s="206"/>
      <c r="F57" s="207">
        <v>425</v>
      </c>
      <c r="G57" s="207"/>
      <c r="H57" s="205"/>
      <c r="I57" s="224">
        <f>J57-Sheet1!I258</f>
        <v>0</v>
      </c>
      <c r="J57" s="167">
        <v>1301360000</v>
      </c>
      <c r="K57" s="166"/>
      <c r="L57" s="167">
        <v>1267000000</v>
      </c>
      <c r="M57" s="168">
        <v>34360000</v>
      </c>
      <c r="N57" s="168">
        <f t="shared" si="7"/>
        <v>1301360000</v>
      </c>
      <c r="O57" s="168"/>
      <c r="P57" s="167">
        <v>1298169800</v>
      </c>
      <c r="Q57" s="167">
        <f t="shared" si="8"/>
        <v>1298169800</v>
      </c>
      <c r="R57" s="168"/>
      <c r="T57" s="201">
        <f t="shared" si="9"/>
        <v>1301.3599999999999</v>
      </c>
      <c r="U57" s="201">
        <f t="shared" si="15"/>
        <v>1301.3599999999999</v>
      </c>
      <c r="V57" s="201">
        <f t="shared" si="15"/>
        <v>0</v>
      </c>
      <c r="W57" s="201">
        <f t="shared" si="15"/>
        <v>1298.1697999999999</v>
      </c>
      <c r="X57" s="201">
        <f t="shared" si="15"/>
        <v>1298.1697999999999</v>
      </c>
      <c r="Y57" s="201">
        <f t="shared" si="15"/>
        <v>0</v>
      </c>
    </row>
    <row r="58" spans="1:25" s="169" customFormat="1" ht="26.4">
      <c r="A58" s="192" t="s">
        <v>797</v>
      </c>
      <c r="B58" s="165" t="s">
        <v>798</v>
      </c>
      <c r="C58" s="183" t="str">
        <f t="shared" si="4"/>
        <v>1035637</v>
      </c>
      <c r="D58" s="182" t="str">
        <f t="shared" si="14"/>
        <v>Trường Trung học PhS thông Nguyễn Du</v>
      </c>
      <c r="E58" s="206"/>
      <c r="F58" s="207">
        <v>422</v>
      </c>
      <c r="G58" s="207"/>
      <c r="H58" s="205"/>
      <c r="I58" s="224">
        <f>J58-Sheet1!I265</f>
        <v>0</v>
      </c>
      <c r="J58" s="167">
        <v>4988381000</v>
      </c>
      <c r="K58" s="166"/>
      <c r="L58" s="167">
        <v>4940146000</v>
      </c>
      <c r="M58" s="168">
        <v>48235000</v>
      </c>
      <c r="N58" s="168">
        <f t="shared" si="7"/>
        <v>4988381000</v>
      </c>
      <c r="O58" s="168"/>
      <c r="P58" s="167">
        <v>4974983229</v>
      </c>
      <c r="Q58" s="167">
        <f t="shared" si="8"/>
        <v>4974983229</v>
      </c>
      <c r="R58" s="168"/>
      <c r="T58" s="201">
        <f t="shared" si="9"/>
        <v>4988.3810000000003</v>
      </c>
      <c r="U58" s="201">
        <f t="shared" si="15"/>
        <v>4988.3810000000003</v>
      </c>
      <c r="V58" s="201">
        <f t="shared" si="15"/>
        <v>0</v>
      </c>
      <c r="W58" s="201">
        <f t="shared" si="15"/>
        <v>4974.9832290000004</v>
      </c>
      <c r="X58" s="201">
        <f t="shared" si="15"/>
        <v>4974.9832290000004</v>
      </c>
      <c r="Y58" s="201">
        <f t="shared" si="15"/>
        <v>0</v>
      </c>
    </row>
    <row r="59" spans="1:25" s="169" customFormat="1" ht="26.4">
      <c r="A59" s="192" t="s">
        <v>800</v>
      </c>
      <c r="B59" s="165" t="s">
        <v>801</v>
      </c>
      <c r="C59" s="183" t="str">
        <f t="shared" si="4"/>
        <v>1035734</v>
      </c>
      <c r="D59" s="182" t="str">
        <f t="shared" si="14"/>
        <v>BQL Rừng Phòng hộ Đăk Nhoong</v>
      </c>
      <c r="E59" s="206"/>
      <c r="F59" s="207">
        <v>412</v>
      </c>
      <c r="G59" s="207"/>
      <c r="H59" s="205"/>
      <c r="I59" s="224">
        <f>J59-Sheet1!I274</f>
        <v>0</v>
      </c>
      <c r="J59" s="167">
        <v>5162270000</v>
      </c>
      <c r="K59" s="167">
        <v>528000000</v>
      </c>
      <c r="L59" s="167">
        <v>2944000000</v>
      </c>
      <c r="M59" s="168">
        <v>1690270000</v>
      </c>
      <c r="N59" s="168">
        <f t="shared" si="7"/>
        <v>5162270000</v>
      </c>
      <c r="O59" s="168"/>
      <c r="P59" s="167">
        <v>4734270000</v>
      </c>
      <c r="Q59" s="167">
        <f t="shared" si="8"/>
        <v>4734270000</v>
      </c>
      <c r="R59" s="168"/>
      <c r="T59" s="201">
        <f t="shared" si="9"/>
        <v>5162.2700000000004</v>
      </c>
      <c r="U59" s="201">
        <f t="shared" si="15"/>
        <v>5162.2700000000004</v>
      </c>
      <c r="V59" s="201">
        <f t="shared" si="15"/>
        <v>0</v>
      </c>
      <c r="W59" s="201">
        <f t="shared" si="15"/>
        <v>4734.2700000000004</v>
      </c>
      <c r="X59" s="201">
        <f t="shared" si="15"/>
        <v>4734.2700000000004</v>
      </c>
      <c r="Y59" s="201">
        <f t="shared" si="15"/>
        <v>0</v>
      </c>
    </row>
    <row r="60" spans="1:25" s="169" customFormat="1" ht="26.4">
      <c r="A60" s="192" t="s">
        <v>804</v>
      </c>
      <c r="B60" s="165" t="s">
        <v>805</v>
      </c>
      <c r="C60" s="183" t="str">
        <f t="shared" si="4"/>
        <v>1035747</v>
      </c>
      <c r="D60" s="182" t="str">
        <f t="shared" si="14"/>
        <v>BQL Rừng Phòng hộ Thạch Mham</v>
      </c>
      <c r="E60" s="206"/>
      <c r="F60" s="207">
        <v>412</v>
      </c>
      <c r="G60" s="207"/>
      <c r="H60" s="205"/>
      <c r="I60" s="224">
        <f>J60-Sheet1!I283</f>
        <v>0</v>
      </c>
      <c r="J60" s="167">
        <v>14179700000</v>
      </c>
      <c r="K60" s="167">
        <v>5593000000</v>
      </c>
      <c r="L60" s="167">
        <v>4061000000</v>
      </c>
      <c r="M60" s="168">
        <v>4525700000</v>
      </c>
      <c r="N60" s="168">
        <f t="shared" si="7"/>
        <v>14179700000</v>
      </c>
      <c r="O60" s="168"/>
      <c r="P60" s="167">
        <v>9877962452</v>
      </c>
      <c r="Q60" s="167">
        <f t="shared" si="8"/>
        <v>9877962452</v>
      </c>
      <c r="R60" s="168"/>
      <c r="T60" s="201">
        <f t="shared" si="9"/>
        <v>14179.7</v>
      </c>
      <c r="U60" s="201">
        <f t="shared" si="15"/>
        <v>14179.7</v>
      </c>
      <c r="V60" s="201">
        <f t="shared" si="15"/>
        <v>0</v>
      </c>
      <c r="W60" s="201">
        <f t="shared" si="15"/>
        <v>9877.9624519999998</v>
      </c>
      <c r="X60" s="201">
        <f t="shared" si="15"/>
        <v>9877.9624519999998</v>
      </c>
      <c r="Y60" s="201">
        <f t="shared" si="15"/>
        <v>0</v>
      </c>
    </row>
    <row r="61" spans="1:25" s="169" customFormat="1" ht="26.4">
      <c r="A61" s="192" t="s">
        <v>808</v>
      </c>
      <c r="B61" s="170" t="s">
        <v>809</v>
      </c>
      <c r="C61" s="183" t="str">
        <f t="shared" si="4"/>
        <v>1035748</v>
      </c>
      <c r="D61" s="182" t="str">
        <f t="shared" si="14"/>
        <v>BQL Rừng Phòng Hộ ĐăkBlô</v>
      </c>
      <c r="E61" s="206"/>
      <c r="F61" s="207">
        <v>412</v>
      </c>
      <c r="G61" s="207"/>
      <c r="H61" s="205"/>
      <c r="I61" s="224">
        <f>J61-Sheet1!I291</f>
        <v>0</v>
      </c>
      <c r="J61" s="167">
        <v>8966996000</v>
      </c>
      <c r="K61" s="167">
        <v>3432000000</v>
      </c>
      <c r="L61" s="167">
        <v>2533700000</v>
      </c>
      <c r="M61" s="168">
        <v>3001296000</v>
      </c>
      <c r="N61" s="168">
        <f t="shared" si="7"/>
        <v>8966996000</v>
      </c>
      <c r="O61" s="168"/>
      <c r="P61" s="167">
        <v>6049303000</v>
      </c>
      <c r="Q61" s="167">
        <f t="shared" si="8"/>
        <v>6049303000</v>
      </c>
      <c r="R61" s="168"/>
      <c r="T61" s="201">
        <f t="shared" si="9"/>
        <v>8966.9959999999992</v>
      </c>
      <c r="U61" s="201">
        <f t="shared" si="15"/>
        <v>8966.9959999999992</v>
      </c>
      <c r="V61" s="201">
        <f t="shared" si="15"/>
        <v>0</v>
      </c>
      <c r="W61" s="201">
        <f t="shared" si="15"/>
        <v>6049.3029999999999</v>
      </c>
      <c r="X61" s="201">
        <f t="shared" si="15"/>
        <v>6049.3029999999999</v>
      </c>
      <c r="Y61" s="201">
        <f t="shared" si="15"/>
        <v>0</v>
      </c>
    </row>
    <row r="62" spans="1:25" s="169" customFormat="1" ht="26.4">
      <c r="A62" s="192" t="s">
        <v>812</v>
      </c>
      <c r="B62" s="165" t="s">
        <v>813</v>
      </c>
      <c r="C62" s="183" t="str">
        <f t="shared" si="4"/>
        <v>1035749</v>
      </c>
      <c r="D62" s="182" t="str">
        <f t="shared" si="14"/>
        <v>BQL Dự án Phát triển Cao su Mhân dân</v>
      </c>
      <c r="E62" s="206"/>
      <c r="F62" s="207">
        <v>412</v>
      </c>
      <c r="G62" s="207"/>
      <c r="H62" s="205"/>
      <c r="I62" s="224">
        <f>J62-Sheet1!I299</f>
        <v>0</v>
      </c>
      <c r="J62" s="167">
        <v>343000000</v>
      </c>
      <c r="K62" s="166"/>
      <c r="L62" s="167">
        <v>343000000</v>
      </c>
      <c r="M62" s="171"/>
      <c r="N62" s="168">
        <f t="shared" si="7"/>
        <v>343000000</v>
      </c>
      <c r="O62" s="171"/>
      <c r="P62" s="167">
        <v>343000000</v>
      </c>
      <c r="Q62" s="167">
        <f t="shared" si="8"/>
        <v>343000000</v>
      </c>
      <c r="R62" s="171"/>
      <c r="T62" s="201">
        <f t="shared" si="9"/>
        <v>343</v>
      </c>
      <c r="U62" s="201">
        <f t="shared" si="15"/>
        <v>343</v>
      </c>
      <c r="V62" s="201">
        <f t="shared" si="15"/>
        <v>0</v>
      </c>
      <c r="W62" s="201">
        <f t="shared" si="15"/>
        <v>343</v>
      </c>
      <c r="X62" s="201">
        <f t="shared" si="15"/>
        <v>343</v>
      </c>
      <c r="Y62" s="201">
        <f t="shared" si="15"/>
        <v>0</v>
      </c>
    </row>
    <row r="63" spans="1:25" s="169" customFormat="1" ht="26.4">
      <c r="A63" s="192" t="s">
        <v>815</v>
      </c>
      <c r="B63" s="170" t="s">
        <v>816</v>
      </c>
      <c r="C63" s="183" t="str">
        <f t="shared" si="4"/>
        <v>1037416</v>
      </c>
      <c r="D63" s="182" t="str">
        <f t="shared" si="14"/>
        <v>Hạt kiềm lâm huyện Đak Glei</v>
      </c>
      <c r="E63" s="206"/>
      <c r="F63" s="207">
        <v>412</v>
      </c>
      <c r="G63" s="207"/>
      <c r="H63" s="205"/>
      <c r="I63" s="224">
        <f>J63-Sheet1!I303</f>
        <v>0</v>
      </c>
      <c r="J63" s="167">
        <v>3838214000</v>
      </c>
      <c r="K63" s="166"/>
      <c r="L63" s="167">
        <v>3338300000</v>
      </c>
      <c r="M63" s="168">
        <v>499914000</v>
      </c>
      <c r="N63" s="168">
        <f t="shared" si="7"/>
        <v>3838214000</v>
      </c>
      <c r="O63" s="168"/>
      <c r="P63" s="167">
        <v>3826769000</v>
      </c>
      <c r="Q63" s="167">
        <f t="shared" si="8"/>
        <v>3826769000</v>
      </c>
      <c r="R63" s="168"/>
      <c r="T63" s="201">
        <f t="shared" si="9"/>
        <v>3838.2139999999999</v>
      </c>
      <c r="U63" s="201">
        <f t="shared" si="15"/>
        <v>3838.2139999999999</v>
      </c>
      <c r="V63" s="201">
        <f t="shared" si="15"/>
        <v>0</v>
      </c>
      <c r="W63" s="201">
        <f t="shared" si="15"/>
        <v>3826.7689999999998</v>
      </c>
      <c r="X63" s="201">
        <f t="shared" si="15"/>
        <v>3826.7689999999998</v>
      </c>
      <c r="Y63" s="201">
        <f t="shared" si="15"/>
        <v>0</v>
      </c>
    </row>
    <row r="64" spans="1:25" s="169" customFormat="1" ht="13.8">
      <c r="A64" s="192" t="s">
        <v>818</v>
      </c>
      <c r="B64" s="170" t="s">
        <v>819</v>
      </c>
      <c r="C64" s="183" t="str">
        <f t="shared" si="4"/>
        <v>1037418</v>
      </c>
      <c r="D64" s="182" t="str">
        <f t="shared" si="14"/>
        <v>Hạt Kiểm lâm huyện Đak tô</v>
      </c>
      <c r="E64" s="206"/>
      <c r="F64" s="207">
        <v>412</v>
      </c>
      <c r="G64" s="207"/>
      <c r="H64" s="205"/>
      <c r="I64" s="224">
        <f>J64-Sheet1!I311</f>
        <v>0</v>
      </c>
      <c r="J64" s="167">
        <v>2673300000</v>
      </c>
      <c r="K64" s="166"/>
      <c r="L64" s="167">
        <v>2574300000</v>
      </c>
      <c r="M64" s="168">
        <v>99000000</v>
      </c>
      <c r="N64" s="168">
        <f t="shared" si="7"/>
        <v>2673300000</v>
      </c>
      <c r="O64" s="168"/>
      <c r="P64" s="167">
        <v>2664070000</v>
      </c>
      <c r="Q64" s="167">
        <f t="shared" si="8"/>
        <v>2664070000</v>
      </c>
      <c r="R64" s="168"/>
      <c r="T64" s="201">
        <f t="shared" si="9"/>
        <v>2673.3</v>
      </c>
      <c r="U64" s="201">
        <f t="shared" si="15"/>
        <v>2673.3</v>
      </c>
      <c r="V64" s="201">
        <f t="shared" si="15"/>
        <v>0</v>
      </c>
      <c r="W64" s="201">
        <f t="shared" si="15"/>
        <v>2664.07</v>
      </c>
      <c r="X64" s="201">
        <f t="shared" si="15"/>
        <v>2664.07</v>
      </c>
      <c r="Y64" s="201">
        <f t="shared" si="15"/>
        <v>0</v>
      </c>
    </row>
    <row r="65" spans="1:25" s="169" customFormat="1" ht="13.8">
      <c r="A65" s="192" t="s">
        <v>821</v>
      </c>
      <c r="B65" s="164" t="s">
        <v>822</v>
      </c>
      <c r="C65" s="183" t="str">
        <f t="shared" si="4"/>
        <v>1037419</v>
      </c>
      <c r="D65" s="182" t="str">
        <f t="shared" si="14"/>
        <v>Hạt Kiềm lâm huyện Đak hà</v>
      </c>
      <c r="E65" s="206"/>
      <c r="F65" s="207">
        <v>412</v>
      </c>
      <c r="G65" s="207"/>
      <c r="H65" s="205"/>
      <c r="I65" s="224">
        <f>J65-Sheet1!I320</f>
        <v>0</v>
      </c>
      <c r="J65" s="167">
        <v>3136154000</v>
      </c>
      <c r="K65" s="166"/>
      <c r="L65" s="167">
        <v>2909000000</v>
      </c>
      <c r="M65" s="168">
        <v>227154000</v>
      </c>
      <c r="N65" s="168">
        <f t="shared" si="7"/>
        <v>3136154000</v>
      </c>
      <c r="O65" s="168"/>
      <c r="P65" s="167">
        <v>3123153000</v>
      </c>
      <c r="Q65" s="167">
        <f t="shared" si="8"/>
        <v>3123153000</v>
      </c>
      <c r="R65" s="168"/>
      <c r="T65" s="201">
        <f t="shared" si="9"/>
        <v>3136.154</v>
      </c>
      <c r="U65" s="201">
        <f t="shared" si="15"/>
        <v>3136.154</v>
      </c>
      <c r="V65" s="201">
        <f t="shared" si="15"/>
        <v>0</v>
      </c>
      <c r="W65" s="201">
        <f t="shared" si="15"/>
        <v>3123.1529999999998</v>
      </c>
      <c r="X65" s="201">
        <f t="shared" si="15"/>
        <v>3123.1529999999998</v>
      </c>
      <c r="Y65" s="201">
        <f t="shared" si="15"/>
        <v>0</v>
      </c>
    </row>
    <row r="66" spans="1:25" s="169" customFormat="1" ht="26.4">
      <c r="A66" s="192" t="s">
        <v>824</v>
      </c>
      <c r="B66" s="176" t="s">
        <v>825</v>
      </c>
      <c r="C66" s="183" t="str">
        <f t="shared" si="4"/>
        <v>1037420</v>
      </c>
      <c r="D66" s="182" t="str">
        <f t="shared" si="14"/>
        <v>Hạt kiểm lâm huyện &lt;onPlong</v>
      </c>
      <c r="E66" s="206"/>
      <c r="F66" s="207">
        <v>412</v>
      </c>
      <c r="G66" s="207"/>
      <c r="H66" s="205"/>
      <c r="I66" s="224">
        <f>J66-Sheet1!I328</f>
        <v>0</v>
      </c>
      <c r="J66" s="167">
        <v>4487005292</v>
      </c>
      <c r="K66" s="167">
        <v>45405292</v>
      </c>
      <c r="L66" s="167">
        <v>3251800000</v>
      </c>
      <c r="M66" s="168">
        <v>1189800000</v>
      </c>
      <c r="N66" s="168">
        <f t="shared" si="7"/>
        <v>4487005292</v>
      </c>
      <c r="O66" s="168"/>
      <c r="P66" s="167">
        <v>3527800000</v>
      </c>
      <c r="Q66" s="167">
        <f t="shared" si="8"/>
        <v>3527800000</v>
      </c>
      <c r="R66" s="168"/>
      <c r="T66" s="201">
        <f t="shared" si="9"/>
        <v>4487.0052919999998</v>
      </c>
      <c r="U66" s="201">
        <f t="shared" si="15"/>
        <v>4487.0052919999998</v>
      </c>
      <c r="V66" s="201">
        <f t="shared" si="15"/>
        <v>0</v>
      </c>
      <c r="W66" s="201">
        <f t="shared" si="15"/>
        <v>3527.8</v>
      </c>
      <c r="X66" s="201">
        <f t="shared" si="15"/>
        <v>3527.8</v>
      </c>
      <c r="Y66" s="201">
        <f t="shared" si="15"/>
        <v>0</v>
      </c>
    </row>
    <row r="67" spans="1:25" s="169" customFormat="1" ht="26.4">
      <c r="A67" s="192" t="s">
        <v>828</v>
      </c>
      <c r="B67" s="176" t="s">
        <v>829</v>
      </c>
      <c r="C67" s="183" t="str">
        <f t="shared" si="4"/>
        <v>1037422</v>
      </c>
      <c r="D67" s="182" t="str">
        <f t="shared" si="14"/>
        <v>Hội cựu chiẽn binh tỉnh &lt;ontum</v>
      </c>
      <c r="E67" s="206"/>
      <c r="F67" s="207">
        <v>514</v>
      </c>
      <c r="G67" s="207"/>
      <c r="H67" s="205"/>
      <c r="I67" s="224">
        <f>J67-Sheet1!I338</f>
        <v>0</v>
      </c>
      <c r="J67" s="167">
        <v>3051810000</v>
      </c>
      <c r="K67" s="166"/>
      <c r="L67" s="167">
        <v>2742000000</v>
      </c>
      <c r="M67" s="168">
        <v>309810000</v>
      </c>
      <c r="N67" s="168">
        <f t="shared" si="7"/>
        <v>3051810000</v>
      </c>
      <c r="O67" s="168"/>
      <c r="P67" s="167">
        <v>3035507000</v>
      </c>
      <c r="Q67" s="167">
        <f t="shared" si="8"/>
        <v>3035507000</v>
      </c>
      <c r="R67" s="168"/>
      <c r="T67" s="201">
        <f t="shared" si="9"/>
        <v>3051.81</v>
      </c>
      <c r="U67" s="201">
        <f t="shared" si="15"/>
        <v>3051.81</v>
      </c>
      <c r="V67" s="201">
        <f t="shared" si="15"/>
        <v>0</v>
      </c>
      <c r="W67" s="201">
        <f t="shared" si="15"/>
        <v>3035.5070000000001</v>
      </c>
      <c r="X67" s="201">
        <f t="shared" si="15"/>
        <v>3035.5070000000001</v>
      </c>
      <c r="Y67" s="201">
        <f t="shared" si="15"/>
        <v>0</v>
      </c>
    </row>
    <row r="68" spans="1:25" s="169" customFormat="1" ht="26.4">
      <c r="A68" s="192" t="s">
        <v>832</v>
      </c>
      <c r="B68" s="165" t="s">
        <v>833</v>
      </c>
      <c r="C68" s="183" t="str">
        <f t="shared" si="4"/>
        <v>1037424</v>
      </c>
      <c r="D68" s="182" t="str">
        <f t="shared" si="14"/>
        <v>Trung tâm Ngoại ngữ - Tin 1ỌC Kontum</v>
      </c>
      <c r="E68" s="206"/>
      <c r="F68" s="207">
        <v>422</v>
      </c>
      <c r="G68" s="207"/>
      <c r="H68" s="205"/>
      <c r="I68" s="224">
        <f>J68-Sheet1!I347</f>
        <v>0</v>
      </c>
      <c r="J68" s="167">
        <v>1584079455</v>
      </c>
      <c r="K68" s="167">
        <v>300787455</v>
      </c>
      <c r="L68" s="167">
        <v>1283292000</v>
      </c>
      <c r="M68" s="171"/>
      <c r="N68" s="168">
        <f t="shared" si="7"/>
        <v>1584079455</v>
      </c>
      <c r="O68" s="171"/>
      <c r="P68" s="167">
        <v>1538012413</v>
      </c>
      <c r="Q68" s="167">
        <f t="shared" si="8"/>
        <v>1538012413</v>
      </c>
      <c r="R68" s="171"/>
      <c r="T68" s="201">
        <f t="shared" si="9"/>
        <v>1584.0794550000001</v>
      </c>
      <c r="U68" s="201">
        <f t="shared" si="15"/>
        <v>1584.0794550000001</v>
      </c>
      <c r="V68" s="201">
        <f t="shared" si="15"/>
        <v>0</v>
      </c>
      <c r="W68" s="201">
        <f t="shared" si="15"/>
        <v>1538.0124129999999</v>
      </c>
      <c r="X68" s="201">
        <f t="shared" si="15"/>
        <v>1538.0124129999999</v>
      </c>
      <c r="Y68" s="201">
        <f t="shared" si="15"/>
        <v>0</v>
      </c>
    </row>
    <row r="69" spans="1:25" s="169" customFormat="1" ht="26.4">
      <c r="A69" s="192" t="s">
        <v>835</v>
      </c>
      <c r="B69" s="165" t="s">
        <v>836</v>
      </c>
      <c r="C69" s="183" t="str">
        <f t="shared" si="4"/>
        <v>1037425</v>
      </c>
      <c r="D69" s="182" t="str">
        <f t="shared" si="14"/>
        <v>Trường PT Dân tộc Nội trú luyện Đak hà</v>
      </c>
      <c r="E69" s="206"/>
      <c r="F69" s="207">
        <v>422</v>
      </c>
      <c r="G69" s="207"/>
      <c r="H69" s="205"/>
      <c r="I69" s="224">
        <f>J69-Sheet1!I354</f>
        <v>0</v>
      </c>
      <c r="J69" s="167">
        <v>11523083000</v>
      </c>
      <c r="K69" s="166"/>
      <c r="L69" s="167">
        <v>11235770000</v>
      </c>
      <c r="M69" s="168">
        <v>287313000</v>
      </c>
      <c r="N69" s="168">
        <f t="shared" si="7"/>
        <v>11523083000</v>
      </c>
      <c r="O69" s="168"/>
      <c r="P69" s="167">
        <v>11214569000</v>
      </c>
      <c r="Q69" s="167">
        <f t="shared" si="8"/>
        <v>11214569000</v>
      </c>
      <c r="R69" s="168"/>
      <c r="T69" s="201">
        <f t="shared" si="9"/>
        <v>11523.083000000001</v>
      </c>
      <c r="U69" s="201">
        <f t="shared" si="15"/>
        <v>11523.083000000001</v>
      </c>
      <c r="V69" s="201">
        <f t="shared" si="15"/>
        <v>0</v>
      </c>
      <c r="W69" s="201">
        <f t="shared" si="15"/>
        <v>11214.569</v>
      </c>
      <c r="X69" s="201">
        <f t="shared" si="15"/>
        <v>11214.569</v>
      </c>
      <c r="Y69" s="201">
        <f t="shared" si="15"/>
        <v>0</v>
      </c>
    </row>
    <row r="70" spans="1:25" s="169" customFormat="1" ht="27.6">
      <c r="A70" s="192" t="s">
        <v>838</v>
      </c>
      <c r="B70" s="165" t="s">
        <v>839</v>
      </c>
      <c r="C70" s="183" t="str">
        <f t="shared" si="4"/>
        <v>1037427</v>
      </c>
      <c r="D70" s="182" t="str">
        <f t="shared" si="14"/>
        <v>Trường Trung học PhS thông Chuyên Nguyễn Tãt Thành</v>
      </c>
      <c r="E70" s="206"/>
      <c r="F70" s="207">
        <v>422</v>
      </c>
      <c r="G70" s="207"/>
      <c r="H70" s="205"/>
      <c r="I70" s="224">
        <f>J70-Sheet1!I364</f>
        <v>0</v>
      </c>
      <c r="J70" s="167">
        <v>12676065000</v>
      </c>
      <c r="K70" s="167">
        <v>2420000</v>
      </c>
      <c r="L70" s="167">
        <v>12605649000</v>
      </c>
      <c r="M70" s="168">
        <v>67996000</v>
      </c>
      <c r="N70" s="168">
        <f t="shared" si="7"/>
        <v>12676065000</v>
      </c>
      <c r="O70" s="168"/>
      <c r="P70" s="167">
        <v>12671505000</v>
      </c>
      <c r="Q70" s="167">
        <f t="shared" si="8"/>
        <v>12671505000</v>
      </c>
      <c r="R70" s="168"/>
      <c r="T70" s="201">
        <f t="shared" si="9"/>
        <v>12676.065000000001</v>
      </c>
      <c r="U70" s="201">
        <f t="shared" si="15"/>
        <v>12676.065000000001</v>
      </c>
      <c r="V70" s="201">
        <f t="shared" si="15"/>
        <v>0</v>
      </c>
      <c r="W70" s="201">
        <f t="shared" si="15"/>
        <v>12671.504999999999</v>
      </c>
      <c r="X70" s="201">
        <f t="shared" si="15"/>
        <v>12671.504999999999</v>
      </c>
      <c r="Y70" s="201">
        <f t="shared" si="15"/>
        <v>0</v>
      </c>
    </row>
    <row r="71" spans="1:25" s="169" customFormat="1" ht="26.4">
      <c r="A71" s="192" t="s">
        <v>841</v>
      </c>
      <c r="B71" s="165" t="s">
        <v>842</v>
      </c>
      <c r="C71" s="183" t="str">
        <f t="shared" si="4"/>
        <v>1037433</v>
      </c>
      <c r="D71" s="182" t="str">
        <f t="shared" si="14"/>
        <v>BQL vườn quốc gia Chư Mom Ray</v>
      </c>
      <c r="E71" s="206"/>
      <c r="F71" s="207">
        <v>412</v>
      </c>
      <c r="G71" s="207"/>
      <c r="H71" s="205"/>
      <c r="I71" s="224">
        <f>J71-Sheet1!I373</f>
        <v>0</v>
      </c>
      <c r="J71" s="167">
        <v>23149583821</v>
      </c>
      <c r="K71" s="167">
        <v>5483583821</v>
      </c>
      <c r="L71" s="167">
        <v>8004000000</v>
      </c>
      <c r="M71" s="168">
        <v>9662000000</v>
      </c>
      <c r="N71" s="168">
        <f t="shared" si="7"/>
        <v>23149583821</v>
      </c>
      <c r="O71" s="168"/>
      <c r="P71" s="167">
        <v>16909146563</v>
      </c>
      <c r="Q71" s="167">
        <f t="shared" si="8"/>
        <v>16909146563</v>
      </c>
      <c r="R71" s="168"/>
      <c r="T71" s="201">
        <f t="shared" si="9"/>
        <v>23149.583821</v>
      </c>
      <c r="U71" s="201">
        <f t="shared" si="15"/>
        <v>23149.583821</v>
      </c>
      <c r="V71" s="201">
        <f t="shared" si="15"/>
        <v>0</v>
      </c>
      <c r="W71" s="201">
        <f t="shared" si="15"/>
        <v>16909.146562999998</v>
      </c>
      <c r="X71" s="201">
        <f t="shared" si="15"/>
        <v>16909.146562999998</v>
      </c>
      <c r="Y71" s="201">
        <f t="shared" si="15"/>
        <v>0</v>
      </c>
    </row>
    <row r="72" spans="1:25" s="169" customFormat="1" ht="13.8">
      <c r="A72" s="192" t="s">
        <v>845</v>
      </c>
      <c r="B72" s="170" t="s">
        <v>846</v>
      </c>
      <c r="C72" s="183" t="str">
        <f t="shared" si="4"/>
        <v>1037479</v>
      </c>
      <c r="D72" s="182" t="str">
        <f t="shared" si="14"/>
        <v>Ban Dân tộc</v>
      </c>
      <c r="E72" s="206"/>
      <c r="F72" s="207">
        <v>483</v>
      </c>
      <c r="G72" s="207"/>
      <c r="H72" s="205"/>
      <c r="I72" s="224">
        <f>J72-Sheet1!I385</f>
        <v>0</v>
      </c>
      <c r="J72" s="167">
        <v>7518100000</v>
      </c>
      <c r="K72" s="166"/>
      <c r="L72" s="167">
        <v>4447000000</v>
      </c>
      <c r="M72" s="168">
        <v>3071100000</v>
      </c>
      <c r="N72" s="168">
        <f t="shared" si="7"/>
        <v>5819100000</v>
      </c>
      <c r="O72" s="168">
        <f>O73+O74</f>
        <v>1699000000</v>
      </c>
      <c r="P72" s="167">
        <v>7042240864</v>
      </c>
      <c r="Q72" s="167">
        <f t="shared" si="8"/>
        <v>5620952864</v>
      </c>
      <c r="R72" s="168">
        <f>R73+R74</f>
        <v>1421288000</v>
      </c>
      <c r="T72" s="201">
        <f t="shared" si="9"/>
        <v>7518.1</v>
      </c>
      <c r="U72" s="201">
        <f t="shared" ref="U72:Y87" si="16">N72/1000000</f>
        <v>5819.1</v>
      </c>
      <c r="V72" s="201">
        <f t="shared" si="16"/>
        <v>1699</v>
      </c>
      <c r="W72" s="201">
        <f t="shared" si="16"/>
        <v>7042.2408640000003</v>
      </c>
      <c r="X72" s="201">
        <f t="shared" si="16"/>
        <v>5620.9528639999999</v>
      </c>
      <c r="Y72" s="201">
        <f t="shared" si="16"/>
        <v>1421.288</v>
      </c>
    </row>
    <row r="73" spans="1:25" s="169" customFormat="1" ht="13.8">
      <c r="A73" s="192"/>
      <c r="B73" s="170" t="s">
        <v>689</v>
      </c>
      <c r="C73" s="183" t="str">
        <f t="shared" si="4"/>
        <v/>
      </c>
      <c r="D73" s="182" t="s">
        <v>1464</v>
      </c>
      <c r="E73" s="206"/>
      <c r="F73" s="207">
        <v>483</v>
      </c>
      <c r="G73" s="207"/>
      <c r="H73" s="205"/>
      <c r="I73" s="205"/>
      <c r="J73" s="167">
        <v>5819100000</v>
      </c>
      <c r="K73" s="166"/>
      <c r="L73" s="167">
        <v>4447000000</v>
      </c>
      <c r="M73" s="168">
        <v>1372100000</v>
      </c>
      <c r="N73" s="168">
        <f t="shared" si="7"/>
        <v>5819100000</v>
      </c>
      <c r="O73" s="168"/>
      <c r="P73" s="167">
        <v>5620952864</v>
      </c>
      <c r="Q73" s="167">
        <f t="shared" si="8"/>
        <v>5620952864</v>
      </c>
      <c r="R73" s="168"/>
      <c r="T73" s="201">
        <f t="shared" si="9"/>
        <v>5819.1</v>
      </c>
      <c r="U73" s="201">
        <f t="shared" si="16"/>
        <v>5819.1</v>
      </c>
      <c r="V73" s="201">
        <f t="shared" si="16"/>
        <v>0</v>
      </c>
      <c r="W73" s="201">
        <f t="shared" si="16"/>
        <v>5620.9528639999999</v>
      </c>
      <c r="X73" s="201">
        <f t="shared" si="16"/>
        <v>5620.9528639999999</v>
      </c>
      <c r="Y73" s="201">
        <f t="shared" si="16"/>
        <v>0</v>
      </c>
    </row>
    <row r="74" spans="1:25" s="169" customFormat="1" ht="13.8">
      <c r="A74" s="192"/>
      <c r="B74" s="164"/>
      <c r="C74" s="183" t="str">
        <f t="shared" si="4"/>
        <v/>
      </c>
      <c r="D74" s="182" t="s">
        <v>1467</v>
      </c>
      <c r="E74" s="192" t="s">
        <v>681</v>
      </c>
      <c r="F74" s="192" t="s">
        <v>848</v>
      </c>
      <c r="G74" s="192" t="s">
        <v>850</v>
      </c>
      <c r="H74" s="210" t="s">
        <v>1447</v>
      </c>
      <c r="I74" s="210"/>
      <c r="J74" s="167">
        <v>1699000000</v>
      </c>
      <c r="K74" s="166"/>
      <c r="L74" s="166"/>
      <c r="M74" s="168">
        <v>1699000000</v>
      </c>
      <c r="N74" s="168">
        <f t="shared" si="7"/>
        <v>0</v>
      </c>
      <c r="O74" s="168">
        <f>J74</f>
        <v>1699000000</v>
      </c>
      <c r="P74" s="167">
        <v>1421288000</v>
      </c>
      <c r="Q74" s="167">
        <f t="shared" si="8"/>
        <v>0</v>
      </c>
      <c r="R74" s="168">
        <f>P74</f>
        <v>1421288000</v>
      </c>
      <c r="T74" s="201">
        <f t="shared" si="9"/>
        <v>1699</v>
      </c>
      <c r="U74" s="201">
        <f t="shared" si="16"/>
        <v>0</v>
      </c>
      <c r="V74" s="201">
        <f t="shared" si="16"/>
        <v>1699</v>
      </c>
      <c r="W74" s="201">
        <f t="shared" si="16"/>
        <v>1421.288</v>
      </c>
      <c r="X74" s="201">
        <f t="shared" si="16"/>
        <v>0</v>
      </c>
      <c r="Y74" s="201">
        <f t="shared" si="16"/>
        <v>1421.288</v>
      </c>
    </row>
    <row r="75" spans="1:25" s="169" customFormat="1" ht="26.4">
      <c r="A75" s="192" t="s">
        <v>851</v>
      </c>
      <c r="B75" s="165" t="s">
        <v>852</v>
      </c>
      <c r="C75" s="183" t="str">
        <f t="shared" si="4"/>
        <v>1037480</v>
      </c>
      <c r="D75" s="182" t="str">
        <f t="shared" ref="D75" si="17">IF(C75&lt;&gt;"",RIGHT(B75,LEN(B75)-7),"")</f>
        <v>-Trung tâm Trợ giúp Pháp lý nhà nước</v>
      </c>
      <c r="E75" s="206"/>
      <c r="F75" s="207">
        <v>414</v>
      </c>
      <c r="G75" s="207"/>
      <c r="H75" s="205"/>
      <c r="I75" s="224">
        <f>J75-Sheet1!I395</f>
        <v>0</v>
      </c>
      <c r="J75" s="167">
        <v>1584600000</v>
      </c>
      <c r="K75" s="166"/>
      <c r="L75" s="167">
        <v>1558000000</v>
      </c>
      <c r="M75" s="168">
        <v>26600000</v>
      </c>
      <c r="N75" s="168">
        <f t="shared" si="7"/>
        <v>1584600000</v>
      </c>
      <c r="O75" s="168"/>
      <c r="P75" s="167">
        <v>1365288000</v>
      </c>
      <c r="Q75" s="167">
        <f t="shared" si="8"/>
        <v>1365288000</v>
      </c>
      <c r="R75" s="168"/>
      <c r="T75" s="201">
        <f t="shared" si="9"/>
        <v>1584.6</v>
      </c>
      <c r="U75" s="201">
        <f t="shared" si="16"/>
        <v>1584.6</v>
      </c>
      <c r="V75" s="201">
        <f t="shared" si="16"/>
        <v>0</v>
      </c>
      <c r="W75" s="201">
        <f t="shared" si="16"/>
        <v>1365.288</v>
      </c>
      <c r="X75" s="201">
        <f t="shared" si="16"/>
        <v>1365.288</v>
      </c>
      <c r="Y75" s="201">
        <f t="shared" si="16"/>
        <v>0</v>
      </c>
    </row>
    <row r="76" spans="1:25" s="169" customFormat="1" ht="26.4">
      <c r="A76" s="192" t="s">
        <v>856</v>
      </c>
      <c r="B76" s="170" t="s">
        <v>857</v>
      </c>
      <c r="C76" s="183" t="str">
        <f t="shared" si="4"/>
        <v>1037481</v>
      </c>
      <c r="D76" s="182" t="str">
        <f>IF(C76&lt;&gt;"",RIGHT(B76,LEN(B76)-8),"")</f>
        <v>Hội Nông dân tinh Kon Tum</v>
      </c>
      <c r="E76" s="206"/>
      <c r="F76" s="207">
        <v>513</v>
      </c>
      <c r="G76" s="207"/>
      <c r="H76" s="205"/>
      <c r="I76" s="224">
        <f>J76-Sheet1!I402</f>
        <v>0</v>
      </c>
      <c r="J76" s="167">
        <v>3929700000</v>
      </c>
      <c r="K76" s="166"/>
      <c r="L76" s="167">
        <v>3723000000</v>
      </c>
      <c r="M76" s="168">
        <v>206700000</v>
      </c>
      <c r="N76" s="168">
        <f t="shared" si="7"/>
        <v>3829700000</v>
      </c>
      <c r="O76" s="168">
        <f>O77+O78</f>
        <v>100000000</v>
      </c>
      <c r="P76" s="167">
        <v>3915122400</v>
      </c>
      <c r="Q76" s="167">
        <f t="shared" si="8"/>
        <v>3815776100</v>
      </c>
      <c r="R76" s="168">
        <f>R77+R78</f>
        <v>99346300</v>
      </c>
      <c r="T76" s="201">
        <f t="shared" si="9"/>
        <v>3929.7</v>
      </c>
      <c r="U76" s="201">
        <f t="shared" si="16"/>
        <v>3829.7</v>
      </c>
      <c r="V76" s="201">
        <f t="shared" si="16"/>
        <v>100</v>
      </c>
      <c r="W76" s="201">
        <f t="shared" si="16"/>
        <v>3915.1224000000002</v>
      </c>
      <c r="X76" s="201">
        <f t="shared" si="16"/>
        <v>3815.7761</v>
      </c>
      <c r="Y76" s="201">
        <f t="shared" si="16"/>
        <v>99.346299999999999</v>
      </c>
    </row>
    <row r="77" spans="1:25" s="169" customFormat="1" ht="13.8">
      <c r="A77" s="192"/>
      <c r="B77" s="170" t="s">
        <v>689</v>
      </c>
      <c r="C77" s="183" t="str">
        <f t="shared" si="4"/>
        <v/>
      </c>
      <c r="D77" s="182" t="s">
        <v>1464</v>
      </c>
      <c r="E77" s="206"/>
      <c r="F77" s="207"/>
      <c r="G77" s="207"/>
      <c r="H77" s="205"/>
      <c r="I77" s="205"/>
      <c r="J77" s="167">
        <v>3829700000</v>
      </c>
      <c r="K77" s="166"/>
      <c r="L77" s="167">
        <v>3723000000</v>
      </c>
      <c r="M77" s="168">
        <v>106700000</v>
      </c>
      <c r="N77" s="168">
        <f t="shared" si="7"/>
        <v>3829700000</v>
      </c>
      <c r="O77" s="168"/>
      <c r="P77" s="167">
        <v>3815776100</v>
      </c>
      <c r="Q77" s="167">
        <f t="shared" si="8"/>
        <v>3815776100</v>
      </c>
      <c r="R77" s="168"/>
      <c r="T77" s="201">
        <f t="shared" si="9"/>
        <v>3829.7</v>
      </c>
      <c r="U77" s="201">
        <f t="shared" si="16"/>
        <v>3829.7</v>
      </c>
      <c r="V77" s="201">
        <f t="shared" si="16"/>
        <v>0</v>
      </c>
      <c r="W77" s="201">
        <f t="shared" si="16"/>
        <v>3815.7761</v>
      </c>
      <c r="X77" s="201">
        <f t="shared" si="16"/>
        <v>3815.7761</v>
      </c>
      <c r="Y77" s="201">
        <f t="shared" si="16"/>
        <v>0</v>
      </c>
    </row>
    <row r="78" spans="1:25" s="169" customFormat="1" ht="13.8">
      <c r="A78" s="192"/>
      <c r="B78" s="164"/>
      <c r="C78" s="183" t="str">
        <f t="shared" si="4"/>
        <v/>
      </c>
      <c r="D78" s="182" t="s">
        <v>1470</v>
      </c>
      <c r="E78" s="192" t="s">
        <v>681</v>
      </c>
      <c r="F78" s="192" t="s">
        <v>859</v>
      </c>
      <c r="G78" s="192" t="s">
        <v>786</v>
      </c>
      <c r="H78" s="210" t="s">
        <v>1448</v>
      </c>
      <c r="I78" s="210"/>
      <c r="J78" s="167">
        <v>100000000</v>
      </c>
      <c r="K78" s="166"/>
      <c r="L78" s="166"/>
      <c r="M78" s="168">
        <v>100000000</v>
      </c>
      <c r="N78" s="168">
        <f t="shared" si="7"/>
        <v>0</v>
      </c>
      <c r="O78" s="168">
        <f>J78</f>
        <v>100000000</v>
      </c>
      <c r="P78" s="167">
        <v>99346300</v>
      </c>
      <c r="Q78" s="167">
        <f t="shared" si="8"/>
        <v>0</v>
      </c>
      <c r="R78" s="168">
        <f>P78</f>
        <v>99346300</v>
      </c>
      <c r="T78" s="201">
        <f t="shared" si="9"/>
        <v>100</v>
      </c>
      <c r="U78" s="201">
        <f t="shared" si="16"/>
        <v>0</v>
      </c>
      <c r="V78" s="201">
        <f t="shared" si="16"/>
        <v>100</v>
      </c>
      <c r="W78" s="201">
        <f t="shared" si="16"/>
        <v>99.346299999999999</v>
      </c>
      <c r="X78" s="201">
        <f t="shared" si="16"/>
        <v>0</v>
      </c>
      <c r="Y78" s="201">
        <f t="shared" si="16"/>
        <v>99.346299999999999</v>
      </c>
    </row>
    <row r="79" spans="1:25" s="169" customFormat="1" ht="27.6">
      <c r="A79" s="192" t="s">
        <v>861</v>
      </c>
      <c r="B79" s="165" t="s">
        <v>862</v>
      </c>
      <c r="C79" s="183" t="str">
        <f t="shared" si="4"/>
        <v>1037482</v>
      </c>
      <c r="D79" s="182" t="str">
        <f t="shared" ref="D79:D142" si="18">IF(C79&lt;&gt;"",RIGHT(B79,LEN(B79)-8),"")</f>
        <v>Trung tâm văn hóa Thể thao rhanh thiẽu nhi tỉnh Kon Tum</v>
      </c>
      <c r="E79" s="206"/>
      <c r="F79" s="207">
        <v>511</v>
      </c>
      <c r="G79" s="207"/>
      <c r="H79" s="205"/>
      <c r="I79" s="224">
        <f>J79-Sheet1!I412</f>
        <v>0</v>
      </c>
      <c r="J79" s="167">
        <v>2589834000</v>
      </c>
      <c r="K79" s="166"/>
      <c r="L79" s="167">
        <v>2200000000</v>
      </c>
      <c r="M79" s="168">
        <v>389834000</v>
      </c>
      <c r="N79" s="168">
        <f t="shared" si="7"/>
        <v>2589834000</v>
      </c>
      <c r="O79" s="168"/>
      <c r="P79" s="167">
        <v>2589834000</v>
      </c>
      <c r="Q79" s="167">
        <f t="shared" si="8"/>
        <v>2589834000</v>
      </c>
      <c r="R79" s="168"/>
      <c r="T79" s="201">
        <f t="shared" si="9"/>
        <v>2589.8339999999998</v>
      </c>
      <c r="U79" s="201">
        <f t="shared" si="16"/>
        <v>2589.8339999999998</v>
      </c>
      <c r="V79" s="201">
        <f t="shared" si="16"/>
        <v>0</v>
      </c>
      <c r="W79" s="201">
        <f t="shared" si="16"/>
        <v>2589.8339999999998</v>
      </c>
      <c r="X79" s="201">
        <f t="shared" si="16"/>
        <v>2589.8339999999998</v>
      </c>
      <c r="Y79" s="201">
        <f t="shared" si="16"/>
        <v>0</v>
      </c>
    </row>
    <row r="80" spans="1:25" s="169" customFormat="1" ht="13.8">
      <c r="A80" s="192" t="s">
        <v>866</v>
      </c>
      <c r="B80" s="170" t="s">
        <v>867</v>
      </c>
      <c r="C80" s="183" t="str">
        <f t="shared" si="4"/>
        <v>1037483</v>
      </c>
      <c r="D80" s="182" t="str">
        <f t="shared" si="18"/>
        <v>Tỉnh đoàn Kon Tum</v>
      </c>
      <c r="E80" s="206"/>
      <c r="F80" s="207">
        <v>511</v>
      </c>
      <c r="G80" s="207"/>
      <c r="H80" s="205"/>
      <c r="I80" s="224">
        <f>J80-Sheet1!I419</f>
        <v>0</v>
      </c>
      <c r="J80" s="167">
        <v>5578200000</v>
      </c>
      <c r="K80" s="166"/>
      <c r="L80" s="167">
        <v>5341000000</v>
      </c>
      <c r="M80" s="168">
        <v>237200000</v>
      </c>
      <c r="N80" s="168">
        <f t="shared" si="7"/>
        <v>5578200000</v>
      </c>
      <c r="O80" s="168"/>
      <c r="P80" s="167">
        <v>5578200000</v>
      </c>
      <c r="Q80" s="167">
        <f t="shared" si="8"/>
        <v>5578200000</v>
      </c>
      <c r="R80" s="168"/>
      <c r="T80" s="201">
        <f t="shared" si="9"/>
        <v>5578.2</v>
      </c>
      <c r="U80" s="201">
        <f t="shared" si="16"/>
        <v>5578.2</v>
      </c>
      <c r="V80" s="201">
        <f t="shared" si="16"/>
        <v>0</v>
      </c>
      <c r="W80" s="201">
        <f t="shared" si="16"/>
        <v>5578.2</v>
      </c>
      <c r="X80" s="201">
        <f t="shared" si="16"/>
        <v>5578.2</v>
      </c>
      <c r="Y80" s="201">
        <f t="shared" si="16"/>
        <v>0</v>
      </c>
    </row>
    <row r="81" spans="1:25" s="169" customFormat="1" ht="13.8">
      <c r="A81" s="192" t="s">
        <v>869</v>
      </c>
      <c r="B81" s="170" t="s">
        <v>870</v>
      </c>
      <c r="C81" s="183" t="str">
        <f t="shared" si="4"/>
        <v>1037484</v>
      </c>
      <c r="D81" s="182" t="str">
        <f t="shared" si="18"/>
        <v>Thư viện Tinh</v>
      </c>
      <c r="E81" s="206"/>
      <c r="F81" s="207">
        <v>425</v>
      </c>
      <c r="G81" s="207"/>
      <c r="H81" s="205"/>
      <c r="I81" s="224">
        <f>J81-Sheet1!I427</f>
        <v>0</v>
      </c>
      <c r="J81" s="167">
        <v>2729947000</v>
      </c>
      <c r="K81" s="166"/>
      <c r="L81" s="167">
        <v>2559000000</v>
      </c>
      <c r="M81" s="168">
        <v>170947000</v>
      </c>
      <c r="N81" s="168">
        <f t="shared" si="7"/>
        <v>2729947000</v>
      </c>
      <c r="O81" s="168"/>
      <c r="P81" s="167">
        <v>2729947000</v>
      </c>
      <c r="Q81" s="167">
        <f t="shared" si="8"/>
        <v>2729947000</v>
      </c>
      <c r="R81" s="168"/>
      <c r="T81" s="201">
        <f t="shared" si="9"/>
        <v>2729.9470000000001</v>
      </c>
      <c r="U81" s="201">
        <f t="shared" si="16"/>
        <v>2729.9470000000001</v>
      </c>
      <c r="V81" s="201">
        <f t="shared" si="16"/>
        <v>0</v>
      </c>
      <c r="W81" s="201">
        <f t="shared" si="16"/>
        <v>2729.9470000000001</v>
      </c>
      <c r="X81" s="201">
        <f t="shared" si="16"/>
        <v>2729.9470000000001</v>
      </c>
      <c r="Y81" s="201">
        <f t="shared" si="16"/>
        <v>0</v>
      </c>
    </row>
    <row r="82" spans="1:25" s="169" customFormat="1" ht="26.4">
      <c r="A82" s="192" t="s">
        <v>873</v>
      </c>
      <c r="B82" s="165" t="s">
        <v>874</v>
      </c>
      <c r="C82" s="183" t="str">
        <f t="shared" si="4"/>
        <v>1037488</v>
      </c>
      <c r="D82" s="182" t="str">
        <f t="shared" si="18"/>
        <v>Hạt Kiềm lâm thành phố Kon rum</v>
      </c>
      <c r="E82" s="206"/>
      <c r="F82" s="207">
        <v>412</v>
      </c>
      <c r="G82" s="207"/>
      <c r="H82" s="205"/>
      <c r="I82" s="224">
        <f>J82-Sheet1!I434</f>
        <v>0</v>
      </c>
      <c r="J82" s="167">
        <v>2261642000</v>
      </c>
      <c r="K82" s="167">
        <v>21642000</v>
      </c>
      <c r="L82" s="167">
        <v>2181000000</v>
      </c>
      <c r="M82" s="168">
        <v>59000000</v>
      </c>
      <c r="N82" s="168">
        <f t="shared" si="7"/>
        <v>2261642000</v>
      </c>
      <c r="O82" s="168"/>
      <c r="P82" s="167">
        <v>2261642000</v>
      </c>
      <c r="Q82" s="167">
        <f t="shared" si="8"/>
        <v>2261642000</v>
      </c>
      <c r="R82" s="168"/>
      <c r="T82" s="201">
        <f t="shared" si="9"/>
        <v>2261.6419999999998</v>
      </c>
      <c r="U82" s="201">
        <f t="shared" si="16"/>
        <v>2261.6419999999998</v>
      </c>
      <c r="V82" s="201">
        <f t="shared" si="16"/>
        <v>0</v>
      </c>
      <c r="W82" s="201">
        <f t="shared" si="16"/>
        <v>2261.6419999999998</v>
      </c>
      <c r="X82" s="201">
        <f t="shared" si="16"/>
        <v>2261.6419999999998</v>
      </c>
      <c r="Y82" s="201">
        <f t="shared" si="16"/>
        <v>0</v>
      </c>
    </row>
    <row r="83" spans="1:25" s="169" customFormat="1" ht="26.4">
      <c r="A83" s="192" t="s">
        <v>876</v>
      </c>
      <c r="B83" s="165" t="s">
        <v>877</v>
      </c>
      <c r="C83" s="183" t="str">
        <f t="shared" si="4"/>
        <v>1037489</v>
      </c>
      <c r="D83" s="182" t="str">
        <f t="shared" si="18"/>
        <v>Ban quản lý rừng Đặc dụng Dak uy</v>
      </c>
      <c r="E83" s="206"/>
      <c r="F83" s="207">
        <v>412</v>
      </c>
      <c r="G83" s="207"/>
      <c r="H83" s="205"/>
      <c r="I83" s="224">
        <f>J83-Sheet1!I443</f>
        <v>0</v>
      </c>
      <c r="J83" s="167">
        <v>2727826087</v>
      </c>
      <c r="K83" s="167">
        <v>32926087</v>
      </c>
      <c r="L83" s="167">
        <v>2201000000</v>
      </c>
      <c r="M83" s="168">
        <v>493900000</v>
      </c>
      <c r="N83" s="168">
        <f t="shared" si="7"/>
        <v>2727826087</v>
      </c>
      <c r="O83" s="168"/>
      <c r="P83" s="167">
        <v>2036520601</v>
      </c>
      <c r="Q83" s="167">
        <f t="shared" si="8"/>
        <v>2036520601</v>
      </c>
      <c r="R83" s="168"/>
      <c r="T83" s="201">
        <f t="shared" si="9"/>
        <v>2727.8260869999999</v>
      </c>
      <c r="U83" s="201">
        <f t="shared" si="16"/>
        <v>2727.8260869999999</v>
      </c>
      <c r="V83" s="201">
        <f t="shared" si="16"/>
        <v>0</v>
      </c>
      <c r="W83" s="201">
        <f t="shared" si="16"/>
        <v>2036.5206009999999</v>
      </c>
      <c r="X83" s="201">
        <f t="shared" si="16"/>
        <v>2036.5206009999999</v>
      </c>
      <c r="Y83" s="201">
        <f t="shared" si="16"/>
        <v>0</v>
      </c>
    </row>
    <row r="84" spans="1:25" s="169" customFormat="1" ht="26.4">
      <c r="A84" s="192" t="s">
        <v>880</v>
      </c>
      <c r="B84" s="170" t="s">
        <v>881</v>
      </c>
      <c r="C84" s="183" t="str">
        <f t="shared" si="4"/>
        <v>1037490</v>
      </c>
      <c r="D84" s="182" t="str">
        <f t="shared" si="18"/>
        <v>Hạt kiềm lâm huyện Sa thây</v>
      </c>
      <c r="E84" s="206"/>
      <c r="F84" s="207">
        <v>412</v>
      </c>
      <c r="G84" s="207"/>
      <c r="H84" s="205"/>
      <c r="I84" s="224">
        <f>J84-Sheet1!I453</f>
        <v>0</v>
      </c>
      <c r="J84" s="167">
        <v>5918800000</v>
      </c>
      <c r="K84" s="166"/>
      <c r="L84" s="167">
        <v>3062800000</v>
      </c>
      <c r="M84" s="168">
        <v>2856000000</v>
      </c>
      <c r="N84" s="168">
        <f t="shared" si="7"/>
        <v>5918800000</v>
      </c>
      <c r="O84" s="168"/>
      <c r="P84" s="167">
        <v>3158800000</v>
      </c>
      <c r="Q84" s="167">
        <f t="shared" si="8"/>
        <v>3158800000</v>
      </c>
      <c r="R84" s="168"/>
      <c r="T84" s="201">
        <f t="shared" si="9"/>
        <v>5918.8</v>
      </c>
      <c r="U84" s="201">
        <f t="shared" si="16"/>
        <v>5918.8</v>
      </c>
      <c r="V84" s="201">
        <f t="shared" si="16"/>
        <v>0</v>
      </c>
      <c r="W84" s="201">
        <f t="shared" si="16"/>
        <v>3158.8</v>
      </c>
      <c r="X84" s="201">
        <f t="shared" si="16"/>
        <v>3158.8</v>
      </c>
      <c r="Y84" s="201">
        <f t="shared" si="16"/>
        <v>0</v>
      </c>
    </row>
    <row r="85" spans="1:25" s="169" customFormat="1" ht="26.4">
      <c r="A85" s="192" t="s">
        <v>884</v>
      </c>
      <c r="B85" s="170" t="s">
        <v>885</v>
      </c>
      <c r="C85" s="183" t="str">
        <f t="shared" si="4"/>
        <v>1037491</v>
      </c>
      <c r="D85" s="182" t="str">
        <f t="shared" si="18"/>
        <v>Hạt kiểm lâm huyện Ngọc hồ'</v>
      </c>
      <c r="E85" s="206"/>
      <c r="F85" s="207">
        <v>412</v>
      </c>
      <c r="G85" s="207"/>
      <c r="H85" s="205"/>
      <c r="I85" s="224">
        <f>J85-Sheet1!I463</f>
        <v>0</v>
      </c>
      <c r="J85" s="167">
        <v>2975207000</v>
      </c>
      <c r="K85" s="166"/>
      <c r="L85" s="167">
        <v>2705000000</v>
      </c>
      <c r="M85" s="168">
        <v>270207000</v>
      </c>
      <c r="N85" s="168">
        <f t="shared" si="7"/>
        <v>2975207000</v>
      </c>
      <c r="O85" s="168"/>
      <c r="P85" s="167">
        <v>2975207000</v>
      </c>
      <c r="Q85" s="167">
        <f t="shared" si="8"/>
        <v>2975207000</v>
      </c>
      <c r="R85" s="168"/>
      <c r="T85" s="201">
        <f t="shared" si="9"/>
        <v>2975.2069999999999</v>
      </c>
      <c r="U85" s="201">
        <f t="shared" si="16"/>
        <v>2975.2069999999999</v>
      </c>
      <c r="V85" s="201">
        <f t="shared" si="16"/>
        <v>0</v>
      </c>
      <c r="W85" s="201">
        <f t="shared" si="16"/>
        <v>2975.2069999999999</v>
      </c>
      <c r="X85" s="201">
        <f t="shared" si="16"/>
        <v>2975.2069999999999</v>
      </c>
      <c r="Y85" s="201">
        <f t="shared" si="16"/>
        <v>0</v>
      </c>
    </row>
    <row r="86" spans="1:25" s="169" customFormat="1" ht="27.6">
      <c r="A86" s="192" t="s">
        <v>887</v>
      </c>
      <c r="B86" s="165" t="s">
        <v>888</v>
      </c>
      <c r="C86" s="183" t="str">
        <f t="shared" si="4"/>
        <v>1037518</v>
      </c>
      <c r="D86" s="182" t="str">
        <f t="shared" si="18"/>
        <v>Trường Tiểu học Thực hành sư phạm Ngụy Như Kon Tum</v>
      </c>
      <c r="E86" s="206"/>
      <c r="F86" s="207">
        <v>422</v>
      </c>
      <c r="G86" s="207"/>
      <c r="H86" s="205"/>
      <c r="I86" s="224">
        <f>J86-Sheet1!I471</f>
        <v>0</v>
      </c>
      <c r="J86" s="167">
        <v>8813188000</v>
      </c>
      <c r="K86" s="166"/>
      <c r="L86" s="167">
        <v>8588588000</v>
      </c>
      <c r="M86" s="168">
        <v>224600000</v>
      </c>
      <c r="N86" s="168">
        <f t="shared" si="7"/>
        <v>8813188000</v>
      </c>
      <c r="O86" s="168"/>
      <c r="P86" s="167">
        <v>8811888000</v>
      </c>
      <c r="Q86" s="167">
        <f t="shared" si="8"/>
        <v>8811888000</v>
      </c>
      <c r="R86" s="168"/>
      <c r="T86" s="201">
        <f t="shared" si="9"/>
        <v>8813.1880000000001</v>
      </c>
      <c r="U86" s="201">
        <f t="shared" si="16"/>
        <v>8813.1880000000001</v>
      </c>
      <c r="V86" s="201">
        <f t="shared" si="16"/>
        <v>0</v>
      </c>
      <c r="W86" s="201">
        <f t="shared" si="16"/>
        <v>8811.8880000000008</v>
      </c>
      <c r="X86" s="201">
        <f t="shared" si="16"/>
        <v>8811.8880000000008</v>
      </c>
      <c r="Y86" s="201">
        <f t="shared" si="16"/>
        <v>0</v>
      </c>
    </row>
    <row r="87" spans="1:25" s="169" customFormat="1" ht="26.4">
      <c r="A87" s="192" t="s">
        <v>891</v>
      </c>
      <c r="B87" s="165" t="s">
        <v>892</v>
      </c>
      <c r="C87" s="183" t="str">
        <f t="shared" ref="C87:C150" si="19">IF(B87&lt;&gt;"",IF(AND(LEFT(B87,1)&gt;="0",LEFT(B87,1)&lt;="9"),LEFT(B87,7),""),"")</f>
        <v>1037519</v>
      </c>
      <c r="D87" s="182" t="str">
        <f t="shared" si="18"/>
        <v>Văn phòng sờ Giáo dục và Dào tạo</v>
      </c>
      <c r="E87" s="206"/>
      <c r="F87" s="207">
        <v>422</v>
      </c>
      <c r="G87" s="207"/>
      <c r="H87" s="205"/>
      <c r="I87" s="224">
        <f>J87-Sheet1!I479</f>
        <v>0</v>
      </c>
      <c r="J87" s="167">
        <v>16586658500</v>
      </c>
      <c r="K87" s="167">
        <v>846058500</v>
      </c>
      <c r="L87" s="167">
        <v>14200000000</v>
      </c>
      <c r="M87" s="168">
        <v>1540600000</v>
      </c>
      <c r="N87" s="168">
        <f t="shared" si="7"/>
        <v>16586658500</v>
      </c>
      <c r="O87" s="168"/>
      <c r="P87" s="167">
        <v>16560882000</v>
      </c>
      <c r="Q87" s="167">
        <f t="shared" si="8"/>
        <v>16560882000</v>
      </c>
      <c r="R87" s="168"/>
      <c r="T87" s="201">
        <f t="shared" si="9"/>
        <v>16586.658500000001</v>
      </c>
      <c r="U87" s="201">
        <f t="shared" si="16"/>
        <v>16586.658500000001</v>
      </c>
      <c r="V87" s="201">
        <f t="shared" si="16"/>
        <v>0</v>
      </c>
      <c r="W87" s="201">
        <f t="shared" si="16"/>
        <v>16560.882000000001</v>
      </c>
      <c r="X87" s="201">
        <f t="shared" si="16"/>
        <v>16560.882000000001</v>
      </c>
      <c r="Y87" s="201">
        <f t="shared" si="16"/>
        <v>0</v>
      </c>
    </row>
    <row r="88" spans="1:25" s="169" customFormat="1" ht="26.4">
      <c r="A88" s="192" t="s">
        <v>895</v>
      </c>
      <c r="B88" s="165" t="s">
        <v>896</v>
      </c>
      <c r="C88" s="183" t="str">
        <f t="shared" si="19"/>
        <v>1037574</v>
      </c>
      <c r="D88" s="182" t="str">
        <f t="shared" si="18"/>
        <v>Trường Cao đẳng sư phạm rỉnh Kontum</v>
      </c>
      <c r="E88" s="206"/>
      <c r="F88" s="207">
        <v>422</v>
      </c>
      <c r="G88" s="207"/>
      <c r="H88" s="205"/>
      <c r="I88" s="224">
        <f>J88-Sheet1!I490</f>
        <v>0</v>
      </c>
      <c r="J88" s="167">
        <v>18238310000</v>
      </c>
      <c r="K88" s="167">
        <v>399984000</v>
      </c>
      <c r="L88" s="167">
        <v>15355900000</v>
      </c>
      <c r="M88" s="168">
        <v>2482426000</v>
      </c>
      <c r="N88" s="168">
        <f t="shared" ref="N88:N151" si="20">J88-O88</f>
        <v>18238310000</v>
      </c>
      <c r="O88" s="168"/>
      <c r="P88" s="167">
        <v>15140896398</v>
      </c>
      <c r="Q88" s="167">
        <f t="shared" ref="Q88:Q151" si="21">P88-R88</f>
        <v>15140896398</v>
      </c>
      <c r="R88" s="168"/>
      <c r="T88" s="201">
        <f t="shared" ref="T88:T151" si="22">J88/1000000</f>
        <v>18238.310000000001</v>
      </c>
      <c r="U88" s="201">
        <f t="shared" ref="U88:Y103" si="23">N88/1000000</f>
        <v>18238.310000000001</v>
      </c>
      <c r="V88" s="201">
        <f t="shared" si="23"/>
        <v>0</v>
      </c>
      <c r="W88" s="201">
        <f t="shared" si="23"/>
        <v>15140.896398000001</v>
      </c>
      <c r="X88" s="201">
        <f t="shared" si="23"/>
        <v>15140.896398000001</v>
      </c>
      <c r="Y88" s="201">
        <f t="shared" si="23"/>
        <v>0</v>
      </c>
    </row>
    <row r="89" spans="1:25" s="169" customFormat="1" ht="26.4">
      <c r="A89" s="192" t="s">
        <v>899</v>
      </c>
      <c r="B89" s="165" t="s">
        <v>900</v>
      </c>
      <c r="C89" s="183" t="str">
        <f t="shared" si="19"/>
        <v>1037575</v>
      </c>
      <c r="D89" s="182" t="str">
        <f t="shared" si="18"/>
        <v>Trường PT Dân tộc Nội trú luyện Ngọc hSi</v>
      </c>
      <c r="E89" s="206"/>
      <c r="F89" s="207">
        <v>422</v>
      </c>
      <c r="G89" s="207"/>
      <c r="H89" s="205"/>
      <c r="I89" s="224">
        <f>J89-Sheet1!I502</f>
        <v>0</v>
      </c>
      <c r="J89" s="167">
        <v>10113566153</v>
      </c>
      <c r="K89" s="167">
        <v>41660153</v>
      </c>
      <c r="L89" s="167">
        <v>9290577000</v>
      </c>
      <c r="M89" s="168">
        <v>781329000</v>
      </c>
      <c r="N89" s="168">
        <f t="shared" si="20"/>
        <v>10113566153</v>
      </c>
      <c r="O89" s="168"/>
      <c r="P89" s="167">
        <v>9486884003</v>
      </c>
      <c r="Q89" s="167">
        <f t="shared" si="21"/>
        <v>9486884003</v>
      </c>
      <c r="R89" s="168"/>
      <c r="T89" s="201">
        <f t="shared" si="22"/>
        <v>10113.566153</v>
      </c>
      <c r="U89" s="201">
        <f t="shared" si="23"/>
        <v>10113.566153</v>
      </c>
      <c r="V89" s="201">
        <f t="shared" si="23"/>
        <v>0</v>
      </c>
      <c r="W89" s="201">
        <f t="shared" si="23"/>
        <v>9486.8840029999992</v>
      </c>
      <c r="X89" s="201">
        <f t="shared" si="23"/>
        <v>9486.8840029999992</v>
      </c>
      <c r="Y89" s="201">
        <f t="shared" si="23"/>
        <v>0</v>
      </c>
    </row>
    <row r="90" spans="1:25" s="169" customFormat="1" ht="26.4">
      <c r="A90" s="192" t="s">
        <v>902</v>
      </c>
      <c r="B90" s="170" t="s">
        <v>903</v>
      </c>
      <c r="C90" s="183" t="str">
        <f t="shared" si="19"/>
        <v>1037577</v>
      </c>
      <c r="D90" s="182" t="str">
        <f t="shared" si="18"/>
        <v>Hội chử thập đỏ tỉnh Kontum</v>
      </c>
      <c r="E90" s="206"/>
      <c r="F90" s="207">
        <v>522</v>
      </c>
      <c r="G90" s="207"/>
      <c r="H90" s="205"/>
      <c r="I90" s="224">
        <f>J90-Sheet1!I513</f>
        <v>0</v>
      </c>
      <c r="J90" s="167">
        <v>1654000000</v>
      </c>
      <c r="K90" s="166"/>
      <c r="L90" s="167">
        <v>1614000000</v>
      </c>
      <c r="M90" s="168">
        <v>40000000</v>
      </c>
      <c r="N90" s="168">
        <f t="shared" si="20"/>
        <v>1654000000</v>
      </c>
      <c r="O90" s="168"/>
      <c r="P90" s="167">
        <v>1654000000</v>
      </c>
      <c r="Q90" s="167">
        <f t="shared" si="21"/>
        <v>1654000000</v>
      </c>
      <c r="R90" s="168"/>
      <c r="T90" s="201">
        <f t="shared" si="22"/>
        <v>1654</v>
      </c>
      <c r="U90" s="201">
        <f t="shared" si="23"/>
        <v>1654</v>
      </c>
      <c r="V90" s="201">
        <f t="shared" si="23"/>
        <v>0</v>
      </c>
      <c r="W90" s="201">
        <f t="shared" si="23"/>
        <v>1654</v>
      </c>
      <c r="X90" s="201">
        <f t="shared" si="23"/>
        <v>1654</v>
      </c>
      <c r="Y90" s="201">
        <f t="shared" si="23"/>
        <v>0</v>
      </c>
    </row>
    <row r="91" spans="1:25" s="169" customFormat="1" ht="26.4">
      <c r="A91" s="192" t="s">
        <v>907</v>
      </c>
      <c r="B91" s="165" t="s">
        <v>908</v>
      </c>
      <c r="C91" s="183" t="str">
        <f t="shared" si="19"/>
        <v>1037579</v>
      </c>
      <c r="D91" s="182" t="str">
        <f t="shared" si="18"/>
        <v>Bảo tàng - Thư viện tỉnh Kon Tum</v>
      </c>
      <c r="E91" s="206"/>
      <c r="F91" s="207">
        <v>425</v>
      </c>
      <c r="G91" s="207"/>
      <c r="H91" s="205"/>
      <c r="I91" s="224">
        <f>J91-Sheet1!I518</f>
        <v>0</v>
      </c>
      <c r="J91" s="167">
        <v>3409029000</v>
      </c>
      <c r="K91" s="167">
        <v>100000000</v>
      </c>
      <c r="L91" s="167">
        <v>3132000000</v>
      </c>
      <c r="M91" s="168">
        <v>177029000</v>
      </c>
      <c r="N91" s="168">
        <f t="shared" si="20"/>
        <v>3409029000</v>
      </c>
      <c r="O91" s="168"/>
      <c r="P91" s="167">
        <v>3404029000</v>
      </c>
      <c r="Q91" s="167">
        <f t="shared" si="21"/>
        <v>3404029000</v>
      </c>
      <c r="R91" s="168"/>
      <c r="T91" s="201">
        <f t="shared" si="22"/>
        <v>3409.029</v>
      </c>
      <c r="U91" s="201">
        <f t="shared" si="23"/>
        <v>3409.029</v>
      </c>
      <c r="V91" s="201">
        <f t="shared" si="23"/>
        <v>0</v>
      </c>
      <c r="W91" s="201">
        <f t="shared" si="23"/>
        <v>3404.029</v>
      </c>
      <c r="X91" s="201">
        <f t="shared" si="23"/>
        <v>3404.029</v>
      </c>
      <c r="Y91" s="201">
        <f t="shared" si="23"/>
        <v>0</v>
      </c>
    </row>
    <row r="92" spans="1:25" s="169" customFormat="1" ht="27.6">
      <c r="A92" s="192" t="s">
        <v>912</v>
      </c>
      <c r="B92" s="165" t="s">
        <v>913</v>
      </c>
      <c r="C92" s="183" t="str">
        <f t="shared" si="19"/>
        <v>1037582</v>
      </c>
      <c r="D92" s="182" t="str">
        <f t="shared" si="18"/>
        <v>Văn phòng sờ Văn hoá Thể thao và Du lịch tỉnh Kontum</v>
      </c>
      <c r="E92" s="206"/>
      <c r="F92" s="207">
        <v>425</v>
      </c>
      <c r="G92" s="207"/>
      <c r="H92" s="205"/>
      <c r="I92" s="224">
        <f>J92-Sheet1!I526</f>
        <v>0</v>
      </c>
      <c r="J92" s="167">
        <v>14097089000</v>
      </c>
      <c r="K92" s="167">
        <v>349000000</v>
      </c>
      <c r="L92" s="167">
        <v>9484000000</v>
      </c>
      <c r="M92" s="168">
        <v>4264089000</v>
      </c>
      <c r="N92" s="168">
        <f t="shared" si="20"/>
        <v>14097089000</v>
      </c>
      <c r="O92" s="168"/>
      <c r="P92" s="167">
        <v>11028347600</v>
      </c>
      <c r="Q92" s="167">
        <f t="shared" si="21"/>
        <v>11028347600</v>
      </c>
      <c r="R92" s="168"/>
      <c r="T92" s="201">
        <f t="shared" si="22"/>
        <v>14097.089</v>
      </c>
      <c r="U92" s="201">
        <f t="shared" si="23"/>
        <v>14097.089</v>
      </c>
      <c r="V92" s="201">
        <f t="shared" si="23"/>
        <v>0</v>
      </c>
      <c r="W92" s="201">
        <f t="shared" si="23"/>
        <v>11028.347599999999</v>
      </c>
      <c r="X92" s="201">
        <f t="shared" si="23"/>
        <v>11028.347599999999</v>
      </c>
      <c r="Y92" s="201">
        <f t="shared" si="23"/>
        <v>0</v>
      </c>
    </row>
    <row r="93" spans="1:25" s="169" customFormat="1" ht="13.8">
      <c r="A93" s="192" t="s">
        <v>917</v>
      </c>
      <c r="B93" s="164" t="s">
        <v>918</v>
      </c>
      <c r="C93" s="183" t="str">
        <f t="shared" si="19"/>
        <v>1037583</v>
      </c>
      <c r="D93" s="182" t="str">
        <f t="shared" si="18"/>
        <v>Trung tâm Văn hóa Tỉnh</v>
      </c>
      <c r="E93" s="206"/>
      <c r="F93" s="207">
        <v>425</v>
      </c>
      <c r="G93" s="207"/>
      <c r="H93" s="205"/>
      <c r="I93" s="224">
        <f>J93-Sheet1!I541</f>
        <v>0</v>
      </c>
      <c r="J93" s="167">
        <v>3766093000</v>
      </c>
      <c r="K93" s="166"/>
      <c r="L93" s="167">
        <v>3355000000</v>
      </c>
      <c r="M93" s="168">
        <v>411093000</v>
      </c>
      <c r="N93" s="168">
        <f t="shared" si="20"/>
        <v>3766093000</v>
      </c>
      <c r="O93" s="168"/>
      <c r="P93" s="167">
        <v>3765673000</v>
      </c>
      <c r="Q93" s="167">
        <f t="shared" si="21"/>
        <v>3765673000</v>
      </c>
      <c r="R93" s="168"/>
      <c r="T93" s="201">
        <f t="shared" si="22"/>
        <v>3766.0929999999998</v>
      </c>
      <c r="U93" s="201">
        <f t="shared" si="23"/>
        <v>3766.0929999999998</v>
      </c>
      <c r="V93" s="201">
        <f t="shared" si="23"/>
        <v>0</v>
      </c>
      <c r="W93" s="201">
        <f t="shared" si="23"/>
        <v>3765.6729999999998</v>
      </c>
      <c r="X93" s="201">
        <f t="shared" si="23"/>
        <v>3765.6729999999998</v>
      </c>
      <c r="Y93" s="201">
        <f t="shared" si="23"/>
        <v>0</v>
      </c>
    </row>
    <row r="94" spans="1:25" s="169" customFormat="1" ht="26.4">
      <c r="A94" s="192" t="s">
        <v>920</v>
      </c>
      <c r="B94" s="176" t="s">
        <v>921</v>
      </c>
      <c r="C94" s="183" t="str">
        <f t="shared" si="19"/>
        <v>1037584</v>
      </c>
      <c r="D94" s="182" t="str">
        <f t="shared" si="18"/>
        <v>Trung tâm Văn hóa - nghệ liuậttỉnh Kon Tum</v>
      </c>
      <c r="E94" s="206"/>
      <c r="F94" s="207">
        <v>425</v>
      </c>
      <c r="G94" s="207"/>
      <c r="H94" s="205"/>
      <c r="I94" s="224">
        <f>J94-Sheet1!I548</f>
        <v>0</v>
      </c>
      <c r="J94" s="167">
        <v>4484000000</v>
      </c>
      <c r="K94" s="166"/>
      <c r="L94" s="167">
        <v>4023000000</v>
      </c>
      <c r="M94" s="168">
        <v>461000000</v>
      </c>
      <c r="N94" s="168">
        <f t="shared" si="20"/>
        <v>4484000000</v>
      </c>
      <c r="O94" s="168"/>
      <c r="P94" s="167">
        <v>4471904200</v>
      </c>
      <c r="Q94" s="167">
        <f t="shared" si="21"/>
        <v>4471904200</v>
      </c>
      <c r="R94" s="168"/>
      <c r="T94" s="201">
        <f t="shared" si="22"/>
        <v>4484</v>
      </c>
      <c r="U94" s="201">
        <f t="shared" si="23"/>
        <v>4484</v>
      </c>
      <c r="V94" s="201">
        <f t="shared" si="23"/>
        <v>0</v>
      </c>
      <c r="W94" s="201">
        <f t="shared" si="23"/>
        <v>4471.9041999999999</v>
      </c>
      <c r="X94" s="201">
        <f t="shared" si="23"/>
        <v>4471.9041999999999</v>
      </c>
      <c r="Y94" s="201">
        <f t="shared" si="23"/>
        <v>0</v>
      </c>
    </row>
    <row r="95" spans="1:25" s="169" customFormat="1" ht="13.8">
      <c r="A95" s="192" t="s">
        <v>923</v>
      </c>
      <c r="B95" s="164" t="s">
        <v>924</v>
      </c>
      <c r="C95" s="183" t="str">
        <f t="shared" si="19"/>
        <v>1037585</v>
      </c>
      <c r="D95" s="182" t="str">
        <f t="shared" si="18"/>
        <v>Hội văn học Nghệ thuật</v>
      </c>
      <c r="E95" s="206"/>
      <c r="F95" s="207">
        <v>518</v>
      </c>
      <c r="G95" s="207"/>
      <c r="H95" s="205"/>
      <c r="I95" s="224">
        <f>J95-Sheet1!I555</f>
        <v>0</v>
      </c>
      <c r="J95" s="167">
        <v>1426869000</v>
      </c>
      <c r="K95" s="167">
        <v>100169000</v>
      </c>
      <c r="L95" s="167">
        <v>656000000</v>
      </c>
      <c r="M95" s="168">
        <v>670700000</v>
      </c>
      <c r="N95" s="168">
        <f t="shared" si="20"/>
        <v>1426869000</v>
      </c>
      <c r="O95" s="168"/>
      <c r="P95" s="167">
        <v>1107797303</v>
      </c>
      <c r="Q95" s="167">
        <f t="shared" si="21"/>
        <v>1107797303</v>
      </c>
      <c r="R95" s="168"/>
      <c r="T95" s="201">
        <f t="shared" si="22"/>
        <v>1426.8689999999999</v>
      </c>
      <c r="U95" s="201">
        <f t="shared" si="23"/>
        <v>1426.8689999999999</v>
      </c>
      <c r="V95" s="201">
        <f t="shared" si="23"/>
        <v>0</v>
      </c>
      <c r="W95" s="201">
        <f t="shared" si="23"/>
        <v>1107.7973030000001</v>
      </c>
      <c r="X95" s="201">
        <f t="shared" si="23"/>
        <v>1107.7973030000001</v>
      </c>
      <c r="Y95" s="201">
        <f t="shared" si="23"/>
        <v>0</v>
      </c>
    </row>
    <row r="96" spans="1:25" s="169" customFormat="1" ht="26.4">
      <c r="A96" s="192" t="s">
        <v>927</v>
      </c>
      <c r="B96" s="165" t="s">
        <v>928</v>
      </c>
      <c r="C96" s="183" t="str">
        <f t="shared" si="19"/>
        <v>1037641</v>
      </c>
      <c r="D96" s="182" t="str">
        <f t="shared" si="18"/>
        <v>Đài Phát thanh và TruyỄn lình</v>
      </c>
      <c r="E96" s="206"/>
      <c r="F96" s="207">
        <v>441</v>
      </c>
      <c r="G96" s="207"/>
      <c r="H96" s="205"/>
      <c r="I96" s="224">
        <f>J96-Sheet1!I562</f>
        <v>0</v>
      </c>
      <c r="J96" s="167">
        <v>11672727000</v>
      </c>
      <c r="K96" s="166"/>
      <c r="L96" s="167">
        <v>11256000000</v>
      </c>
      <c r="M96" s="168">
        <v>416727000</v>
      </c>
      <c r="N96" s="168">
        <f t="shared" si="20"/>
        <v>11672727000</v>
      </c>
      <c r="O96" s="168"/>
      <c r="P96" s="167">
        <v>11672727000</v>
      </c>
      <c r="Q96" s="167">
        <f t="shared" si="21"/>
        <v>11672727000</v>
      </c>
      <c r="R96" s="168"/>
      <c r="T96" s="201">
        <f t="shared" si="22"/>
        <v>11672.727000000001</v>
      </c>
      <c r="U96" s="201">
        <f t="shared" si="23"/>
        <v>11672.727000000001</v>
      </c>
      <c r="V96" s="201">
        <f t="shared" si="23"/>
        <v>0</v>
      </c>
      <c r="W96" s="201">
        <f t="shared" si="23"/>
        <v>11672.727000000001</v>
      </c>
      <c r="X96" s="201">
        <f t="shared" si="23"/>
        <v>11672.727000000001</v>
      </c>
      <c r="Y96" s="201">
        <f t="shared" si="23"/>
        <v>0</v>
      </c>
    </row>
    <row r="97" spans="1:25" s="169" customFormat="1" ht="27.6">
      <c r="A97" s="192" t="s">
        <v>932</v>
      </c>
      <c r="B97" s="165" t="s">
        <v>933</v>
      </c>
      <c r="C97" s="183" t="str">
        <f t="shared" si="19"/>
        <v>1037642</v>
      </c>
      <c r="D97" s="182" t="str">
        <f t="shared" si="18"/>
        <v>Trung tâm Huãn luyện và Thi đãu Thể dục Thể thao</v>
      </c>
      <c r="E97" s="206"/>
      <c r="F97" s="207">
        <v>425</v>
      </c>
      <c r="G97" s="207"/>
      <c r="H97" s="205"/>
      <c r="I97" s="224">
        <f>J97-Sheet1!I568</f>
        <v>0</v>
      </c>
      <c r="J97" s="167">
        <v>7783848759</v>
      </c>
      <c r="K97" s="167">
        <v>90364759</v>
      </c>
      <c r="L97" s="167">
        <v>7548000000</v>
      </c>
      <c r="M97" s="168">
        <v>145484000</v>
      </c>
      <c r="N97" s="168">
        <f t="shared" si="20"/>
        <v>7783848759</v>
      </c>
      <c r="O97" s="168"/>
      <c r="P97" s="167">
        <v>7756553419</v>
      </c>
      <c r="Q97" s="167">
        <f t="shared" si="21"/>
        <v>7756553419</v>
      </c>
      <c r="R97" s="168"/>
      <c r="T97" s="201">
        <f t="shared" si="22"/>
        <v>7783.8487590000004</v>
      </c>
      <c r="U97" s="201">
        <f t="shared" si="23"/>
        <v>7783.8487590000004</v>
      </c>
      <c r="V97" s="201">
        <f t="shared" si="23"/>
        <v>0</v>
      </c>
      <c r="W97" s="201">
        <f t="shared" si="23"/>
        <v>7756.5534189999998</v>
      </c>
      <c r="X97" s="201">
        <f t="shared" si="23"/>
        <v>7756.5534189999998</v>
      </c>
      <c r="Y97" s="201">
        <f t="shared" si="23"/>
        <v>0</v>
      </c>
    </row>
    <row r="98" spans="1:25" s="169" customFormat="1" ht="13.8">
      <c r="A98" s="192" t="s">
        <v>936</v>
      </c>
      <c r="B98" s="170" t="s">
        <v>937</v>
      </c>
      <c r="C98" s="183" t="str">
        <f t="shared" si="19"/>
        <v>1037644</v>
      </c>
      <c r="D98" s="182" t="str">
        <f t="shared" si="18"/>
        <v>SỜ Nội vụ tỉnh Kon Tum</v>
      </c>
      <c r="E98" s="206"/>
      <c r="F98" s="207">
        <v>435</v>
      </c>
      <c r="G98" s="207"/>
      <c r="H98" s="205"/>
      <c r="I98" s="224">
        <f>J98-Sheet1!I575</f>
        <v>0</v>
      </c>
      <c r="J98" s="167">
        <v>27732787866</v>
      </c>
      <c r="K98" s="167">
        <v>7097658866</v>
      </c>
      <c r="L98" s="167">
        <v>16353299000</v>
      </c>
      <c r="M98" s="168">
        <v>4281830000</v>
      </c>
      <c r="N98" s="168">
        <f t="shared" si="20"/>
        <v>27732787866</v>
      </c>
      <c r="O98" s="168"/>
      <c r="P98" s="167">
        <v>14332432450</v>
      </c>
      <c r="Q98" s="167">
        <f t="shared" si="21"/>
        <v>14332432450</v>
      </c>
      <c r="R98" s="168"/>
      <c r="T98" s="201">
        <f t="shared" si="22"/>
        <v>27732.787865999999</v>
      </c>
      <c r="U98" s="201">
        <f t="shared" si="23"/>
        <v>27732.787865999999</v>
      </c>
      <c r="V98" s="201">
        <f t="shared" si="23"/>
        <v>0</v>
      </c>
      <c r="W98" s="201">
        <f t="shared" si="23"/>
        <v>14332.43245</v>
      </c>
      <c r="X98" s="201">
        <f t="shared" si="23"/>
        <v>14332.43245</v>
      </c>
      <c r="Y98" s="201">
        <f t="shared" si="23"/>
        <v>0</v>
      </c>
    </row>
    <row r="99" spans="1:25" s="169" customFormat="1" ht="13.8">
      <c r="A99" s="192" t="s">
        <v>940</v>
      </c>
      <c r="B99" s="170" t="s">
        <v>941</v>
      </c>
      <c r="C99" s="183" t="str">
        <f t="shared" si="19"/>
        <v>1037649</v>
      </c>
      <c r="D99" s="182" t="str">
        <f t="shared" si="18"/>
        <v>Chi Cục Quản lý thj trường</v>
      </c>
      <c r="E99" s="206"/>
      <c r="F99" s="207">
        <v>416</v>
      </c>
      <c r="G99" s="207"/>
      <c r="H99" s="205"/>
      <c r="I99" s="224">
        <f>J99-Sheet1!I586</f>
        <v>0</v>
      </c>
      <c r="J99" s="167">
        <v>5728970000</v>
      </c>
      <c r="K99" s="166"/>
      <c r="L99" s="167">
        <v>5318000000</v>
      </c>
      <c r="M99" s="168">
        <v>410970000</v>
      </c>
      <c r="N99" s="168">
        <f t="shared" si="20"/>
        <v>5728970000</v>
      </c>
      <c r="O99" s="168"/>
      <c r="P99" s="167">
        <v>5626158619</v>
      </c>
      <c r="Q99" s="167">
        <f t="shared" si="21"/>
        <v>5626158619</v>
      </c>
      <c r="R99" s="168"/>
      <c r="T99" s="201">
        <f t="shared" si="22"/>
        <v>5728.97</v>
      </c>
      <c r="U99" s="201">
        <f t="shared" si="23"/>
        <v>5728.97</v>
      </c>
      <c r="V99" s="201">
        <f t="shared" si="23"/>
        <v>0</v>
      </c>
      <c r="W99" s="201">
        <f t="shared" si="23"/>
        <v>5626.1586189999998</v>
      </c>
      <c r="X99" s="201">
        <f t="shared" si="23"/>
        <v>5626.1586189999998</v>
      </c>
      <c r="Y99" s="201">
        <f t="shared" si="23"/>
        <v>0</v>
      </c>
    </row>
    <row r="100" spans="1:25" s="169" customFormat="1" ht="26.4">
      <c r="A100" s="192" t="s">
        <v>944</v>
      </c>
      <c r="B100" s="165" t="s">
        <v>945</v>
      </c>
      <c r="C100" s="183" t="str">
        <f t="shared" si="19"/>
        <v>1037650</v>
      </c>
      <c r="D100" s="182" t="str">
        <f t="shared" si="18"/>
        <v>SỜ Kẽ hoạch và Đău tư tỉnh Kontum</v>
      </c>
      <c r="E100" s="206"/>
      <c r="F100" s="207">
        <v>413</v>
      </c>
      <c r="G100" s="207"/>
      <c r="H100" s="205"/>
      <c r="I100" s="224">
        <f>J100-Sheet1!I594</f>
        <v>0</v>
      </c>
      <c r="J100" s="167">
        <v>8693361813</v>
      </c>
      <c r="K100" s="167">
        <v>876461813</v>
      </c>
      <c r="L100" s="167">
        <v>7620000000</v>
      </c>
      <c r="M100" s="168">
        <v>196900000</v>
      </c>
      <c r="N100" s="168">
        <f t="shared" si="20"/>
        <v>8693361813</v>
      </c>
      <c r="O100" s="168"/>
      <c r="P100" s="167">
        <v>7970202110</v>
      </c>
      <c r="Q100" s="167">
        <f t="shared" si="21"/>
        <v>7970202110</v>
      </c>
      <c r="R100" s="168"/>
      <c r="T100" s="201">
        <f t="shared" si="22"/>
        <v>8693.3618129999995</v>
      </c>
      <c r="U100" s="201">
        <f t="shared" si="23"/>
        <v>8693.3618129999995</v>
      </c>
      <c r="V100" s="201">
        <f t="shared" si="23"/>
        <v>0</v>
      </c>
      <c r="W100" s="201">
        <f t="shared" si="23"/>
        <v>7970.2021100000002</v>
      </c>
      <c r="X100" s="201">
        <f t="shared" si="23"/>
        <v>7970.2021100000002</v>
      </c>
      <c r="Y100" s="201">
        <f t="shared" si="23"/>
        <v>0</v>
      </c>
    </row>
    <row r="101" spans="1:25" s="169" customFormat="1" ht="27.6">
      <c r="A101" s="192" t="s">
        <v>948</v>
      </c>
      <c r="B101" s="165" t="s">
        <v>949</v>
      </c>
      <c r="C101" s="183" t="str">
        <f t="shared" si="19"/>
        <v>1044909</v>
      </c>
      <c r="D101" s="182" t="str">
        <f t="shared" si="18"/>
        <v>Trung Tâm Bảo trợ và Công tác xã hội tỉnh Kon Tum</v>
      </c>
      <c r="E101" s="206"/>
      <c r="F101" s="207">
        <v>424</v>
      </c>
      <c r="G101" s="207"/>
      <c r="H101" s="205"/>
      <c r="I101" s="224">
        <f>J101-Sheet1!I605</f>
        <v>0</v>
      </c>
      <c r="J101" s="167">
        <v>10253289000</v>
      </c>
      <c r="K101" s="167">
        <v>121663000</v>
      </c>
      <c r="L101" s="167">
        <v>9542000000</v>
      </c>
      <c r="M101" s="168">
        <v>589626000</v>
      </c>
      <c r="N101" s="168">
        <f t="shared" si="20"/>
        <v>10253289000</v>
      </c>
      <c r="O101" s="168"/>
      <c r="P101" s="167">
        <v>9924850236</v>
      </c>
      <c r="Q101" s="167">
        <f t="shared" si="21"/>
        <v>9924850236</v>
      </c>
      <c r="R101" s="168"/>
      <c r="T101" s="201">
        <f t="shared" si="22"/>
        <v>10253.289000000001</v>
      </c>
      <c r="U101" s="201">
        <f t="shared" si="23"/>
        <v>10253.289000000001</v>
      </c>
      <c r="V101" s="201">
        <f t="shared" si="23"/>
        <v>0</v>
      </c>
      <c r="W101" s="201">
        <f t="shared" si="23"/>
        <v>9924.8502360000002</v>
      </c>
      <c r="X101" s="201">
        <f t="shared" si="23"/>
        <v>9924.8502360000002</v>
      </c>
      <c r="Y101" s="201">
        <f t="shared" si="23"/>
        <v>0</v>
      </c>
    </row>
    <row r="102" spans="1:25" s="169" customFormat="1" ht="26.4">
      <c r="A102" s="192" t="s">
        <v>952</v>
      </c>
      <c r="B102" s="165" t="s">
        <v>953</v>
      </c>
      <c r="C102" s="183" t="str">
        <f t="shared" si="19"/>
        <v>1044910</v>
      </c>
      <c r="D102" s="182" t="str">
        <f t="shared" si="18"/>
        <v>Trung tâm Đăng kiềm 82.01.s</v>
      </c>
      <c r="E102" s="206"/>
      <c r="F102" s="207">
        <v>421</v>
      </c>
      <c r="G102" s="207"/>
      <c r="H102" s="205"/>
      <c r="I102" s="224">
        <f>J102-Sheet1!I615</f>
        <v>0</v>
      </c>
      <c r="J102" s="167">
        <v>134200000</v>
      </c>
      <c r="K102" s="166"/>
      <c r="L102" s="166"/>
      <c r="M102" s="168">
        <v>134200000</v>
      </c>
      <c r="N102" s="168">
        <f t="shared" si="20"/>
        <v>134200000</v>
      </c>
      <c r="O102" s="168"/>
      <c r="P102" s="167">
        <v>104000000</v>
      </c>
      <c r="Q102" s="167">
        <f t="shared" si="21"/>
        <v>104000000</v>
      </c>
      <c r="R102" s="168"/>
      <c r="T102" s="201">
        <f t="shared" si="22"/>
        <v>134.19999999999999</v>
      </c>
      <c r="U102" s="201">
        <f t="shared" si="23"/>
        <v>134.19999999999999</v>
      </c>
      <c r="V102" s="201">
        <f t="shared" si="23"/>
        <v>0</v>
      </c>
      <c r="W102" s="201">
        <f t="shared" si="23"/>
        <v>104</v>
      </c>
      <c r="X102" s="201">
        <f t="shared" si="23"/>
        <v>104</v>
      </c>
      <c r="Y102" s="201">
        <f t="shared" si="23"/>
        <v>0</v>
      </c>
    </row>
    <row r="103" spans="1:25" s="169" customFormat="1" ht="26.4">
      <c r="A103" s="192" t="s">
        <v>957</v>
      </c>
      <c r="B103" s="165" t="s">
        <v>958</v>
      </c>
      <c r="C103" s="183" t="str">
        <f t="shared" si="19"/>
        <v>1044911</v>
      </c>
      <c r="D103" s="182" t="str">
        <f t="shared" si="18"/>
        <v>Thanh tra sờ Giao thông vận tải tỉnh Kon Tum</v>
      </c>
      <c r="E103" s="206"/>
      <c r="F103" s="207">
        <v>421</v>
      </c>
      <c r="G103" s="207"/>
      <c r="H103" s="205"/>
      <c r="I103" s="224">
        <f>J103-Sheet1!I620</f>
        <v>0</v>
      </c>
      <c r="J103" s="167">
        <v>4128600000</v>
      </c>
      <c r="K103" s="166"/>
      <c r="L103" s="167">
        <v>3381000000</v>
      </c>
      <c r="M103" s="168">
        <v>747600000</v>
      </c>
      <c r="N103" s="168">
        <f t="shared" si="20"/>
        <v>4128600000</v>
      </c>
      <c r="O103" s="168"/>
      <c r="P103" s="167">
        <v>3740645432</v>
      </c>
      <c r="Q103" s="167">
        <f t="shared" si="21"/>
        <v>3740645432</v>
      </c>
      <c r="R103" s="168"/>
      <c r="T103" s="201">
        <f t="shared" si="22"/>
        <v>4128.6000000000004</v>
      </c>
      <c r="U103" s="201">
        <f t="shared" si="23"/>
        <v>4128.6000000000004</v>
      </c>
      <c r="V103" s="201">
        <f t="shared" si="23"/>
        <v>0</v>
      </c>
      <c r="W103" s="201">
        <f t="shared" si="23"/>
        <v>3740.6454319999998</v>
      </c>
      <c r="X103" s="201">
        <f t="shared" si="23"/>
        <v>3740.6454319999998</v>
      </c>
      <c r="Y103" s="201">
        <f t="shared" si="23"/>
        <v>0</v>
      </c>
    </row>
    <row r="104" spans="1:25" s="169" customFormat="1" ht="26.4">
      <c r="A104" s="192" t="s">
        <v>960</v>
      </c>
      <c r="B104" s="176" t="s">
        <v>961</v>
      </c>
      <c r="C104" s="183" t="str">
        <f t="shared" si="19"/>
        <v>1045722</v>
      </c>
      <c r="D104" s="182" t="str">
        <f t="shared" si="18"/>
        <v>Văn phòng sờ Lao động Thương binh và xã hội</v>
      </c>
      <c r="E104" s="206"/>
      <c r="F104" s="207">
        <v>424</v>
      </c>
      <c r="G104" s="207"/>
      <c r="H104" s="205"/>
      <c r="I104" s="224">
        <f>J104-Sheet1!I631</f>
        <v>0</v>
      </c>
      <c r="J104" s="167">
        <v>16293206021</v>
      </c>
      <c r="K104" s="167">
        <v>464053021</v>
      </c>
      <c r="L104" s="167">
        <v>13214000000</v>
      </c>
      <c r="M104" s="168">
        <v>2615153000</v>
      </c>
      <c r="N104" s="168">
        <f t="shared" si="20"/>
        <v>15447206021</v>
      </c>
      <c r="O104" s="168">
        <f>O106</f>
        <v>846000000</v>
      </c>
      <c r="P104" s="167">
        <v>13731576176</v>
      </c>
      <c r="Q104" s="167">
        <f t="shared" si="21"/>
        <v>13373779176</v>
      </c>
      <c r="R104" s="168">
        <f>R106</f>
        <v>357797000</v>
      </c>
      <c r="T104" s="201">
        <f t="shared" si="22"/>
        <v>16293.206021</v>
      </c>
      <c r="U104" s="201">
        <f t="shared" ref="U104:Y119" si="24">N104/1000000</f>
        <v>15447.206021</v>
      </c>
      <c r="V104" s="201">
        <f t="shared" si="24"/>
        <v>846</v>
      </c>
      <c r="W104" s="201">
        <f t="shared" si="24"/>
        <v>13731.576176</v>
      </c>
      <c r="X104" s="201">
        <f t="shared" si="24"/>
        <v>13373.779176</v>
      </c>
      <c r="Y104" s="201">
        <f t="shared" si="24"/>
        <v>357.79700000000003</v>
      </c>
    </row>
    <row r="105" spans="1:25" s="169" customFormat="1" ht="13.8">
      <c r="A105" s="192"/>
      <c r="B105" s="164" t="s">
        <v>689</v>
      </c>
      <c r="C105" s="183" t="str">
        <f t="shared" si="19"/>
        <v/>
      </c>
      <c r="D105" s="182" t="s">
        <v>1464</v>
      </c>
      <c r="E105" s="206"/>
      <c r="F105" s="207"/>
      <c r="G105" s="207"/>
      <c r="H105" s="205"/>
      <c r="I105" s="205"/>
      <c r="J105" s="167">
        <v>15447206021</v>
      </c>
      <c r="K105" s="167">
        <v>464053021</v>
      </c>
      <c r="L105" s="167">
        <v>13214000000</v>
      </c>
      <c r="M105" s="167">
        <v>1769153000</v>
      </c>
      <c r="N105" s="167">
        <v>15447206021</v>
      </c>
      <c r="O105" s="167">
        <v>0</v>
      </c>
      <c r="P105" s="167">
        <v>13373779176</v>
      </c>
      <c r="Q105" s="167">
        <v>13373779176</v>
      </c>
      <c r="R105" s="167">
        <v>0</v>
      </c>
      <c r="T105" s="201">
        <f t="shared" si="22"/>
        <v>15447.206021</v>
      </c>
      <c r="U105" s="201">
        <f t="shared" si="24"/>
        <v>15447.206021</v>
      </c>
      <c r="V105" s="201">
        <f t="shared" si="24"/>
        <v>0</v>
      </c>
      <c r="W105" s="201">
        <f t="shared" si="24"/>
        <v>13373.779176</v>
      </c>
      <c r="X105" s="201">
        <f t="shared" si="24"/>
        <v>13373.779176</v>
      </c>
      <c r="Y105" s="201">
        <f t="shared" si="24"/>
        <v>0</v>
      </c>
    </row>
    <row r="106" spans="1:25" s="169" customFormat="1" ht="13.8">
      <c r="A106" s="192"/>
      <c r="B106" s="164" t="s">
        <v>701</v>
      </c>
      <c r="C106" s="183" t="str">
        <f t="shared" si="19"/>
        <v/>
      </c>
      <c r="D106" s="182" t="s">
        <v>1472</v>
      </c>
      <c r="E106" s="206"/>
      <c r="F106" s="207"/>
      <c r="G106" s="207"/>
      <c r="H106" s="205"/>
      <c r="I106" s="205"/>
      <c r="J106" s="167">
        <v>846000000</v>
      </c>
      <c r="K106" s="167">
        <v>0</v>
      </c>
      <c r="L106" s="167">
        <v>0</v>
      </c>
      <c r="M106" s="167">
        <v>846000000</v>
      </c>
      <c r="N106" s="167">
        <v>0</v>
      </c>
      <c r="O106" s="167">
        <f>O107+O108+O109+O110+O111</f>
        <v>846000000</v>
      </c>
      <c r="P106" s="167">
        <v>357797000</v>
      </c>
      <c r="Q106" s="167">
        <v>357797000</v>
      </c>
      <c r="R106" s="167">
        <f>R107+R108+R109+R110+R111</f>
        <v>357797000</v>
      </c>
      <c r="T106" s="201">
        <f t="shared" si="22"/>
        <v>846</v>
      </c>
      <c r="U106" s="201">
        <f t="shared" si="24"/>
        <v>0</v>
      </c>
      <c r="V106" s="201">
        <f t="shared" si="24"/>
        <v>846</v>
      </c>
      <c r="W106" s="201">
        <f t="shared" si="24"/>
        <v>357.79700000000003</v>
      </c>
      <c r="X106" s="201">
        <f t="shared" si="24"/>
        <v>357.79700000000003</v>
      </c>
      <c r="Y106" s="201">
        <f t="shared" si="24"/>
        <v>357.79700000000003</v>
      </c>
    </row>
    <row r="107" spans="1:25" s="169" customFormat="1" ht="14.4">
      <c r="A107" s="193"/>
      <c r="B107" s="187"/>
      <c r="C107" s="183" t="str">
        <f t="shared" si="19"/>
        <v/>
      </c>
      <c r="D107" s="217" t="s">
        <v>1466</v>
      </c>
      <c r="E107" s="192" t="s">
        <v>681</v>
      </c>
      <c r="F107" s="192" t="s">
        <v>765</v>
      </c>
      <c r="G107" s="192" t="s">
        <v>766</v>
      </c>
      <c r="H107" s="210" t="s">
        <v>1444</v>
      </c>
      <c r="I107" s="210"/>
      <c r="J107" s="167">
        <v>350000000</v>
      </c>
      <c r="K107" s="166"/>
      <c r="L107" s="166"/>
      <c r="M107" s="168">
        <v>350000000</v>
      </c>
      <c r="N107" s="168">
        <f t="shared" si="20"/>
        <v>0</v>
      </c>
      <c r="O107" s="168">
        <f>J107</f>
        <v>350000000</v>
      </c>
      <c r="P107" s="166"/>
      <c r="Q107" s="167">
        <f t="shared" si="21"/>
        <v>0</v>
      </c>
      <c r="R107" s="168">
        <f>P107</f>
        <v>0</v>
      </c>
      <c r="T107" s="201">
        <f t="shared" si="22"/>
        <v>350</v>
      </c>
      <c r="U107" s="201">
        <f t="shared" si="24"/>
        <v>0</v>
      </c>
      <c r="V107" s="201">
        <f t="shared" si="24"/>
        <v>350</v>
      </c>
      <c r="W107" s="201">
        <f t="shared" si="24"/>
        <v>0</v>
      </c>
      <c r="X107" s="201">
        <f t="shared" si="24"/>
        <v>0</v>
      </c>
      <c r="Y107" s="201">
        <f t="shared" si="24"/>
        <v>0</v>
      </c>
    </row>
    <row r="108" spans="1:25" s="169" customFormat="1" ht="14.4">
      <c r="A108" s="194"/>
      <c r="B108" s="184"/>
      <c r="C108" s="183" t="str">
        <f t="shared" si="19"/>
        <v/>
      </c>
      <c r="D108" s="217" t="s">
        <v>1466</v>
      </c>
      <c r="E108" s="192" t="s">
        <v>681</v>
      </c>
      <c r="F108" s="192" t="s">
        <v>765</v>
      </c>
      <c r="G108" s="192" t="s">
        <v>766</v>
      </c>
      <c r="H108" s="210" t="s">
        <v>1451</v>
      </c>
      <c r="I108" s="210"/>
      <c r="J108" s="167">
        <v>114000000</v>
      </c>
      <c r="K108" s="166"/>
      <c r="L108" s="166"/>
      <c r="M108" s="168">
        <v>114000000</v>
      </c>
      <c r="N108" s="168">
        <f t="shared" si="20"/>
        <v>0</v>
      </c>
      <c r="O108" s="168">
        <f t="shared" ref="O108:O111" si="25">J108</f>
        <v>114000000</v>
      </c>
      <c r="P108" s="167">
        <v>114000000</v>
      </c>
      <c r="Q108" s="167">
        <f t="shared" si="21"/>
        <v>0</v>
      </c>
      <c r="R108" s="168">
        <f t="shared" ref="R108:R111" si="26">P108</f>
        <v>114000000</v>
      </c>
      <c r="T108" s="201">
        <f t="shared" si="22"/>
        <v>114</v>
      </c>
      <c r="U108" s="201">
        <f t="shared" si="24"/>
        <v>0</v>
      </c>
      <c r="V108" s="201">
        <f t="shared" si="24"/>
        <v>114</v>
      </c>
      <c r="W108" s="201">
        <f t="shared" si="24"/>
        <v>114</v>
      </c>
      <c r="X108" s="201">
        <f t="shared" si="24"/>
        <v>0</v>
      </c>
      <c r="Y108" s="201">
        <f t="shared" si="24"/>
        <v>114</v>
      </c>
    </row>
    <row r="109" spans="1:25" s="169" customFormat="1" ht="14.4">
      <c r="A109" s="194"/>
      <c r="B109" s="184"/>
      <c r="C109" s="183" t="str">
        <f t="shared" si="19"/>
        <v/>
      </c>
      <c r="D109" s="217" t="s">
        <v>1466</v>
      </c>
      <c r="E109" s="192" t="s">
        <v>681</v>
      </c>
      <c r="F109" s="192" t="s">
        <v>765</v>
      </c>
      <c r="G109" s="192" t="s">
        <v>766</v>
      </c>
      <c r="H109" s="210" t="s">
        <v>1452</v>
      </c>
      <c r="I109" s="210"/>
      <c r="J109" s="167">
        <v>171000000</v>
      </c>
      <c r="K109" s="166"/>
      <c r="L109" s="166"/>
      <c r="M109" s="168">
        <v>171000000</v>
      </c>
      <c r="N109" s="168">
        <f t="shared" si="20"/>
        <v>0</v>
      </c>
      <c r="O109" s="168">
        <f t="shared" si="25"/>
        <v>171000000</v>
      </c>
      <c r="P109" s="167">
        <v>146513000</v>
      </c>
      <c r="Q109" s="167">
        <f t="shared" si="21"/>
        <v>0</v>
      </c>
      <c r="R109" s="168">
        <f t="shared" si="26"/>
        <v>146513000</v>
      </c>
      <c r="T109" s="201">
        <f t="shared" si="22"/>
        <v>171</v>
      </c>
      <c r="U109" s="201">
        <f t="shared" si="24"/>
        <v>0</v>
      </c>
      <c r="V109" s="201">
        <f t="shared" si="24"/>
        <v>171</v>
      </c>
      <c r="W109" s="201">
        <f t="shared" si="24"/>
        <v>146.51300000000001</v>
      </c>
      <c r="X109" s="201">
        <f t="shared" si="24"/>
        <v>0</v>
      </c>
      <c r="Y109" s="201">
        <f t="shared" si="24"/>
        <v>146.51300000000001</v>
      </c>
    </row>
    <row r="110" spans="1:25" s="169" customFormat="1" ht="14.4">
      <c r="A110" s="194"/>
      <c r="B110" s="184"/>
      <c r="C110" s="183" t="str">
        <f>IF(B110&lt;&gt;"",IF(AND(LEFT(B110,1)&gt;="0",LEFT(B110,1)&lt;="9"),LEFT(B110,7),""),"")</f>
        <v/>
      </c>
      <c r="D110" s="217" t="s">
        <v>1466</v>
      </c>
      <c r="E110" s="192" t="s">
        <v>667</v>
      </c>
      <c r="F110" s="192" t="s">
        <v>765</v>
      </c>
      <c r="G110" s="192" t="s">
        <v>766</v>
      </c>
      <c r="H110" s="210" t="s">
        <v>1452</v>
      </c>
      <c r="I110" s="210"/>
      <c r="J110" s="167">
        <v>61000000</v>
      </c>
      <c r="K110" s="166"/>
      <c r="L110" s="166"/>
      <c r="M110" s="168">
        <v>61000000</v>
      </c>
      <c r="N110" s="168">
        <f>J110-O110</f>
        <v>0</v>
      </c>
      <c r="O110" s="168">
        <f t="shared" si="25"/>
        <v>61000000</v>
      </c>
      <c r="P110" s="166"/>
      <c r="Q110" s="167">
        <f>P110-R110</f>
        <v>0</v>
      </c>
      <c r="R110" s="168">
        <f t="shared" si="26"/>
        <v>0</v>
      </c>
      <c r="T110" s="201">
        <f>J110/1000000</f>
        <v>61</v>
      </c>
      <c r="U110" s="201">
        <f>N110/1000000</f>
        <v>0</v>
      </c>
      <c r="V110" s="201">
        <f>O110/1000000</f>
        <v>61</v>
      </c>
      <c r="W110" s="201">
        <f>P110/1000000</f>
        <v>0</v>
      </c>
      <c r="X110" s="201">
        <f>Q110/1000000</f>
        <v>0</v>
      </c>
      <c r="Y110" s="201">
        <f>R110/1000000</f>
        <v>0</v>
      </c>
    </row>
    <row r="111" spans="1:25" s="169" customFormat="1" ht="14.4">
      <c r="A111" s="194"/>
      <c r="B111" s="184"/>
      <c r="C111" s="183" t="str">
        <f t="shared" si="19"/>
        <v/>
      </c>
      <c r="D111" s="217" t="s">
        <v>1471</v>
      </c>
      <c r="E111" s="192" t="s">
        <v>681</v>
      </c>
      <c r="F111" s="192" t="s">
        <v>765</v>
      </c>
      <c r="G111" s="192" t="s">
        <v>766</v>
      </c>
      <c r="H111" s="210" t="s">
        <v>1454</v>
      </c>
      <c r="I111" s="210"/>
      <c r="J111" s="167">
        <v>150000000</v>
      </c>
      <c r="K111" s="166"/>
      <c r="L111" s="166"/>
      <c r="M111" s="168">
        <v>150000000</v>
      </c>
      <c r="N111" s="168">
        <f t="shared" si="20"/>
        <v>0</v>
      </c>
      <c r="O111" s="168">
        <f t="shared" si="25"/>
        <v>150000000</v>
      </c>
      <c r="P111" s="167">
        <v>97284000</v>
      </c>
      <c r="Q111" s="167">
        <f t="shared" si="21"/>
        <v>0</v>
      </c>
      <c r="R111" s="168">
        <f t="shared" si="26"/>
        <v>97284000</v>
      </c>
      <c r="T111" s="201">
        <f t="shared" si="22"/>
        <v>150</v>
      </c>
      <c r="U111" s="201">
        <f t="shared" si="24"/>
        <v>0</v>
      </c>
      <c r="V111" s="201">
        <f t="shared" si="24"/>
        <v>150</v>
      </c>
      <c r="W111" s="201">
        <f t="shared" si="24"/>
        <v>97.284000000000006</v>
      </c>
      <c r="X111" s="201">
        <f t="shared" si="24"/>
        <v>0</v>
      </c>
      <c r="Y111" s="201">
        <f t="shared" si="24"/>
        <v>97.284000000000006</v>
      </c>
    </row>
    <row r="112" spans="1:25" s="169" customFormat="1" ht="27.6">
      <c r="A112" s="192" t="s">
        <v>965</v>
      </c>
      <c r="B112" s="176" t="s">
        <v>966</v>
      </c>
      <c r="C112" s="183" t="str">
        <f t="shared" si="19"/>
        <v>1047747</v>
      </c>
      <c r="D112" s="182" t="str">
        <f t="shared" si="18"/>
        <v>Ban bảo vệ, chăm sóc sức chòe cán bộ tỉnh Kon Tum</v>
      </c>
      <c r="E112" s="206"/>
      <c r="F112" s="207">
        <v>509</v>
      </c>
      <c r="G112" s="207"/>
      <c r="H112" s="205"/>
      <c r="I112" s="224">
        <f>J112-Sheet1!I652</f>
        <v>0</v>
      </c>
      <c r="J112" s="167">
        <v>4034583000</v>
      </c>
      <c r="K112" s="166"/>
      <c r="L112" s="167">
        <v>4023500000</v>
      </c>
      <c r="M112" s="168">
        <v>11083000</v>
      </c>
      <c r="N112" s="168">
        <f t="shared" si="20"/>
        <v>4034583000</v>
      </c>
      <c r="O112" s="168"/>
      <c r="P112" s="167">
        <v>3914583000</v>
      </c>
      <c r="Q112" s="167">
        <f t="shared" si="21"/>
        <v>3914583000</v>
      </c>
      <c r="R112" s="168"/>
      <c r="T112" s="201">
        <f t="shared" si="22"/>
        <v>4034.5830000000001</v>
      </c>
      <c r="U112" s="201">
        <f t="shared" si="24"/>
        <v>4034.5830000000001</v>
      </c>
      <c r="V112" s="201">
        <f t="shared" si="24"/>
        <v>0</v>
      </c>
      <c r="W112" s="201">
        <f t="shared" si="24"/>
        <v>3914.5830000000001</v>
      </c>
      <c r="X112" s="201">
        <f t="shared" si="24"/>
        <v>3914.5830000000001</v>
      </c>
      <c r="Y112" s="201">
        <f t="shared" si="24"/>
        <v>0</v>
      </c>
    </row>
    <row r="113" spans="1:25" s="169" customFormat="1" ht="39.6">
      <c r="A113" s="192" t="s">
        <v>969</v>
      </c>
      <c r="B113" s="165" t="s">
        <v>970</v>
      </c>
      <c r="C113" s="183" t="str">
        <f t="shared" si="19"/>
        <v>1047749</v>
      </c>
      <c r="D113" s="182" t="str">
        <f t="shared" si="18"/>
        <v>Trung tâm Công nghệ Thông tin - Tài nguyên và Môi trường</v>
      </c>
      <c r="E113" s="206"/>
      <c r="F113" s="207">
        <v>426</v>
      </c>
      <c r="G113" s="207"/>
      <c r="H113" s="205"/>
      <c r="I113" s="224">
        <f>J113-Sheet1!I657</f>
        <v>0</v>
      </c>
      <c r="J113" s="167">
        <v>1266000000</v>
      </c>
      <c r="K113" s="167">
        <v>16900000</v>
      </c>
      <c r="L113" s="167">
        <v>1086000000</v>
      </c>
      <c r="M113" s="168">
        <v>163100000</v>
      </c>
      <c r="N113" s="168">
        <f t="shared" si="20"/>
        <v>1266000000</v>
      </c>
      <c r="O113" s="168"/>
      <c r="P113" s="167">
        <v>1266000000</v>
      </c>
      <c r="Q113" s="167">
        <f t="shared" si="21"/>
        <v>1266000000</v>
      </c>
      <c r="R113" s="168"/>
      <c r="T113" s="201">
        <f t="shared" si="22"/>
        <v>1266</v>
      </c>
      <c r="U113" s="201">
        <f t="shared" si="24"/>
        <v>1266</v>
      </c>
      <c r="V113" s="201">
        <f t="shared" si="24"/>
        <v>0</v>
      </c>
      <c r="W113" s="201">
        <f t="shared" si="24"/>
        <v>1266</v>
      </c>
      <c r="X113" s="201">
        <f t="shared" si="24"/>
        <v>1266</v>
      </c>
      <c r="Y113" s="201">
        <f t="shared" si="24"/>
        <v>0</v>
      </c>
    </row>
    <row r="114" spans="1:25" s="169" customFormat="1" ht="26.4">
      <c r="A114" s="192" t="s">
        <v>973</v>
      </c>
      <c r="B114" s="165" t="s">
        <v>974</v>
      </c>
      <c r="C114" s="183" t="str">
        <f t="shared" si="19"/>
        <v>1047842</v>
      </c>
      <c r="D114" s="182" t="str">
        <f t="shared" si="18"/>
        <v>Bệnh viện Đa khoa tỉnh Kon Tum</v>
      </c>
      <c r="E114" s="206"/>
      <c r="F114" s="207">
        <v>423</v>
      </c>
      <c r="G114" s="207"/>
      <c r="H114" s="205"/>
      <c r="I114" s="224">
        <f>J114-Sheet1!I662</f>
        <v>0</v>
      </c>
      <c r="J114" s="167">
        <v>36502437000</v>
      </c>
      <c r="K114" s="166"/>
      <c r="L114" s="167">
        <v>35377000000</v>
      </c>
      <c r="M114" s="168">
        <v>1125437000</v>
      </c>
      <c r="N114" s="168">
        <f t="shared" si="20"/>
        <v>36502437000</v>
      </c>
      <c r="O114" s="168"/>
      <c r="P114" s="167">
        <v>36502437000</v>
      </c>
      <c r="Q114" s="167">
        <f t="shared" si="21"/>
        <v>36502437000</v>
      </c>
      <c r="R114" s="168"/>
      <c r="T114" s="201">
        <f t="shared" si="22"/>
        <v>36502.436999999998</v>
      </c>
      <c r="U114" s="201">
        <f t="shared" si="24"/>
        <v>36502.436999999998</v>
      </c>
      <c r="V114" s="201">
        <f t="shared" si="24"/>
        <v>0</v>
      </c>
      <c r="W114" s="201">
        <f t="shared" si="24"/>
        <v>36502.436999999998</v>
      </c>
      <c r="X114" s="201">
        <f t="shared" si="24"/>
        <v>36502.436999999998</v>
      </c>
      <c r="Y114" s="201">
        <f t="shared" si="24"/>
        <v>0</v>
      </c>
    </row>
    <row r="115" spans="1:25" s="169" customFormat="1" ht="26.4">
      <c r="A115" s="192" t="s">
        <v>977</v>
      </c>
      <c r="B115" s="165" t="s">
        <v>978</v>
      </c>
      <c r="C115" s="183" t="str">
        <f t="shared" si="19"/>
        <v>1047845</v>
      </c>
      <c r="D115" s="182" t="str">
        <f t="shared" si="18"/>
        <v>Trung tâm Chăm sóc Sức chòe Sinh sản</v>
      </c>
      <c r="E115" s="206"/>
      <c r="F115" s="207">
        <v>423</v>
      </c>
      <c r="G115" s="207"/>
      <c r="H115" s="205"/>
      <c r="I115" s="224">
        <f>J115-Sheet1!I668</f>
        <v>0</v>
      </c>
      <c r="J115" s="167">
        <v>3080185600</v>
      </c>
      <c r="K115" s="166"/>
      <c r="L115" s="167">
        <v>2230840000</v>
      </c>
      <c r="M115" s="168">
        <v>849345600</v>
      </c>
      <c r="N115" s="168">
        <f t="shared" si="20"/>
        <v>3080185600</v>
      </c>
      <c r="O115" s="168"/>
      <c r="P115" s="167">
        <v>2627440000</v>
      </c>
      <c r="Q115" s="167">
        <f t="shared" si="21"/>
        <v>2627440000</v>
      </c>
      <c r="R115" s="168"/>
      <c r="T115" s="201">
        <f t="shared" si="22"/>
        <v>3080.1855999999998</v>
      </c>
      <c r="U115" s="201">
        <f t="shared" si="24"/>
        <v>3080.1855999999998</v>
      </c>
      <c r="V115" s="201">
        <f t="shared" si="24"/>
        <v>0</v>
      </c>
      <c r="W115" s="201">
        <f t="shared" si="24"/>
        <v>2627.44</v>
      </c>
      <c r="X115" s="201">
        <f t="shared" si="24"/>
        <v>2627.44</v>
      </c>
      <c r="Y115" s="201">
        <f t="shared" si="24"/>
        <v>0</v>
      </c>
    </row>
    <row r="116" spans="1:25" s="169" customFormat="1" ht="26.4">
      <c r="A116" s="192" t="s">
        <v>982</v>
      </c>
      <c r="B116" s="165" t="s">
        <v>983</v>
      </c>
      <c r="C116" s="183" t="str">
        <f t="shared" si="19"/>
        <v>1047849</v>
      </c>
      <c r="D116" s="182" t="str">
        <f t="shared" si="18"/>
        <v>Trung tâm Phòng chổng Sốt rét</v>
      </c>
      <c r="E116" s="206"/>
      <c r="F116" s="207">
        <v>423</v>
      </c>
      <c r="G116" s="207"/>
      <c r="H116" s="205"/>
      <c r="I116" s="224">
        <f>J116-Sheet1!I677</f>
        <v>0</v>
      </c>
      <c r="J116" s="167">
        <v>2776100000</v>
      </c>
      <c r="K116" s="166"/>
      <c r="L116" s="167">
        <v>2586159572</v>
      </c>
      <c r="M116" s="168">
        <v>189940428</v>
      </c>
      <c r="N116" s="168">
        <f t="shared" si="20"/>
        <v>2776100000</v>
      </c>
      <c r="O116" s="168"/>
      <c r="P116" s="167">
        <v>2776100000</v>
      </c>
      <c r="Q116" s="167">
        <f t="shared" si="21"/>
        <v>2776100000</v>
      </c>
      <c r="R116" s="168"/>
      <c r="T116" s="201">
        <f t="shared" si="22"/>
        <v>2776.1</v>
      </c>
      <c r="U116" s="201">
        <f t="shared" si="24"/>
        <v>2776.1</v>
      </c>
      <c r="V116" s="201">
        <f t="shared" si="24"/>
        <v>0</v>
      </c>
      <c r="W116" s="201">
        <f t="shared" si="24"/>
        <v>2776.1</v>
      </c>
      <c r="X116" s="201">
        <f t="shared" si="24"/>
        <v>2776.1</v>
      </c>
      <c r="Y116" s="201">
        <f t="shared" si="24"/>
        <v>0</v>
      </c>
    </row>
    <row r="117" spans="1:25" s="169" customFormat="1" ht="26.4">
      <c r="A117" s="192" t="s">
        <v>986</v>
      </c>
      <c r="B117" s="170" t="s">
        <v>987</v>
      </c>
      <c r="C117" s="183" t="str">
        <f t="shared" si="19"/>
        <v>1047850</v>
      </c>
      <c r="D117" s="182" t="str">
        <f t="shared" si="18"/>
        <v>Trung tâm Giám định Y khoa</v>
      </c>
      <c r="E117" s="206"/>
      <c r="F117" s="207">
        <v>423</v>
      </c>
      <c r="G117" s="207"/>
      <c r="H117" s="205"/>
      <c r="I117" s="224">
        <f>J117-Sheet1!I687</f>
        <v>0</v>
      </c>
      <c r="J117" s="167">
        <v>396000000</v>
      </c>
      <c r="K117" s="166"/>
      <c r="L117" s="167">
        <v>596060000</v>
      </c>
      <c r="M117" s="168">
        <v>-200060000</v>
      </c>
      <c r="N117" s="168">
        <f t="shared" si="20"/>
        <v>396000000</v>
      </c>
      <c r="O117" s="168"/>
      <c r="P117" s="167">
        <v>395076874</v>
      </c>
      <c r="Q117" s="167">
        <f t="shared" si="21"/>
        <v>395076874</v>
      </c>
      <c r="R117" s="168"/>
      <c r="T117" s="201">
        <f t="shared" si="22"/>
        <v>396</v>
      </c>
      <c r="U117" s="201">
        <f t="shared" si="24"/>
        <v>396</v>
      </c>
      <c r="V117" s="201">
        <f t="shared" si="24"/>
        <v>0</v>
      </c>
      <c r="W117" s="201">
        <f t="shared" si="24"/>
        <v>395.07687399999998</v>
      </c>
      <c r="X117" s="201">
        <f t="shared" si="24"/>
        <v>395.07687399999998</v>
      </c>
      <c r="Y117" s="201">
        <f t="shared" si="24"/>
        <v>0</v>
      </c>
    </row>
    <row r="118" spans="1:25" s="169" customFormat="1" ht="26.4">
      <c r="A118" s="192" t="s">
        <v>989</v>
      </c>
      <c r="B118" s="165" t="s">
        <v>990</v>
      </c>
      <c r="C118" s="183" t="str">
        <f t="shared" si="19"/>
        <v>1047851</v>
      </c>
      <c r="D118" s="182" t="str">
        <f t="shared" si="18"/>
        <v>Trường Trung cãp Y tẽ tỉnh Kon Tum</v>
      </c>
      <c r="E118" s="206"/>
      <c r="F118" s="207">
        <v>423</v>
      </c>
      <c r="G118" s="207"/>
      <c r="H118" s="205"/>
      <c r="I118" s="224">
        <f>J118-Sheet1!I693</f>
        <v>0</v>
      </c>
      <c r="J118" s="167">
        <v>3762678000</v>
      </c>
      <c r="K118" s="167">
        <v>25168000</v>
      </c>
      <c r="L118" s="167">
        <v>2562100000</v>
      </c>
      <c r="M118" s="168">
        <v>1175410000</v>
      </c>
      <c r="N118" s="168">
        <f t="shared" si="20"/>
        <v>3762678000</v>
      </c>
      <c r="O118" s="168"/>
      <c r="P118" s="167">
        <v>2759250000</v>
      </c>
      <c r="Q118" s="167">
        <f t="shared" si="21"/>
        <v>2759250000</v>
      </c>
      <c r="R118" s="168"/>
      <c r="T118" s="201">
        <f t="shared" si="22"/>
        <v>3762.6779999999999</v>
      </c>
      <c r="U118" s="201">
        <f t="shared" si="24"/>
        <v>3762.6779999999999</v>
      </c>
      <c r="V118" s="201">
        <f t="shared" si="24"/>
        <v>0</v>
      </c>
      <c r="W118" s="201">
        <f t="shared" si="24"/>
        <v>2759.25</v>
      </c>
      <c r="X118" s="201">
        <f t="shared" si="24"/>
        <v>2759.25</v>
      </c>
      <c r="Y118" s="201">
        <f t="shared" si="24"/>
        <v>0</v>
      </c>
    </row>
    <row r="119" spans="1:25" s="169" customFormat="1" ht="26.4">
      <c r="A119" s="192" t="s">
        <v>993</v>
      </c>
      <c r="B119" s="165" t="s">
        <v>994</v>
      </c>
      <c r="C119" s="183" t="str">
        <f t="shared" si="19"/>
        <v>1047955</v>
      </c>
      <c r="D119" s="182" t="str">
        <f t="shared" si="18"/>
        <v>Bệnh viện Phục hồi chức năng</v>
      </c>
      <c r="E119" s="206"/>
      <c r="F119" s="207">
        <v>423</v>
      </c>
      <c r="G119" s="207"/>
      <c r="H119" s="205"/>
      <c r="I119" s="224">
        <f>J119-Sheet1!I702</f>
        <v>0</v>
      </c>
      <c r="J119" s="167">
        <v>3972095500</v>
      </c>
      <c r="K119" s="166"/>
      <c r="L119" s="167">
        <v>4291530000</v>
      </c>
      <c r="M119" s="168">
        <v>-319434500</v>
      </c>
      <c r="N119" s="168">
        <f t="shared" si="20"/>
        <v>3972095500</v>
      </c>
      <c r="O119" s="168"/>
      <c r="P119" s="167">
        <v>3856859095</v>
      </c>
      <c r="Q119" s="167">
        <f t="shared" si="21"/>
        <v>3856859095</v>
      </c>
      <c r="R119" s="168"/>
      <c r="T119" s="201">
        <f t="shared" si="22"/>
        <v>3972.0954999999999</v>
      </c>
      <c r="U119" s="201">
        <f t="shared" si="24"/>
        <v>3972.0954999999999</v>
      </c>
      <c r="V119" s="201">
        <f t="shared" si="24"/>
        <v>0</v>
      </c>
      <c r="W119" s="201">
        <f t="shared" si="24"/>
        <v>3856.8590949999998</v>
      </c>
      <c r="X119" s="201">
        <f t="shared" si="24"/>
        <v>3856.8590949999998</v>
      </c>
      <c r="Y119" s="201">
        <f t="shared" si="24"/>
        <v>0</v>
      </c>
    </row>
    <row r="120" spans="1:25" s="169" customFormat="1" ht="26.4">
      <c r="A120" s="192" t="s">
        <v>997</v>
      </c>
      <c r="B120" s="165" t="s">
        <v>998</v>
      </c>
      <c r="C120" s="183" t="str">
        <f t="shared" si="19"/>
        <v>1047956</v>
      </c>
      <c r="D120" s="182" t="str">
        <f t="shared" si="18"/>
        <v>Trung tâm Y tẽ huyện Sa thăy</v>
      </c>
      <c r="E120" s="206"/>
      <c r="F120" s="207">
        <v>423</v>
      </c>
      <c r="G120" s="207"/>
      <c r="H120" s="205"/>
      <c r="I120" s="224">
        <f>J120-Sheet1!I708</f>
        <v>0</v>
      </c>
      <c r="J120" s="167">
        <v>15116539957</v>
      </c>
      <c r="K120" s="167">
        <v>24465155</v>
      </c>
      <c r="L120" s="167">
        <v>13564922802</v>
      </c>
      <c r="M120" s="168">
        <v>1527152000</v>
      </c>
      <c r="N120" s="168">
        <f t="shared" si="20"/>
        <v>15116539957</v>
      </c>
      <c r="O120" s="168"/>
      <c r="P120" s="167">
        <v>14499984217</v>
      </c>
      <c r="Q120" s="167">
        <f t="shared" si="21"/>
        <v>14499984217</v>
      </c>
      <c r="R120" s="168"/>
      <c r="T120" s="201">
        <f t="shared" si="22"/>
        <v>15116.539957000001</v>
      </c>
      <c r="U120" s="201">
        <f t="shared" ref="U120:Y135" si="27">N120/1000000</f>
        <v>15116.539957000001</v>
      </c>
      <c r="V120" s="201">
        <f t="shared" si="27"/>
        <v>0</v>
      </c>
      <c r="W120" s="201">
        <f t="shared" si="27"/>
        <v>14499.984216999999</v>
      </c>
      <c r="X120" s="201">
        <f t="shared" si="27"/>
        <v>14499.984216999999</v>
      </c>
      <c r="Y120" s="201">
        <f t="shared" si="27"/>
        <v>0</v>
      </c>
    </row>
    <row r="121" spans="1:25" s="169" customFormat="1" ht="13.8">
      <c r="A121" s="192" t="s">
        <v>1001</v>
      </c>
      <c r="B121" s="170" t="s">
        <v>1002</v>
      </c>
      <c r="C121" s="183" t="str">
        <f t="shared" si="19"/>
        <v>1047957</v>
      </c>
      <c r="D121" s="182" t="str">
        <f t="shared" si="18"/>
        <v>SỜ Y tẽ tinh Kontum</v>
      </c>
      <c r="E121" s="206"/>
      <c r="F121" s="207">
        <v>423</v>
      </c>
      <c r="G121" s="207"/>
      <c r="H121" s="205"/>
      <c r="I121" s="224">
        <f>J121-Sheet1!I723</f>
        <v>0</v>
      </c>
      <c r="J121" s="167">
        <v>9291181810</v>
      </c>
      <c r="K121" s="167">
        <v>2323013465</v>
      </c>
      <c r="L121" s="167">
        <v>5325000000</v>
      </c>
      <c r="M121" s="168">
        <v>1643168345</v>
      </c>
      <c r="N121" s="168">
        <f t="shared" si="20"/>
        <v>9291181810</v>
      </c>
      <c r="O121" s="168"/>
      <c r="P121" s="167">
        <v>8103818936</v>
      </c>
      <c r="Q121" s="167">
        <f t="shared" si="21"/>
        <v>8103818936</v>
      </c>
      <c r="R121" s="168"/>
      <c r="T121" s="201">
        <f t="shared" si="22"/>
        <v>9291.18181</v>
      </c>
      <c r="U121" s="201">
        <f t="shared" si="27"/>
        <v>9291.18181</v>
      </c>
      <c r="V121" s="201">
        <f t="shared" si="27"/>
        <v>0</v>
      </c>
      <c r="W121" s="201">
        <f t="shared" si="27"/>
        <v>8103.8189359999997</v>
      </c>
      <c r="X121" s="201">
        <f t="shared" si="27"/>
        <v>8103.8189359999997</v>
      </c>
      <c r="Y121" s="201">
        <f t="shared" si="27"/>
        <v>0</v>
      </c>
    </row>
    <row r="122" spans="1:25" s="169" customFormat="1" ht="27.6">
      <c r="A122" s="192" t="s">
        <v>1004</v>
      </c>
      <c r="B122" s="176" t="s">
        <v>1005</v>
      </c>
      <c r="C122" s="183" t="str">
        <f t="shared" si="19"/>
        <v>1047958</v>
      </c>
      <c r="D122" s="182" t="str">
        <f t="shared" si="18"/>
        <v>Trung tâm Kiểm nghiệm rhuổc, Mỹ phầm, Thực phẩm</v>
      </c>
      <c r="E122" s="206"/>
      <c r="F122" s="207">
        <v>423</v>
      </c>
      <c r="G122" s="207"/>
      <c r="H122" s="205"/>
      <c r="I122" s="224">
        <f>J122-Sheet1!I732</f>
        <v>0</v>
      </c>
      <c r="J122" s="167">
        <v>2770911000</v>
      </c>
      <c r="K122" s="166"/>
      <c r="L122" s="167">
        <v>2704120000</v>
      </c>
      <c r="M122" s="168">
        <v>66791000</v>
      </c>
      <c r="N122" s="168">
        <f t="shared" si="20"/>
        <v>2770911000</v>
      </c>
      <c r="O122" s="168"/>
      <c r="P122" s="167">
        <v>2758075732</v>
      </c>
      <c r="Q122" s="167">
        <f t="shared" si="21"/>
        <v>2758075732</v>
      </c>
      <c r="R122" s="168"/>
      <c r="T122" s="201">
        <f t="shared" si="22"/>
        <v>2770.9110000000001</v>
      </c>
      <c r="U122" s="201">
        <f t="shared" si="27"/>
        <v>2770.9110000000001</v>
      </c>
      <c r="V122" s="201">
        <f t="shared" si="27"/>
        <v>0</v>
      </c>
      <c r="W122" s="201">
        <f t="shared" si="27"/>
        <v>2758.0757319999998</v>
      </c>
      <c r="X122" s="201">
        <f t="shared" si="27"/>
        <v>2758.0757319999998</v>
      </c>
      <c r="Y122" s="201">
        <f t="shared" si="27"/>
        <v>0</v>
      </c>
    </row>
    <row r="123" spans="1:25" s="169" customFormat="1" ht="26.4">
      <c r="A123" s="192" t="s">
        <v>1007</v>
      </c>
      <c r="B123" s="176" t="s">
        <v>1008</v>
      </c>
      <c r="C123" s="183" t="str">
        <f t="shared" si="19"/>
        <v>1048054</v>
      </c>
      <c r="D123" s="182" t="str">
        <f t="shared" si="18"/>
        <v>Trung tâm Y tẽ huyện Đak tô :ỉnh Kontum</v>
      </c>
      <c r="E123" s="206"/>
      <c r="F123" s="207">
        <v>423</v>
      </c>
      <c r="G123" s="207"/>
      <c r="H123" s="205"/>
      <c r="I123" s="224">
        <f>J123-Sheet1!I739</f>
        <v>0</v>
      </c>
      <c r="J123" s="167">
        <v>12326488666</v>
      </c>
      <c r="K123" s="166"/>
      <c r="L123" s="167">
        <v>10854750666</v>
      </c>
      <c r="M123" s="168">
        <v>1471738000</v>
      </c>
      <c r="N123" s="168">
        <f t="shared" si="20"/>
        <v>12326488666</v>
      </c>
      <c r="O123" s="168"/>
      <c r="P123" s="167">
        <v>12140758666</v>
      </c>
      <c r="Q123" s="167">
        <f t="shared" si="21"/>
        <v>12140758666</v>
      </c>
      <c r="R123" s="168"/>
      <c r="T123" s="201">
        <f t="shared" si="22"/>
        <v>12326.488665999999</v>
      </c>
      <c r="U123" s="201">
        <f t="shared" si="27"/>
        <v>12326.488665999999</v>
      </c>
      <c r="V123" s="201">
        <f t="shared" si="27"/>
        <v>0</v>
      </c>
      <c r="W123" s="201">
        <f t="shared" si="27"/>
        <v>12140.758666</v>
      </c>
      <c r="X123" s="201">
        <f t="shared" si="27"/>
        <v>12140.758666</v>
      </c>
      <c r="Y123" s="201">
        <f t="shared" si="27"/>
        <v>0</v>
      </c>
    </row>
    <row r="124" spans="1:25" s="169" customFormat="1" ht="26.4">
      <c r="A124" s="192" t="s">
        <v>1011</v>
      </c>
      <c r="B124" s="176" t="s">
        <v>1012</v>
      </c>
      <c r="C124" s="183" t="str">
        <f t="shared" si="19"/>
        <v>1048055</v>
      </c>
      <c r="D124" s="182" t="str">
        <f t="shared" si="18"/>
        <v>Trung tâm y tẽ Huyện Đak glei</v>
      </c>
      <c r="E124" s="206"/>
      <c r="F124" s="207">
        <v>423</v>
      </c>
      <c r="G124" s="207"/>
      <c r="H124" s="205"/>
      <c r="I124" s="224">
        <f>J124-Sheet1!I752</f>
        <v>0</v>
      </c>
      <c r="J124" s="167">
        <v>14199748277</v>
      </c>
      <c r="K124" s="166"/>
      <c r="L124" s="167">
        <v>13281017277</v>
      </c>
      <c r="M124" s="168">
        <v>918731000</v>
      </c>
      <c r="N124" s="168">
        <f t="shared" si="20"/>
        <v>14199748277</v>
      </c>
      <c r="O124" s="168"/>
      <c r="P124" s="167">
        <v>13738174533</v>
      </c>
      <c r="Q124" s="167">
        <f t="shared" si="21"/>
        <v>13738174533</v>
      </c>
      <c r="R124" s="168"/>
      <c r="T124" s="201">
        <f t="shared" si="22"/>
        <v>14199.748277000001</v>
      </c>
      <c r="U124" s="201">
        <f t="shared" si="27"/>
        <v>14199.748277000001</v>
      </c>
      <c r="V124" s="201">
        <f t="shared" si="27"/>
        <v>0</v>
      </c>
      <c r="W124" s="201">
        <f t="shared" si="27"/>
        <v>13738.174532999999</v>
      </c>
      <c r="X124" s="201">
        <f t="shared" si="27"/>
        <v>13738.174532999999</v>
      </c>
      <c r="Y124" s="201">
        <f t="shared" si="27"/>
        <v>0</v>
      </c>
    </row>
    <row r="125" spans="1:25" s="169" customFormat="1" ht="26.4">
      <c r="A125" s="192" t="s">
        <v>1015</v>
      </c>
      <c r="B125" s="176" t="s">
        <v>1016</v>
      </c>
      <c r="C125" s="183" t="str">
        <f t="shared" si="19"/>
        <v>1048056</v>
      </c>
      <c r="D125" s="182" t="str">
        <f t="shared" si="18"/>
        <v>Trung tâm y tẽ huyện KonPlong</v>
      </c>
      <c r="E125" s="206"/>
      <c r="F125" s="207">
        <v>423</v>
      </c>
      <c r="G125" s="207"/>
      <c r="H125" s="205"/>
      <c r="I125" s="224">
        <f>J125-Sheet1!I765</f>
        <v>0</v>
      </c>
      <c r="J125" s="167">
        <v>15351229533</v>
      </c>
      <c r="K125" s="166"/>
      <c r="L125" s="167">
        <v>14947609533</v>
      </c>
      <c r="M125" s="168">
        <v>403620000</v>
      </c>
      <c r="N125" s="168">
        <f t="shared" si="20"/>
        <v>15351229533</v>
      </c>
      <c r="O125" s="168"/>
      <c r="P125" s="167">
        <v>14888900391</v>
      </c>
      <c r="Q125" s="167">
        <f t="shared" si="21"/>
        <v>14888900391</v>
      </c>
      <c r="R125" s="168"/>
      <c r="T125" s="201">
        <f t="shared" si="22"/>
        <v>15351.229533</v>
      </c>
      <c r="U125" s="201">
        <f t="shared" si="27"/>
        <v>15351.229533</v>
      </c>
      <c r="V125" s="201">
        <f t="shared" si="27"/>
        <v>0</v>
      </c>
      <c r="W125" s="201">
        <f t="shared" si="27"/>
        <v>14888.900390999999</v>
      </c>
      <c r="X125" s="201">
        <f t="shared" si="27"/>
        <v>14888.900390999999</v>
      </c>
      <c r="Y125" s="201">
        <f t="shared" si="27"/>
        <v>0</v>
      </c>
    </row>
    <row r="126" spans="1:25" s="169" customFormat="1" ht="26.4">
      <c r="A126" s="192" t="s">
        <v>1019</v>
      </c>
      <c r="B126" s="165" t="s">
        <v>1020</v>
      </c>
      <c r="C126" s="183" t="str">
        <f t="shared" si="19"/>
        <v>1048057</v>
      </c>
      <c r="D126" s="182" t="str">
        <f t="shared" si="18"/>
        <v>Trung tâm y tẽ Thành phổ &lt;on Tum</v>
      </c>
      <c r="E126" s="206"/>
      <c r="F126" s="207">
        <v>423</v>
      </c>
      <c r="G126" s="207"/>
      <c r="H126" s="205"/>
      <c r="I126" s="224">
        <f>J126-Sheet1!I779</f>
        <v>0</v>
      </c>
      <c r="J126" s="167">
        <v>19410417206</v>
      </c>
      <c r="K126" s="166"/>
      <c r="L126" s="167">
        <v>18325711806</v>
      </c>
      <c r="M126" s="168">
        <v>1084705400</v>
      </c>
      <c r="N126" s="168">
        <f t="shared" si="20"/>
        <v>19410417206</v>
      </c>
      <c r="O126" s="168"/>
      <c r="P126" s="167">
        <v>17604265716</v>
      </c>
      <c r="Q126" s="167">
        <f t="shared" si="21"/>
        <v>17604265716</v>
      </c>
      <c r="R126" s="168"/>
      <c r="T126" s="201">
        <f t="shared" si="22"/>
        <v>19410.417205999998</v>
      </c>
      <c r="U126" s="201">
        <f t="shared" si="27"/>
        <v>19410.417205999998</v>
      </c>
      <c r="V126" s="201">
        <f t="shared" si="27"/>
        <v>0</v>
      </c>
      <c r="W126" s="201">
        <f t="shared" si="27"/>
        <v>17604.265716000002</v>
      </c>
      <c r="X126" s="201">
        <f t="shared" si="27"/>
        <v>17604.265716000002</v>
      </c>
      <c r="Y126" s="201">
        <f t="shared" si="27"/>
        <v>0</v>
      </c>
    </row>
    <row r="127" spans="1:25" s="169" customFormat="1" ht="26.4">
      <c r="A127" s="192" t="s">
        <v>1023</v>
      </c>
      <c r="B127" s="170" t="s">
        <v>1024</v>
      </c>
      <c r="C127" s="183" t="str">
        <f t="shared" si="19"/>
        <v>1048058</v>
      </c>
      <c r="D127" s="182" t="str">
        <f t="shared" si="18"/>
        <v>Trung tâm y tẽ huyện Đak hà</v>
      </c>
      <c r="E127" s="206"/>
      <c r="F127" s="207">
        <v>423</v>
      </c>
      <c r="G127" s="207"/>
      <c r="H127" s="205"/>
      <c r="I127" s="224">
        <f>J127-Sheet1!I791</f>
        <v>0</v>
      </c>
      <c r="J127" s="167">
        <v>12064365403</v>
      </c>
      <c r="K127" s="166"/>
      <c r="L127" s="167">
        <v>11134485403</v>
      </c>
      <c r="M127" s="168">
        <v>929880000</v>
      </c>
      <c r="N127" s="168">
        <f t="shared" si="20"/>
        <v>12064365403</v>
      </c>
      <c r="O127" s="168"/>
      <c r="P127" s="167">
        <v>11828545403</v>
      </c>
      <c r="Q127" s="167">
        <f t="shared" si="21"/>
        <v>11828545403</v>
      </c>
      <c r="R127" s="168"/>
      <c r="T127" s="201">
        <f t="shared" si="22"/>
        <v>12064.365403</v>
      </c>
      <c r="U127" s="201">
        <f t="shared" si="27"/>
        <v>12064.365403</v>
      </c>
      <c r="V127" s="201">
        <f t="shared" si="27"/>
        <v>0</v>
      </c>
      <c r="W127" s="201">
        <f t="shared" si="27"/>
        <v>11828.545403</v>
      </c>
      <c r="X127" s="201">
        <f t="shared" si="27"/>
        <v>11828.545403</v>
      </c>
      <c r="Y127" s="201">
        <f t="shared" si="27"/>
        <v>0</v>
      </c>
    </row>
    <row r="128" spans="1:25" s="169" customFormat="1" ht="26.4">
      <c r="A128" s="192" t="s">
        <v>1027</v>
      </c>
      <c r="B128" s="165" t="s">
        <v>1028</v>
      </c>
      <c r="C128" s="183" t="str">
        <f t="shared" si="19"/>
        <v>1048059</v>
      </c>
      <c r="D128" s="182" t="str">
        <f t="shared" si="18"/>
        <v>Trung tâm kiềm soát bệnh tật :ỉnh Kon Tum</v>
      </c>
      <c r="E128" s="206"/>
      <c r="F128" s="207">
        <v>423</v>
      </c>
      <c r="G128" s="207"/>
      <c r="H128" s="205"/>
      <c r="I128" s="224">
        <f>J128-Sheet1!I803</f>
        <v>0</v>
      </c>
      <c r="J128" s="167">
        <v>7711291000</v>
      </c>
      <c r="K128" s="166"/>
      <c r="L128" s="167">
        <v>6662000000</v>
      </c>
      <c r="M128" s="168">
        <v>1049291000</v>
      </c>
      <c r="N128" s="168">
        <f t="shared" si="20"/>
        <v>7711291000</v>
      </c>
      <c r="O128" s="168"/>
      <c r="P128" s="167">
        <v>6886885750</v>
      </c>
      <c r="Q128" s="167">
        <f t="shared" si="21"/>
        <v>6886885750</v>
      </c>
      <c r="R128" s="168"/>
      <c r="T128" s="201">
        <f t="shared" si="22"/>
        <v>7711.2910000000002</v>
      </c>
      <c r="U128" s="201">
        <f t="shared" si="27"/>
        <v>7711.2910000000002</v>
      </c>
      <c r="V128" s="201">
        <f t="shared" si="27"/>
        <v>0</v>
      </c>
      <c r="W128" s="201">
        <f t="shared" si="27"/>
        <v>6886.8857500000004</v>
      </c>
      <c r="X128" s="201">
        <f t="shared" si="27"/>
        <v>6886.8857500000004</v>
      </c>
      <c r="Y128" s="201">
        <f t="shared" si="27"/>
        <v>0</v>
      </c>
    </row>
    <row r="129" spans="1:25" s="169" customFormat="1" ht="26.4">
      <c r="A129" s="192" t="s">
        <v>1031</v>
      </c>
      <c r="B129" s="176" t="s">
        <v>1032</v>
      </c>
      <c r="C129" s="183" t="str">
        <f t="shared" si="19"/>
        <v>1048060</v>
      </c>
      <c r="D129" s="182" t="str">
        <f t="shared" si="18"/>
        <v>Trung tâm Phòng chổng 3ệnh xã hội</v>
      </c>
      <c r="E129" s="206"/>
      <c r="F129" s="207">
        <v>423</v>
      </c>
      <c r="G129" s="207"/>
      <c r="H129" s="205"/>
      <c r="I129" s="224">
        <f>J129-Sheet1!I813</f>
        <v>0</v>
      </c>
      <c r="J129" s="167">
        <v>10352900000</v>
      </c>
      <c r="K129" s="166"/>
      <c r="L129" s="167">
        <v>9590530000</v>
      </c>
      <c r="M129" s="168">
        <v>762370000</v>
      </c>
      <c r="N129" s="168">
        <f t="shared" si="20"/>
        <v>10352900000</v>
      </c>
      <c r="O129" s="168"/>
      <c r="P129" s="167">
        <v>9844063383</v>
      </c>
      <c r="Q129" s="167">
        <f t="shared" si="21"/>
        <v>9844063383</v>
      </c>
      <c r="R129" s="168"/>
      <c r="T129" s="201">
        <f t="shared" si="22"/>
        <v>10352.9</v>
      </c>
      <c r="U129" s="201">
        <f t="shared" si="27"/>
        <v>10352.9</v>
      </c>
      <c r="V129" s="201">
        <f t="shared" si="27"/>
        <v>0</v>
      </c>
      <c r="W129" s="201">
        <f t="shared" si="27"/>
        <v>9844.0633830000006</v>
      </c>
      <c r="X129" s="201">
        <f t="shared" si="27"/>
        <v>9844.0633830000006</v>
      </c>
      <c r="Y129" s="201">
        <f t="shared" si="27"/>
        <v>0</v>
      </c>
    </row>
    <row r="130" spans="1:25" s="169" customFormat="1" ht="26.4">
      <c r="A130" s="192" t="s">
        <v>1035</v>
      </c>
      <c r="B130" s="176" t="s">
        <v>1036</v>
      </c>
      <c r="C130" s="183" t="str">
        <f t="shared" si="19"/>
        <v>1048061</v>
      </c>
      <c r="D130" s="182" t="str">
        <f t="shared" si="18"/>
        <v>Trung tâm y tẽ huyện Ngọc lồi</v>
      </c>
      <c r="E130" s="206"/>
      <c r="F130" s="207">
        <v>423</v>
      </c>
      <c r="G130" s="207"/>
      <c r="H130" s="205"/>
      <c r="I130" s="224">
        <f>J130-Sheet1!I821</f>
        <v>0</v>
      </c>
      <c r="J130" s="167">
        <v>11616508549</v>
      </c>
      <c r="K130" s="167">
        <v>31460376</v>
      </c>
      <c r="L130" s="167">
        <v>11166664173</v>
      </c>
      <c r="M130" s="168">
        <v>418384000</v>
      </c>
      <c r="N130" s="168">
        <f t="shared" si="20"/>
        <v>11616508549</v>
      </c>
      <c r="O130" s="168"/>
      <c r="P130" s="167">
        <v>11285947331</v>
      </c>
      <c r="Q130" s="167">
        <f t="shared" si="21"/>
        <v>11285947331</v>
      </c>
      <c r="R130" s="168"/>
      <c r="T130" s="201">
        <f t="shared" si="22"/>
        <v>11616.508549</v>
      </c>
      <c r="U130" s="201">
        <f t="shared" si="27"/>
        <v>11616.508549</v>
      </c>
      <c r="V130" s="201">
        <f t="shared" si="27"/>
        <v>0</v>
      </c>
      <c r="W130" s="201">
        <f t="shared" si="27"/>
        <v>11285.947330999999</v>
      </c>
      <c r="X130" s="201">
        <f t="shared" si="27"/>
        <v>11285.947330999999</v>
      </c>
      <c r="Y130" s="201">
        <f t="shared" si="27"/>
        <v>0</v>
      </c>
    </row>
    <row r="131" spans="1:25" s="169" customFormat="1" ht="26.4">
      <c r="A131" s="192" t="s">
        <v>1040</v>
      </c>
      <c r="B131" s="176" t="s">
        <v>1041</v>
      </c>
      <c r="C131" s="183" t="str">
        <f t="shared" si="19"/>
        <v>1048063</v>
      </c>
      <c r="D131" s="182" t="str">
        <f t="shared" si="18"/>
        <v>SỜ Giao thông Vận tải Tỉnh Kon Tum</v>
      </c>
      <c r="E131" s="206"/>
      <c r="F131" s="207">
        <v>421</v>
      </c>
      <c r="G131" s="207"/>
      <c r="H131" s="205"/>
      <c r="I131" s="224">
        <f>J131-Sheet1!I833</f>
        <v>0</v>
      </c>
      <c r="J131" s="167">
        <v>45299166900</v>
      </c>
      <c r="K131" s="167">
        <v>3816566900</v>
      </c>
      <c r="L131" s="167">
        <v>17495200000</v>
      </c>
      <c r="M131" s="168">
        <v>23987400000</v>
      </c>
      <c r="N131" s="168">
        <f t="shared" si="20"/>
        <v>45299166900</v>
      </c>
      <c r="O131" s="168"/>
      <c r="P131" s="167">
        <v>39071701564</v>
      </c>
      <c r="Q131" s="167">
        <f t="shared" si="21"/>
        <v>39071701564</v>
      </c>
      <c r="R131" s="168"/>
      <c r="T131" s="201">
        <f t="shared" si="22"/>
        <v>45299.166899999997</v>
      </c>
      <c r="U131" s="201">
        <f t="shared" si="27"/>
        <v>45299.166899999997</v>
      </c>
      <c r="V131" s="201">
        <f t="shared" si="27"/>
        <v>0</v>
      </c>
      <c r="W131" s="201">
        <f t="shared" si="27"/>
        <v>39071.701564000003</v>
      </c>
      <c r="X131" s="201">
        <f t="shared" si="27"/>
        <v>39071.701564000003</v>
      </c>
      <c r="Y131" s="201">
        <f t="shared" si="27"/>
        <v>0</v>
      </c>
    </row>
    <row r="132" spans="1:25" s="169" customFormat="1" ht="13.8">
      <c r="A132" s="192" t="s">
        <v>1043</v>
      </c>
      <c r="B132" s="164" t="s">
        <v>1044</v>
      </c>
      <c r="C132" s="183" t="str">
        <f t="shared" si="19"/>
        <v>1048179</v>
      </c>
      <c r="D132" s="182" t="str">
        <f t="shared" si="18"/>
        <v>Ban an toàn Giao thông</v>
      </c>
      <c r="E132" s="206"/>
      <c r="F132" s="207">
        <v>421</v>
      </c>
      <c r="G132" s="207"/>
      <c r="H132" s="205"/>
      <c r="I132" s="224">
        <f>J132-Sheet1!I842</f>
        <v>0</v>
      </c>
      <c r="J132" s="167">
        <v>814390476</v>
      </c>
      <c r="K132" s="167">
        <v>51390476</v>
      </c>
      <c r="L132" s="167">
        <v>343000000</v>
      </c>
      <c r="M132" s="168">
        <v>420000000</v>
      </c>
      <c r="N132" s="168">
        <f t="shared" si="20"/>
        <v>814390476</v>
      </c>
      <c r="O132" s="168"/>
      <c r="P132" s="167">
        <v>662961630</v>
      </c>
      <c r="Q132" s="167">
        <f t="shared" si="21"/>
        <v>662961630</v>
      </c>
      <c r="R132" s="168"/>
      <c r="T132" s="201">
        <f t="shared" si="22"/>
        <v>814.39047600000004</v>
      </c>
      <c r="U132" s="201">
        <f t="shared" si="27"/>
        <v>814.39047600000004</v>
      </c>
      <c r="V132" s="201">
        <f t="shared" si="27"/>
        <v>0</v>
      </c>
      <c r="W132" s="201">
        <f t="shared" si="27"/>
        <v>662.96163000000001</v>
      </c>
      <c r="X132" s="201">
        <f t="shared" si="27"/>
        <v>662.96163000000001</v>
      </c>
      <c r="Y132" s="201">
        <f t="shared" si="27"/>
        <v>0</v>
      </c>
    </row>
    <row r="133" spans="1:25" s="169" customFormat="1" ht="13.8">
      <c r="A133" s="192" t="s">
        <v>1046</v>
      </c>
      <c r="B133" s="164" t="s">
        <v>1047</v>
      </c>
      <c r="C133" s="183" t="str">
        <f t="shared" si="19"/>
        <v>1048180</v>
      </c>
      <c r="D133" s="182" t="str">
        <f t="shared" si="18"/>
        <v>SỜ Xây dựng</v>
      </c>
      <c r="E133" s="206"/>
      <c r="F133" s="207">
        <v>419</v>
      </c>
      <c r="G133" s="207"/>
      <c r="H133" s="205"/>
      <c r="I133" s="224">
        <f>J133-Sheet1!I846</f>
        <v>0</v>
      </c>
      <c r="J133" s="167">
        <v>9583131000</v>
      </c>
      <c r="K133" s="167">
        <v>782631000</v>
      </c>
      <c r="L133" s="167">
        <v>6698500000</v>
      </c>
      <c r="M133" s="168">
        <v>2102000000</v>
      </c>
      <c r="N133" s="168">
        <f t="shared" si="20"/>
        <v>9583131000</v>
      </c>
      <c r="O133" s="168"/>
      <c r="P133" s="167">
        <v>8010677000</v>
      </c>
      <c r="Q133" s="167">
        <f t="shared" si="21"/>
        <v>8010677000</v>
      </c>
      <c r="R133" s="168"/>
      <c r="T133" s="201">
        <f t="shared" si="22"/>
        <v>9583.1309999999994</v>
      </c>
      <c r="U133" s="201">
        <f t="shared" si="27"/>
        <v>9583.1309999999994</v>
      </c>
      <c r="V133" s="201">
        <f t="shared" si="27"/>
        <v>0</v>
      </c>
      <c r="W133" s="201">
        <f t="shared" si="27"/>
        <v>8010.6769999999997</v>
      </c>
      <c r="X133" s="201">
        <f t="shared" si="27"/>
        <v>8010.6769999999997</v>
      </c>
      <c r="Y133" s="201">
        <f t="shared" si="27"/>
        <v>0</v>
      </c>
    </row>
    <row r="134" spans="1:25" s="169" customFormat="1" ht="26.4">
      <c r="A134" s="192" t="s">
        <v>1051</v>
      </c>
      <c r="B134" s="176" t="s">
        <v>1052</v>
      </c>
      <c r="C134" s="183" t="str">
        <f t="shared" si="19"/>
        <v>1048181</v>
      </c>
      <c r="D134" s="182" t="str">
        <f t="shared" si="18"/>
        <v>Hội Liên hiệp Phụ nữ tỉnh &lt;ontum</v>
      </c>
      <c r="E134" s="206"/>
      <c r="F134" s="207">
        <v>512</v>
      </c>
      <c r="G134" s="207"/>
      <c r="H134" s="205"/>
      <c r="I134" s="224">
        <f>J134-Sheet1!I854</f>
        <v>0</v>
      </c>
      <c r="J134" s="167">
        <v>5088199000</v>
      </c>
      <c r="K134" s="166"/>
      <c r="L134" s="167">
        <v>4278000000</v>
      </c>
      <c r="M134" s="168">
        <v>810199000</v>
      </c>
      <c r="N134" s="168">
        <f t="shared" si="20"/>
        <v>5088199000</v>
      </c>
      <c r="O134" s="168"/>
      <c r="P134" s="167">
        <v>5088199000</v>
      </c>
      <c r="Q134" s="167">
        <f t="shared" si="21"/>
        <v>5088199000</v>
      </c>
      <c r="R134" s="168"/>
      <c r="T134" s="201">
        <f t="shared" si="22"/>
        <v>5088.1989999999996</v>
      </c>
      <c r="U134" s="201">
        <f t="shared" si="27"/>
        <v>5088.1989999999996</v>
      </c>
      <c r="V134" s="201">
        <f t="shared" si="27"/>
        <v>0</v>
      </c>
      <c r="W134" s="201">
        <f t="shared" si="27"/>
        <v>5088.1989999999996</v>
      </c>
      <c r="X134" s="201">
        <f t="shared" si="27"/>
        <v>5088.1989999999996</v>
      </c>
      <c r="Y134" s="201">
        <f t="shared" si="27"/>
        <v>0</v>
      </c>
    </row>
    <row r="135" spans="1:25" s="169" customFormat="1" ht="26.4">
      <c r="A135" s="192" t="s">
        <v>1055</v>
      </c>
      <c r="B135" s="176" t="s">
        <v>1056</v>
      </c>
      <c r="C135" s="183" t="str">
        <f t="shared" si="19"/>
        <v>1048182</v>
      </c>
      <c r="D135" s="182" t="str">
        <f t="shared" si="18"/>
        <v>Văn phòng sờ Công Thương ■ tỉnh Kontum</v>
      </c>
      <c r="E135" s="206"/>
      <c r="F135" s="207">
        <v>416</v>
      </c>
      <c r="G135" s="207"/>
      <c r="H135" s="205"/>
      <c r="I135" s="224">
        <f>J135-Sheet1!I862</f>
        <v>0</v>
      </c>
      <c r="J135" s="167">
        <v>5384000000</v>
      </c>
      <c r="K135" s="167">
        <v>104000000</v>
      </c>
      <c r="L135" s="167">
        <v>4643400000</v>
      </c>
      <c r="M135" s="168">
        <v>636600000</v>
      </c>
      <c r="N135" s="168">
        <f t="shared" si="20"/>
        <v>5384000000</v>
      </c>
      <c r="O135" s="168"/>
      <c r="P135" s="167">
        <v>5383965000</v>
      </c>
      <c r="Q135" s="167">
        <f t="shared" si="21"/>
        <v>5383965000</v>
      </c>
      <c r="R135" s="168"/>
      <c r="T135" s="201">
        <f t="shared" si="22"/>
        <v>5384</v>
      </c>
      <c r="U135" s="201">
        <f t="shared" si="27"/>
        <v>5384</v>
      </c>
      <c r="V135" s="201">
        <f t="shared" si="27"/>
        <v>0</v>
      </c>
      <c r="W135" s="201">
        <f t="shared" si="27"/>
        <v>5383.9650000000001</v>
      </c>
      <c r="X135" s="201">
        <f t="shared" si="27"/>
        <v>5383.9650000000001</v>
      </c>
      <c r="Y135" s="201">
        <f t="shared" si="27"/>
        <v>0</v>
      </c>
    </row>
    <row r="136" spans="1:25" s="169" customFormat="1" ht="26.4">
      <c r="A136" s="192" t="s">
        <v>1058</v>
      </c>
      <c r="B136" s="176" t="s">
        <v>1059</v>
      </c>
      <c r="C136" s="183" t="str">
        <f t="shared" si="19"/>
        <v>1048277</v>
      </c>
      <c r="D136" s="182" t="str">
        <f t="shared" si="18"/>
        <v>Liên minh Hợp tác xã tỉnh &lt;on Tum</v>
      </c>
      <c r="E136" s="206"/>
      <c r="F136" s="207">
        <v>448</v>
      </c>
      <c r="G136" s="207"/>
      <c r="H136" s="205"/>
      <c r="I136" s="224">
        <f>J136-Sheet1!I869</f>
        <v>0</v>
      </c>
      <c r="J136" s="167">
        <v>2237800000</v>
      </c>
      <c r="K136" s="167">
        <v>238000000</v>
      </c>
      <c r="L136" s="167">
        <v>1823000000</v>
      </c>
      <c r="M136" s="168">
        <v>176800000</v>
      </c>
      <c r="N136" s="168">
        <f t="shared" si="20"/>
        <v>2237800000</v>
      </c>
      <c r="O136" s="168"/>
      <c r="P136" s="167">
        <v>1952382379</v>
      </c>
      <c r="Q136" s="167">
        <f t="shared" si="21"/>
        <v>1952382379</v>
      </c>
      <c r="R136" s="168"/>
      <c r="T136" s="201">
        <f t="shared" si="22"/>
        <v>2237.8000000000002</v>
      </c>
      <c r="U136" s="201">
        <f t="shared" ref="U136:Y151" si="28">N136/1000000</f>
        <v>2237.8000000000002</v>
      </c>
      <c r="V136" s="201">
        <f t="shared" si="28"/>
        <v>0</v>
      </c>
      <c r="W136" s="201">
        <f t="shared" si="28"/>
        <v>1952.3823789999999</v>
      </c>
      <c r="X136" s="201">
        <f t="shared" si="28"/>
        <v>1952.3823789999999</v>
      </c>
      <c r="Y136" s="201">
        <f t="shared" si="28"/>
        <v>0</v>
      </c>
    </row>
    <row r="137" spans="1:25" s="169" customFormat="1" ht="26.4">
      <c r="A137" s="192" t="s">
        <v>1062</v>
      </c>
      <c r="B137" s="165" t="s">
        <v>1063</v>
      </c>
      <c r="C137" s="183" t="str">
        <f t="shared" si="19"/>
        <v>1048278</v>
      </c>
      <c r="D137" s="182" t="str">
        <f t="shared" si="18"/>
        <v>Uỷ ban Mặt trận Tồ quốc Việt nam tỉnh Kontum</v>
      </c>
      <c r="E137" s="206"/>
      <c r="F137" s="207">
        <v>510</v>
      </c>
      <c r="G137" s="207"/>
      <c r="H137" s="205"/>
      <c r="I137" s="224">
        <f>J137-Sheet1!I876</f>
        <v>0</v>
      </c>
      <c r="J137" s="167">
        <v>6481200000</v>
      </c>
      <c r="K137" s="166"/>
      <c r="L137" s="167">
        <v>6201000000</v>
      </c>
      <c r="M137" s="168">
        <v>280200000</v>
      </c>
      <c r="N137" s="168">
        <f t="shared" si="20"/>
        <v>6481200000</v>
      </c>
      <c r="O137" s="168"/>
      <c r="P137" s="167">
        <v>6292113575</v>
      </c>
      <c r="Q137" s="167">
        <f t="shared" si="21"/>
        <v>6292113575</v>
      </c>
      <c r="R137" s="168"/>
      <c r="T137" s="201">
        <f t="shared" si="22"/>
        <v>6481.2</v>
      </c>
      <c r="U137" s="201">
        <f t="shared" si="28"/>
        <v>6481.2</v>
      </c>
      <c r="V137" s="201">
        <f t="shared" si="28"/>
        <v>0</v>
      </c>
      <c r="W137" s="201">
        <f t="shared" si="28"/>
        <v>6292.1135750000003</v>
      </c>
      <c r="X137" s="201">
        <f t="shared" si="28"/>
        <v>6292.1135750000003</v>
      </c>
      <c r="Y137" s="201">
        <f t="shared" si="28"/>
        <v>0</v>
      </c>
    </row>
    <row r="138" spans="1:25" s="169" customFormat="1" ht="13.8">
      <c r="A138" s="192" t="s">
        <v>1066</v>
      </c>
      <c r="B138" s="170" t="s">
        <v>1067</v>
      </c>
      <c r="C138" s="183" t="str">
        <f t="shared" si="19"/>
        <v>1048279</v>
      </c>
      <c r="D138" s="182" t="str">
        <f t="shared" si="18"/>
        <v>Thanh tra tỉnh</v>
      </c>
      <c r="E138" s="206"/>
      <c r="F138" s="207">
        <v>437</v>
      </c>
      <c r="G138" s="207"/>
      <c r="H138" s="205"/>
      <c r="I138" s="224">
        <f>J138-Sheet1!I884</f>
        <v>0</v>
      </c>
      <c r="J138" s="167">
        <v>6006184000</v>
      </c>
      <c r="K138" s="167">
        <v>173000000</v>
      </c>
      <c r="L138" s="167">
        <v>5532000000</v>
      </c>
      <c r="M138" s="168">
        <v>301184000</v>
      </c>
      <c r="N138" s="168">
        <f t="shared" si="20"/>
        <v>6006184000</v>
      </c>
      <c r="O138" s="168"/>
      <c r="P138" s="167">
        <v>6006184000</v>
      </c>
      <c r="Q138" s="167">
        <f t="shared" si="21"/>
        <v>6006184000</v>
      </c>
      <c r="R138" s="168"/>
      <c r="T138" s="201">
        <f t="shared" si="22"/>
        <v>6006.1840000000002</v>
      </c>
      <c r="U138" s="201">
        <f t="shared" si="28"/>
        <v>6006.1840000000002</v>
      </c>
      <c r="V138" s="201">
        <f t="shared" si="28"/>
        <v>0</v>
      </c>
      <c r="W138" s="201">
        <f t="shared" si="28"/>
        <v>6006.1840000000002</v>
      </c>
      <c r="X138" s="201">
        <f t="shared" si="28"/>
        <v>6006.1840000000002</v>
      </c>
      <c r="Y138" s="201">
        <f t="shared" si="28"/>
        <v>0</v>
      </c>
    </row>
    <row r="139" spans="1:25" s="169" customFormat="1" ht="26.4">
      <c r="A139" s="192" t="s">
        <v>1070</v>
      </c>
      <c r="B139" s="165" t="s">
        <v>1071</v>
      </c>
      <c r="C139" s="183" t="str">
        <f t="shared" si="19"/>
        <v>1049264</v>
      </c>
      <c r="D139" s="182" t="str">
        <f t="shared" si="18"/>
        <v>Trường Cao đẳng cộng đồng Kon Tum</v>
      </c>
      <c r="E139" s="206"/>
      <c r="F139" s="207">
        <v>422</v>
      </c>
      <c r="G139" s="207"/>
      <c r="H139" s="205"/>
      <c r="I139" s="224">
        <f>J139-Sheet1!I891</f>
        <v>0</v>
      </c>
      <c r="J139" s="167">
        <v>10129019042</v>
      </c>
      <c r="K139" s="167">
        <v>100314042</v>
      </c>
      <c r="L139" s="167">
        <v>8529958000</v>
      </c>
      <c r="M139" s="168">
        <v>1498747000</v>
      </c>
      <c r="N139" s="168">
        <f t="shared" si="20"/>
        <v>9959019042</v>
      </c>
      <c r="O139" s="168">
        <f>O140+O141</f>
        <v>170000000</v>
      </c>
      <c r="P139" s="167">
        <v>9375340472</v>
      </c>
      <c r="Q139" s="167">
        <f t="shared" si="21"/>
        <v>9344740472</v>
      </c>
      <c r="R139" s="168">
        <f>R140+R141</f>
        <v>30600000</v>
      </c>
      <c r="T139" s="201">
        <f t="shared" si="22"/>
        <v>10129.019042</v>
      </c>
      <c r="U139" s="201">
        <f t="shared" si="28"/>
        <v>9959.0190419999999</v>
      </c>
      <c r="V139" s="201">
        <f t="shared" si="28"/>
        <v>170</v>
      </c>
      <c r="W139" s="201">
        <f t="shared" si="28"/>
        <v>9375.3404719999999</v>
      </c>
      <c r="X139" s="201">
        <f t="shared" si="28"/>
        <v>9344.7404719999995</v>
      </c>
      <c r="Y139" s="201">
        <f t="shared" si="28"/>
        <v>30.6</v>
      </c>
    </row>
    <row r="140" spans="1:25" s="169" customFormat="1" ht="13.8">
      <c r="A140" s="192"/>
      <c r="B140" s="170" t="s">
        <v>689</v>
      </c>
      <c r="C140" s="183" t="str">
        <f t="shared" si="19"/>
        <v/>
      </c>
      <c r="D140" s="182" t="s">
        <v>1464</v>
      </c>
      <c r="E140" s="206"/>
      <c r="F140" s="207"/>
      <c r="G140" s="207"/>
      <c r="H140" s="205"/>
      <c r="I140" s="205"/>
      <c r="J140" s="167">
        <v>9959019042</v>
      </c>
      <c r="K140" s="167">
        <v>100314042</v>
      </c>
      <c r="L140" s="167">
        <v>8359958000</v>
      </c>
      <c r="M140" s="168">
        <v>1498747000</v>
      </c>
      <c r="N140" s="168">
        <f t="shared" si="20"/>
        <v>9959019042</v>
      </c>
      <c r="O140" s="168"/>
      <c r="P140" s="167">
        <v>9344740472</v>
      </c>
      <c r="Q140" s="167">
        <f t="shared" si="21"/>
        <v>9344740472</v>
      </c>
      <c r="R140" s="168"/>
      <c r="T140" s="201">
        <f t="shared" si="22"/>
        <v>9959.0190419999999</v>
      </c>
      <c r="U140" s="201">
        <f t="shared" si="28"/>
        <v>9959.0190419999999</v>
      </c>
      <c r="V140" s="201">
        <f t="shared" si="28"/>
        <v>0</v>
      </c>
      <c r="W140" s="201">
        <f t="shared" si="28"/>
        <v>9344.7404719999995</v>
      </c>
      <c r="X140" s="201">
        <f t="shared" si="28"/>
        <v>9344.7404719999995</v>
      </c>
      <c r="Y140" s="201">
        <f t="shared" si="28"/>
        <v>0</v>
      </c>
    </row>
    <row r="141" spans="1:25" s="169" customFormat="1" ht="13.8">
      <c r="A141" s="192"/>
      <c r="B141" s="164"/>
      <c r="C141" s="183" t="str">
        <f t="shared" si="19"/>
        <v/>
      </c>
      <c r="D141" s="182" t="s">
        <v>1471</v>
      </c>
      <c r="E141" s="192" t="s">
        <v>681</v>
      </c>
      <c r="F141" s="192" t="s">
        <v>677</v>
      </c>
      <c r="G141" s="192" t="s">
        <v>761</v>
      </c>
      <c r="H141" s="210" t="s">
        <v>1448</v>
      </c>
      <c r="I141" s="210"/>
      <c r="J141" s="167">
        <v>170000000</v>
      </c>
      <c r="K141" s="166"/>
      <c r="L141" s="167">
        <v>170000000</v>
      </c>
      <c r="M141" s="171"/>
      <c r="N141" s="168">
        <f t="shared" si="20"/>
        <v>0</v>
      </c>
      <c r="O141" s="171">
        <f>J141</f>
        <v>170000000</v>
      </c>
      <c r="P141" s="167">
        <v>30600000</v>
      </c>
      <c r="Q141" s="167">
        <f t="shared" si="21"/>
        <v>0</v>
      </c>
      <c r="R141" s="171">
        <f>P141</f>
        <v>30600000</v>
      </c>
      <c r="T141" s="201">
        <f t="shared" si="22"/>
        <v>170</v>
      </c>
      <c r="U141" s="201">
        <f t="shared" si="28"/>
        <v>0</v>
      </c>
      <c r="V141" s="201">
        <f t="shared" si="28"/>
        <v>170</v>
      </c>
      <c r="W141" s="201">
        <f t="shared" si="28"/>
        <v>30.6</v>
      </c>
      <c r="X141" s="201">
        <f t="shared" si="28"/>
        <v>0</v>
      </c>
      <c r="Y141" s="201">
        <f t="shared" si="28"/>
        <v>30.6</v>
      </c>
    </row>
    <row r="142" spans="1:25" s="169" customFormat="1" ht="26.4">
      <c r="A142" s="192" t="s">
        <v>1074</v>
      </c>
      <c r="B142" s="165" t="s">
        <v>1075</v>
      </c>
      <c r="C142" s="183" t="str">
        <f t="shared" si="19"/>
        <v>1049265</v>
      </c>
      <c r="D142" s="182" t="str">
        <f t="shared" si="18"/>
        <v>Trường PT TH Dân tộc Nội trú huyện Sa thăy</v>
      </c>
      <c r="E142" s="206"/>
      <c r="F142" s="207">
        <v>422</v>
      </c>
      <c r="G142" s="207"/>
      <c r="H142" s="205"/>
      <c r="I142" s="224">
        <f>J142-Sheet1!I904</f>
        <v>0</v>
      </c>
      <c r="J142" s="167">
        <v>12208454000</v>
      </c>
      <c r="K142" s="166"/>
      <c r="L142" s="167">
        <v>10532557000</v>
      </c>
      <c r="M142" s="168">
        <v>1675897000</v>
      </c>
      <c r="N142" s="168">
        <f t="shared" si="20"/>
        <v>12208454000</v>
      </c>
      <c r="O142" s="168"/>
      <c r="P142" s="167">
        <v>11140034000</v>
      </c>
      <c r="Q142" s="167">
        <f t="shared" si="21"/>
        <v>11140034000</v>
      </c>
      <c r="R142" s="168"/>
      <c r="T142" s="201">
        <f t="shared" si="22"/>
        <v>12208.454</v>
      </c>
      <c r="U142" s="201">
        <f t="shared" si="28"/>
        <v>12208.454</v>
      </c>
      <c r="V142" s="201">
        <f t="shared" si="28"/>
        <v>0</v>
      </c>
      <c r="W142" s="201">
        <f t="shared" si="28"/>
        <v>11140.034</v>
      </c>
      <c r="X142" s="201">
        <f t="shared" si="28"/>
        <v>11140.034</v>
      </c>
      <c r="Y142" s="201">
        <f t="shared" si="28"/>
        <v>0</v>
      </c>
    </row>
    <row r="143" spans="1:25" s="169" customFormat="1" ht="26.4">
      <c r="A143" s="192" t="s">
        <v>1077</v>
      </c>
      <c r="B143" s="165" t="s">
        <v>1078</v>
      </c>
      <c r="C143" s="183" t="str">
        <f t="shared" si="19"/>
        <v>1049266</v>
      </c>
      <c r="D143" s="182" t="str">
        <f t="shared" ref="D143:D205" si="29">IF(C143&lt;&gt;"",RIGHT(B143,LEN(B143)-8),"")</f>
        <v>Trường PhS thông Dân tộc nội trú tỉnh Kontum</v>
      </c>
      <c r="E143" s="206"/>
      <c r="F143" s="207">
        <v>422</v>
      </c>
      <c r="G143" s="207"/>
      <c r="H143" s="205"/>
      <c r="I143" s="224">
        <f>J143-Sheet1!I915</f>
        <v>0</v>
      </c>
      <c r="J143" s="167">
        <v>16447633000</v>
      </c>
      <c r="K143" s="167">
        <v>171195000</v>
      </c>
      <c r="L143" s="167">
        <v>15407799000</v>
      </c>
      <c r="M143" s="168">
        <v>868639000</v>
      </c>
      <c r="N143" s="168">
        <f t="shared" si="20"/>
        <v>16447633000</v>
      </c>
      <c r="O143" s="168"/>
      <c r="P143" s="167">
        <v>15476333000</v>
      </c>
      <c r="Q143" s="167">
        <f t="shared" si="21"/>
        <v>15476333000</v>
      </c>
      <c r="R143" s="168"/>
      <c r="T143" s="201">
        <f t="shared" si="22"/>
        <v>16447.633000000002</v>
      </c>
      <c r="U143" s="201">
        <f t="shared" si="28"/>
        <v>16447.633000000002</v>
      </c>
      <c r="V143" s="201">
        <f t="shared" si="28"/>
        <v>0</v>
      </c>
      <c r="W143" s="201">
        <f t="shared" si="28"/>
        <v>15476.333000000001</v>
      </c>
      <c r="X143" s="201">
        <f t="shared" si="28"/>
        <v>15476.333000000001</v>
      </c>
      <c r="Y143" s="201">
        <f t="shared" si="28"/>
        <v>0</v>
      </c>
    </row>
    <row r="144" spans="1:25" s="169" customFormat="1" ht="26.4">
      <c r="A144" s="192" t="s">
        <v>1080</v>
      </c>
      <c r="B144" s="165" t="s">
        <v>1081</v>
      </c>
      <c r="C144" s="183" t="str">
        <f t="shared" si="19"/>
        <v>1049271</v>
      </c>
      <c r="D144" s="182" t="str">
        <f t="shared" si="29"/>
        <v>SỜ Tài nguyên và Môi trường tỉnh Kontum</v>
      </c>
      <c r="E144" s="206"/>
      <c r="F144" s="207">
        <v>426</v>
      </c>
      <c r="G144" s="207"/>
      <c r="H144" s="205"/>
      <c r="I144" s="224">
        <f>J144-Sheet1!I925</f>
        <v>0</v>
      </c>
      <c r="J144" s="167">
        <v>40228144497</v>
      </c>
      <c r="K144" s="167">
        <v>16074344497</v>
      </c>
      <c r="L144" s="167">
        <v>19294800000</v>
      </c>
      <c r="M144" s="168">
        <v>4859000000</v>
      </c>
      <c r="N144" s="168">
        <f t="shared" si="20"/>
        <v>40228144497</v>
      </c>
      <c r="O144" s="168"/>
      <c r="P144" s="167">
        <v>33415606804</v>
      </c>
      <c r="Q144" s="167">
        <f t="shared" si="21"/>
        <v>33415606804</v>
      </c>
      <c r="R144" s="168"/>
      <c r="T144" s="201">
        <f t="shared" si="22"/>
        <v>40228.144497000001</v>
      </c>
      <c r="U144" s="201">
        <f t="shared" si="28"/>
        <v>40228.144497000001</v>
      </c>
      <c r="V144" s="201">
        <f t="shared" si="28"/>
        <v>0</v>
      </c>
      <c r="W144" s="201">
        <f t="shared" si="28"/>
        <v>33415.606804000003</v>
      </c>
      <c r="X144" s="201">
        <f t="shared" si="28"/>
        <v>33415.606804000003</v>
      </c>
      <c r="Y144" s="201">
        <f t="shared" si="28"/>
        <v>0</v>
      </c>
    </row>
    <row r="145" spans="1:25" s="169" customFormat="1" ht="26.4">
      <c r="A145" s="192" t="s">
        <v>1084</v>
      </c>
      <c r="B145" s="165" t="s">
        <v>1085</v>
      </c>
      <c r="C145" s="183" t="str">
        <f t="shared" si="19"/>
        <v>1049800</v>
      </c>
      <c r="D145" s="182" t="str">
        <f t="shared" si="29"/>
        <v>Trường PhS thông Trung học Kontum</v>
      </c>
      <c r="E145" s="206"/>
      <c r="F145" s="207">
        <v>422</v>
      </c>
      <c r="G145" s="207"/>
      <c r="H145" s="205"/>
      <c r="I145" s="224">
        <f>J145-Sheet1!I935</f>
        <v>0</v>
      </c>
      <c r="J145" s="167">
        <v>11940320000</v>
      </c>
      <c r="K145" s="166"/>
      <c r="L145" s="167">
        <v>11687485000</v>
      </c>
      <c r="M145" s="168">
        <v>252835000</v>
      </c>
      <c r="N145" s="168">
        <f t="shared" si="20"/>
        <v>11940320000</v>
      </c>
      <c r="O145" s="168"/>
      <c r="P145" s="167">
        <v>11926320000</v>
      </c>
      <c r="Q145" s="167">
        <f t="shared" si="21"/>
        <v>11926320000</v>
      </c>
      <c r="R145" s="168"/>
      <c r="T145" s="201">
        <f t="shared" si="22"/>
        <v>11940.32</v>
      </c>
      <c r="U145" s="201">
        <f t="shared" si="28"/>
        <v>11940.32</v>
      </c>
      <c r="V145" s="201">
        <f t="shared" si="28"/>
        <v>0</v>
      </c>
      <c r="W145" s="201">
        <f t="shared" si="28"/>
        <v>11926.32</v>
      </c>
      <c r="X145" s="201">
        <f t="shared" si="28"/>
        <v>11926.32</v>
      </c>
      <c r="Y145" s="201">
        <f t="shared" si="28"/>
        <v>0</v>
      </c>
    </row>
    <row r="146" spans="1:25" s="169" customFormat="1" ht="26.4">
      <c r="A146" s="192" t="s">
        <v>1087</v>
      </c>
      <c r="B146" s="170" t="s">
        <v>1088</v>
      </c>
      <c r="C146" s="183" t="str">
        <f t="shared" si="19"/>
        <v>1050582</v>
      </c>
      <c r="D146" s="182" t="str">
        <f t="shared" si="29"/>
        <v>Chi cục Phát triển Nông thôn</v>
      </c>
      <c r="E146" s="206"/>
      <c r="F146" s="207">
        <v>422</v>
      </c>
      <c r="G146" s="207"/>
      <c r="H146" s="205"/>
      <c r="I146" s="224">
        <f>J146-Sheet1!I944</f>
        <v>0</v>
      </c>
      <c r="J146" s="167">
        <v>2683534000</v>
      </c>
      <c r="K146" s="167">
        <v>150000000</v>
      </c>
      <c r="L146" s="167">
        <v>1512000000</v>
      </c>
      <c r="M146" s="168">
        <v>1021534000</v>
      </c>
      <c r="N146" s="168">
        <f>J146-O146</f>
        <v>1983534000</v>
      </c>
      <c r="O146" s="168">
        <f>O147+O148</f>
        <v>700000000</v>
      </c>
      <c r="P146" s="167">
        <v>2516100000</v>
      </c>
      <c r="Q146" s="167">
        <f t="shared" si="21"/>
        <v>1833228000</v>
      </c>
      <c r="R146" s="168">
        <f>R147+R148</f>
        <v>682872000</v>
      </c>
      <c r="T146" s="201">
        <f t="shared" si="22"/>
        <v>2683.5340000000001</v>
      </c>
      <c r="U146" s="201">
        <f t="shared" si="28"/>
        <v>1983.5340000000001</v>
      </c>
      <c r="V146" s="201">
        <f t="shared" si="28"/>
        <v>700</v>
      </c>
      <c r="W146" s="201">
        <f t="shared" si="28"/>
        <v>2516.1</v>
      </c>
      <c r="X146" s="201">
        <f t="shared" si="28"/>
        <v>1833.2280000000001</v>
      </c>
      <c r="Y146" s="201">
        <f t="shared" si="28"/>
        <v>682.87199999999996</v>
      </c>
    </row>
    <row r="147" spans="1:25" s="169" customFormat="1" ht="13.8">
      <c r="A147" s="192"/>
      <c r="B147" s="170" t="s">
        <v>689</v>
      </c>
      <c r="C147" s="183" t="str">
        <f t="shared" si="19"/>
        <v/>
      </c>
      <c r="D147" s="182" t="s">
        <v>1464</v>
      </c>
      <c r="E147" s="206"/>
      <c r="F147" s="207"/>
      <c r="G147" s="207"/>
      <c r="H147" s="205"/>
      <c r="I147" s="205"/>
      <c r="J147" s="167">
        <v>1983534000</v>
      </c>
      <c r="K147" s="167">
        <v>150000000</v>
      </c>
      <c r="L147" s="167">
        <v>1512000000</v>
      </c>
      <c r="M147" s="168">
        <v>321534000</v>
      </c>
      <c r="N147" s="168">
        <f t="shared" si="20"/>
        <v>1983534000</v>
      </c>
      <c r="O147" s="168"/>
      <c r="P147" s="167">
        <v>1833228000</v>
      </c>
      <c r="Q147" s="167">
        <f t="shared" si="21"/>
        <v>1833228000</v>
      </c>
      <c r="R147" s="168"/>
      <c r="T147" s="201">
        <f t="shared" si="22"/>
        <v>1983.5340000000001</v>
      </c>
      <c r="U147" s="201">
        <f t="shared" si="28"/>
        <v>1983.5340000000001</v>
      </c>
      <c r="V147" s="201">
        <f t="shared" si="28"/>
        <v>0</v>
      </c>
      <c r="W147" s="201">
        <f t="shared" si="28"/>
        <v>1833.2280000000001</v>
      </c>
      <c r="X147" s="201">
        <f t="shared" si="28"/>
        <v>1833.2280000000001</v>
      </c>
      <c r="Y147" s="201">
        <f t="shared" si="28"/>
        <v>0</v>
      </c>
    </row>
    <row r="148" spans="1:25" s="169" customFormat="1" ht="13.8">
      <c r="A148" s="192"/>
      <c r="B148" s="164"/>
      <c r="C148" s="183" t="str">
        <f t="shared" si="19"/>
        <v/>
      </c>
      <c r="D148" s="182" t="s">
        <v>1466</v>
      </c>
      <c r="E148" s="192" t="s">
        <v>667</v>
      </c>
      <c r="F148" s="192" t="s">
        <v>698</v>
      </c>
      <c r="G148" s="192" t="s">
        <v>727</v>
      </c>
      <c r="H148" s="210" t="s">
        <v>1443</v>
      </c>
      <c r="I148" s="210"/>
      <c r="J148" s="167">
        <v>700000000</v>
      </c>
      <c r="K148" s="166"/>
      <c r="L148" s="166"/>
      <c r="M148" s="168">
        <v>700000000</v>
      </c>
      <c r="N148" s="168">
        <f t="shared" si="20"/>
        <v>0</v>
      </c>
      <c r="O148" s="168">
        <f>J148</f>
        <v>700000000</v>
      </c>
      <c r="P148" s="167">
        <v>682872000</v>
      </c>
      <c r="Q148" s="167">
        <f t="shared" si="21"/>
        <v>0</v>
      </c>
      <c r="R148" s="168">
        <f>P148</f>
        <v>682872000</v>
      </c>
      <c r="T148" s="201">
        <f t="shared" si="22"/>
        <v>700</v>
      </c>
      <c r="U148" s="201">
        <f t="shared" si="28"/>
        <v>0</v>
      </c>
      <c r="V148" s="201">
        <f t="shared" si="28"/>
        <v>700</v>
      </c>
      <c r="W148" s="201">
        <f t="shared" si="28"/>
        <v>682.87199999999996</v>
      </c>
      <c r="X148" s="201">
        <f t="shared" si="28"/>
        <v>0</v>
      </c>
      <c r="Y148" s="201">
        <f t="shared" si="28"/>
        <v>682.87199999999996</v>
      </c>
    </row>
    <row r="149" spans="1:25" s="169" customFormat="1" ht="26.4">
      <c r="A149" s="192" t="s">
        <v>1091</v>
      </c>
      <c r="B149" s="165" t="s">
        <v>1092</v>
      </c>
      <c r="C149" s="183" t="str">
        <f t="shared" si="19"/>
        <v>1050718</v>
      </c>
      <c r="D149" s="182" t="str">
        <f t="shared" si="29"/>
        <v>Trung Tâm TruyỄn thông -Giáo dục Sức khoè</v>
      </c>
      <c r="E149" s="206"/>
      <c r="F149" s="207">
        <v>423</v>
      </c>
      <c r="G149" s="207"/>
      <c r="H149" s="205"/>
      <c r="I149" s="224">
        <f>J149-Sheet1!I954</f>
        <v>0</v>
      </c>
      <c r="J149" s="167">
        <v>2308000000</v>
      </c>
      <c r="K149" s="166"/>
      <c r="L149" s="167">
        <v>1911000000</v>
      </c>
      <c r="M149" s="168">
        <v>397000000</v>
      </c>
      <c r="N149" s="168">
        <f t="shared" si="20"/>
        <v>2308000000</v>
      </c>
      <c r="O149" s="168"/>
      <c r="P149" s="167">
        <v>1950000000</v>
      </c>
      <c r="Q149" s="167">
        <f t="shared" si="21"/>
        <v>1950000000</v>
      </c>
      <c r="R149" s="168"/>
      <c r="T149" s="201">
        <f t="shared" si="22"/>
        <v>2308</v>
      </c>
      <c r="U149" s="201">
        <f t="shared" si="28"/>
        <v>2308</v>
      </c>
      <c r="V149" s="201">
        <f t="shared" si="28"/>
        <v>0</v>
      </c>
      <c r="W149" s="201">
        <f t="shared" si="28"/>
        <v>1950</v>
      </c>
      <c r="X149" s="201">
        <f t="shared" si="28"/>
        <v>1950</v>
      </c>
      <c r="Y149" s="201">
        <f t="shared" si="28"/>
        <v>0</v>
      </c>
    </row>
    <row r="150" spans="1:25" s="169" customFormat="1" ht="26.4">
      <c r="A150" s="192" t="s">
        <v>1095</v>
      </c>
      <c r="B150" s="170" t="s">
        <v>1096</v>
      </c>
      <c r="C150" s="183" t="str">
        <f t="shared" si="19"/>
        <v>1050722</v>
      </c>
      <c r="D150" s="182" t="str">
        <f t="shared" si="29"/>
        <v>Hạt Kiểm lâm huyện Kon Rầy</v>
      </c>
      <c r="E150" s="206"/>
      <c r="F150" s="207">
        <v>412</v>
      </c>
      <c r="G150" s="207"/>
      <c r="H150" s="205"/>
      <c r="I150" s="224">
        <f>J150-Sheet1!I963</f>
        <v>0</v>
      </c>
      <c r="J150" s="167">
        <v>2821096000</v>
      </c>
      <c r="K150" s="166"/>
      <c r="L150" s="167">
        <v>2502500000</v>
      </c>
      <c r="M150" s="168">
        <v>318596000</v>
      </c>
      <c r="N150" s="168">
        <f t="shared" si="20"/>
        <v>2821096000</v>
      </c>
      <c r="O150" s="168"/>
      <c r="P150" s="167">
        <v>2821035088</v>
      </c>
      <c r="Q150" s="167">
        <f t="shared" si="21"/>
        <v>2821035088</v>
      </c>
      <c r="R150" s="168"/>
      <c r="T150" s="201">
        <f t="shared" si="22"/>
        <v>2821.096</v>
      </c>
      <c r="U150" s="201">
        <f t="shared" si="28"/>
        <v>2821.096</v>
      </c>
      <c r="V150" s="201">
        <f t="shared" si="28"/>
        <v>0</v>
      </c>
      <c r="W150" s="201">
        <f t="shared" si="28"/>
        <v>2821.0350880000001</v>
      </c>
      <c r="X150" s="201">
        <f t="shared" si="28"/>
        <v>2821.0350880000001</v>
      </c>
      <c r="Y150" s="201">
        <f t="shared" si="28"/>
        <v>0</v>
      </c>
    </row>
    <row r="151" spans="1:25" s="169" customFormat="1" ht="13.8">
      <c r="A151" s="192" t="s">
        <v>1098</v>
      </c>
      <c r="B151" s="164" t="s">
        <v>1099</v>
      </c>
      <c r="C151" s="183" t="str">
        <f t="shared" ref="C151:C214" si="30">IF(B151&lt;&gt;"",IF(AND(LEFT(B151,1)&gt;="0",LEFT(B151,1)&lt;="9"),LEFT(B151,7),""),"")</f>
        <v>1050724</v>
      </c>
      <c r="D151" s="182" t="str">
        <f t="shared" si="29"/>
        <v>Trường Trung cãp NghỄ</v>
      </c>
      <c r="E151" s="206"/>
      <c r="F151" s="207">
        <v>424</v>
      </c>
      <c r="G151" s="207"/>
      <c r="H151" s="205"/>
      <c r="I151" s="224">
        <f>J151-Sheet1!I972</f>
        <v>0</v>
      </c>
      <c r="J151" s="167">
        <v>10485549332</v>
      </c>
      <c r="K151" s="167">
        <v>26221332</v>
      </c>
      <c r="L151" s="167">
        <v>6756000000</v>
      </c>
      <c r="M151" s="168">
        <v>3703328000</v>
      </c>
      <c r="N151" s="168">
        <f t="shared" si="20"/>
        <v>10485549332</v>
      </c>
      <c r="O151" s="168"/>
      <c r="P151" s="167">
        <v>7226570726</v>
      </c>
      <c r="Q151" s="167">
        <f t="shared" si="21"/>
        <v>7226570726</v>
      </c>
      <c r="R151" s="168"/>
      <c r="T151" s="201">
        <f t="shared" si="22"/>
        <v>10485.549332000001</v>
      </c>
      <c r="U151" s="201">
        <f t="shared" si="28"/>
        <v>10485.549332000001</v>
      </c>
      <c r="V151" s="201">
        <f t="shared" si="28"/>
        <v>0</v>
      </c>
      <c r="W151" s="201">
        <f t="shared" si="28"/>
        <v>7226.5707259999999</v>
      </c>
      <c r="X151" s="201">
        <f t="shared" si="28"/>
        <v>7226.5707259999999</v>
      </c>
      <c r="Y151" s="201">
        <f t="shared" si="28"/>
        <v>0</v>
      </c>
    </row>
    <row r="152" spans="1:25" s="169" customFormat="1" ht="26.4">
      <c r="A152" s="192" t="s">
        <v>1102</v>
      </c>
      <c r="B152" s="176" t="s">
        <v>1103</v>
      </c>
      <c r="C152" s="183" t="str">
        <f t="shared" si="30"/>
        <v>1050726</v>
      </c>
      <c r="D152" s="182" t="str">
        <f t="shared" si="29"/>
        <v>Trung tâm Y tẽ huyện Kon Rẫy</v>
      </c>
      <c r="E152" s="206"/>
      <c r="F152" s="207">
        <v>424</v>
      </c>
      <c r="G152" s="207"/>
      <c r="H152" s="205"/>
      <c r="I152" s="224">
        <f>J152-Sheet1!I984</f>
        <v>0</v>
      </c>
      <c r="J152" s="167">
        <v>15653265169</v>
      </c>
      <c r="K152" s="166"/>
      <c r="L152" s="167">
        <v>15520964169</v>
      </c>
      <c r="M152" s="168">
        <v>132301000</v>
      </c>
      <c r="N152" s="168">
        <f t="shared" ref="N152:N215" si="31">J152-O152</f>
        <v>15653265169</v>
      </c>
      <c r="O152" s="168"/>
      <c r="P152" s="167">
        <v>15049982841</v>
      </c>
      <c r="Q152" s="167">
        <f t="shared" ref="Q152:Q205" si="32">P152-R152</f>
        <v>15049982841</v>
      </c>
      <c r="R152" s="168"/>
      <c r="T152" s="201">
        <f t="shared" ref="T152:T215" si="33">J152/1000000</f>
        <v>15653.265169</v>
      </c>
      <c r="U152" s="201">
        <f t="shared" ref="U152:Y167" si="34">N152/1000000</f>
        <v>15653.265169</v>
      </c>
      <c r="V152" s="201">
        <f t="shared" si="34"/>
        <v>0</v>
      </c>
      <c r="W152" s="201">
        <f t="shared" si="34"/>
        <v>15049.982840999999</v>
      </c>
      <c r="X152" s="201">
        <f t="shared" si="34"/>
        <v>15049.982840999999</v>
      </c>
      <c r="Y152" s="201">
        <f t="shared" si="34"/>
        <v>0</v>
      </c>
    </row>
    <row r="153" spans="1:25" s="169" customFormat="1" ht="13.8">
      <c r="A153" s="192" t="s">
        <v>1106</v>
      </c>
      <c r="B153" s="218" t="s">
        <v>1473</v>
      </c>
      <c r="C153" s="183" t="str">
        <f t="shared" si="30"/>
        <v>1053629</v>
      </c>
      <c r="D153" s="182" t="str">
        <f t="shared" si="29"/>
        <v>Công an tỉnh</v>
      </c>
      <c r="E153" s="206"/>
      <c r="F153" s="207">
        <v>560</v>
      </c>
      <c r="G153" s="207"/>
      <c r="H153" s="205"/>
      <c r="I153" s="224">
        <f>J153-Sheet1!I998</f>
        <v>0</v>
      </c>
      <c r="J153" s="167">
        <v>12781500000</v>
      </c>
      <c r="K153" s="167">
        <v>132000000</v>
      </c>
      <c r="L153" s="167">
        <v>9125000000</v>
      </c>
      <c r="M153" s="168">
        <v>3524500000</v>
      </c>
      <c r="N153" s="168">
        <f t="shared" si="31"/>
        <v>12781500000</v>
      </c>
      <c r="O153" s="168"/>
      <c r="P153" s="167">
        <v>10291500000</v>
      </c>
      <c r="Q153" s="167">
        <f t="shared" si="32"/>
        <v>10291500000</v>
      </c>
      <c r="R153" s="168"/>
      <c r="T153" s="201">
        <f t="shared" si="33"/>
        <v>12781.5</v>
      </c>
      <c r="U153" s="201">
        <f t="shared" si="34"/>
        <v>12781.5</v>
      </c>
      <c r="V153" s="201">
        <f t="shared" si="34"/>
        <v>0</v>
      </c>
      <c r="W153" s="201">
        <f t="shared" si="34"/>
        <v>10291.5</v>
      </c>
      <c r="X153" s="201">
        <f t="shared" si="34"/>
        <v>10291.5</v>
      </c>
      <c r="Y153" s="201">
        <f t="shared" si="34"/>
        <v>0</v>
      </c>
    </row>
    <row r="154" spans="1:25" s="169" customFormat="1" ht="13.8">
      <c r="A154" s="192" t="s">
        <v>1112</v>
      </c>
      <c r="B154" s="218" t="s">
        <v>1474</v>
      </c>
      <c r="C154" s="183" t="str">
        <f t="shared" si="30"/>
        <v>1053630</v>
      </c>
      <c r="D154" s="182" t="str">
        <f t="shared" si="29"/>
        <v>Bộ chỉ huy biên phòng tỉnh</v>
      </c>
      <c r="E154" s="206"/>
      <c r="F154" s="207">
        <v>599</v>
      </c>
      <c r="G154" s="207"/>
      <c r="H154" s="205"/>
      <c r="I154" s="224">
        <f>J154-Sheet1!I1005</f>
        <v>0</v>
      </c>
      <c r="J154" s="167">
        <v>43322000000</v>
      </c>
      <c r="K154" s="166"/>
      <c r="L154" s="167">
        <v>41545000000</v>
      </c>
      <c r="M154" s="168">
        <v>1777000000</v>
      </c>
      <c r="N154" s="168">
        <f t="shared" si="31"/>
        <v>43322000000</v>
      </c>
      <c r="O154" s="168"/>
      <c r="P154" s="167">
        <v>43322000000</v>
      </c>
      <c r="Q154" s="167">
        <f t="shared" si="32"/>
        <v>43322000000</v>
      </c>
      <c r="R154" s="168"/>
      <c r="T154" s="201">
        <f t="shared" si="33"/>
        <v>43322</v>
      </c>
      <c r="U154" s="201">
        <f t="shared" si="34"/>
        <v>43322</v>
      </c>
      <c r="V154" s="201">
        <f t="shared" si="34"/>
        <v>0</v>
      </c>
      <c r="W154" s="201">
        <f t="shared" si="34"/>
        <v>43322</v>
      </c>
      <c r="X154" s="201">
        <f t="shared" si="34"/>
        <v>43322</v>
      </c>
      <c r="Y154" s="201">
        <f t="shared" si="34"/>
        <v>0</v>
      </c>
    </row>
    <row r="155" spans="1:25" s="169" customFormat="1" ht="26.4">
      <c r="A155" s="192" t="s">
        <v>1116</v>
      </c>
      <c r="B155" s="170" t="s">
        <v>1117</v>
      </c>
      <c r="C155" s="183" t="str">
        <f t="shared" si="30"/>
        <v>1058267</v>
      </c>
      <c r="D155" s="182" t="str">
        <f t="shared" si="29"/>
        <v>Trường Chính tri tỉnh Kontum</v>
      </c>
      <c r="E155" s="206"/>
      <c r="F155" s="207">
        <v>509</v>
      </c>
      <c r="G155" s="207"/>
      <c r="H155" s="205"/>
      <c r="I155" s="224">
        <f>J155-Sheet1!I1010</f>
        <v>0</v>
      </c>
      <c r="J155" s="167">
        <v>7054900000</v>
      </c>
      <c r="K155" s="167">
        <v>1015200000</v>
      </c>
      <c r="L155" s="167">
        <v>5952000000</v>
      </c>
      <c r="M155" s="168">
        <v>87700000</v>
      </c>
      <c r="N155" s="168">
        <f t="shared" si="31"/>
        <v>7054900000</v>
      </c>
      <c r="O155" s="168"/>
      <c r="P155" s="167">
        <v>7016444403</v>
      </c>
      <c r="Q155" s="167">
        <f t="shared" si="32"/>
        <v>7016444403</v>
      </c>
      <c r="R155" s="168"/>
      <c r="T155" s="201">
        <f t="shared" si="33"/>
        <v>7054.9</v>
      </c>
      <c r="U155" s="201">
        <f t="shared" si="34"/>
        <v>7054.9</v>
      </c>
      <c r="V155" s="201">
        <f t="shared" si="34"/>
        <v>0</v>
      </c>
      <c r="W155" s="201">
        <f t="shared" si="34"/>
        <v>7016.4444030000004</v>
      </c>
      <c r="X155" s="201">
        <f t="shared" si="34"/>
        <v>7016.4444030000004</v>
      </c>
      <c r="Y155" s="201">
        <f t="shared" si="34"/>
        <v>0</v>
      </c>
    </row>
    <row r="156" spans="1:25" s="169" customFormat="1" ht="26.4">
      <c r="A156" s="192" t="s">
        <v>1119</v>
      </c>
      <c r="B156" s="165" t="s">
        <v>1120</v>
      </c>
      <c r="C156" s="183" t="str">
        <f t="shared" si="30"/>
        <v>1058269</v>
      </c>
      <c r="D156" s="182" t="str">
        <f t="shared" si="29"/>
        <v>SỜ Khoa học và Công nghệ :ỉnh Kontum</v>
      </c>
      <c r="E156" s="206"/>
      <c r="F156" s="207">
        <v>417</v>
      </c>
      <c r="G156" s="207"/>
      <c r="H156" s="205"/>
      <c r="I156" s="224">
        <f>J156-Sheet1!I1017</f>
        <v>0</v>
      </c>
      <c r="J156" s="167">
        <v>20147985360</v>
      </c>
      <c r="K156" s="167">
        <v>2791041360</v>
      </c>
      <c r="L156" s="167">
        <v>11210000000</v>
      </c>
      <c r="M156" s="168">
        <v>6146944000</v>
      </c>
      <c r="N156" s="168">
        <f t="shared" si="31"/>
        <v>20147985360</v>
      </c>
      <c r="O156" s="168"/>
      <c r="P156" s="167">
        <v>10107450166</v>
      </c>
      <c r="Q156" s="167">
        <f t="shared" si="32"/>
        <v>10107450166</v>
      </c>
      <c r="R156" s="168"/>
      <c r="T156" s="201">
        <f t="shared" si="33"/>
        <v>20147.985359999999</v>
      </c>
      <c r="U156" s="201">
        <f t="shared" si="34"/>
        <v>20147.985359999999</v>
      </c>
      <c r="V156" s="201">
        <f t="shared" si="34"/>
        <v>0</v>
      </c>
      <c r="W156" s="201">
        <f t="shared" si="34"/>
        <v>10107.450166000001</v>
      </c>
      <c r="X156" s="201">
        <f t="shared" si="34"/>
        <v>10107.450166000001</v>
      </c>
      <c r="Y156" s="201">
        <f t="shared" si="34"/>
        <v>0</v>
      </c>
    </row>
    <row r="157" spans="1:25" s="169" customFormat="1" ht="26.4">
      <c r="A157" s="192" t="s">
        <v>1123</v>
      </c>
      <c r="B157" s="165" t="s">
        <v>1124</v>
      </c>
      <c r="C157" s="183" t="str">
        <f t="shared" si="30"/>
        <v>1060648</v>
      </c>
      <c r="D157" s="182" t="str">
        <f t="shared" si="29"/>
        <v>BQL Rừng phòng hộ Đăk Long</v>
      </c>
      <c r="E157" s="206"/>
      <c r="F157" s="207">
        <v>412</v>
      </c>
      <c r="G157" s="207"/>
      <c r="H157" s="205"/>
      <c r="I157" s="224">
        <f>J157-Sheet1!I1027</f>
        <v>0</v>
      </c>
      <c r="J157" s="167">
        <v>4421000000</v>
      </c>
      <c r="K157" s="166"/>
      <c r="L157" s="167">
        <v>2758000000</v>
      </c>
      <c r="M157" s="168">
        <v>1663000000</v>
      </c>
      <c r="N157" s="168">
        <f t="shared" si="31"/>
        <v>4421000000</v>
      </c>
      <c r="O157" s="168"/>
      <c r="P157" s="167">
        <v>4421000000</v>
      </c>
      <c r="Q157" s="167">
        <f t="shared" si="32"/>
        <v>4421000000</v>
      </c>
      <c r="R157" s="168"/>
      <c r="T157" s="201">
        <f t="shared" si="33"/>
        <v>4421</v>
      </c>
      <c r="U157" s="201">
        <f t="shared" si="34"/>
        <v>4421</v>
      </c>
      <c r="V157" s="201">
        <f t="shared" si="34"/>
        <v>0</v>
      </c>
      <c r="W157" s="201">
        <f t="shared" si="34"/>
        <v>4421</v>
      </c>
      <c r="X157" s="201">
        <f t="shared" si="34"/>
        <v>4421</v>
      </c>
      <c r="Y157" s="201">
        <f t="shared" si="34"/>
        <v>0</v>
      </c>
    </row>
    <row r="158" spans="1:25" s="169" customFormat="1" ht="39.6">
      <c r="A158" s="192" t="s">
        <v>1127</v>
      </c>
      <c r="B158" s="165" t="s">
        <v>1128</v>
      </c>
      <c r="C158" s="183" t="str">
        <f t="shared" si="30"/>
        <v>1060884</v>
      </c>
      <c r="D158" s="182" t="str">
        <f t="shared" si="29"/>
        <v>Trung Tâm Khuyẽn Công -Xúc tiễn thương mại và Tư vãn công nghiệp tỉnh Kon Tum</v>
      </c>
      <c r="E158" s="206"/>
      <c r="F158" s="207">
        <v>416</v>
      </c>
      <c r="G158" s="207"/>
      <c r="H158" s="205"/>
      <c r="I158" s="224">
        <f>J158-Sheet1!I1034</f>
        <v>0</v>
      </c>
      <c r="J158" s="167">
        <v>2767971685</v>
      </c>
      <c r="K158" s="167">
        <v>646685</v>
      </c>
      <c r="L158" s="167">
        <v>3590000000</v>
      </c>
      <c r="M158" s="168">
        <v>-822675000</v>
      </c>
      <c r="N158" s="168">
        <f t="shared" si="31"/>
        <v>2767971685</v>
      </c>
      <c r="O158" s="168"/>
      <c r="P158" s="167">
        <v>2634948685</v>
      </c>
      <c r="Q158" s="167">
        <f t="shared" si="32"/>
        <v>2634948685</v>
      </c>
      <c r="R158" s="168"/>
      <c r="T158" s="201">
        <f t="shared" si="33"/>
        <v>2767.971685</v>
      </c>
      <c r="U158" s="201">
        <f t="shared" si="34"/>
        <v>2767.971685</v>
      </c>
      <c r="V158" s="201">
        <f t="shared" si="34"/>
        <v>0</v>
      </c>
      <c r="W158" s="201">
        <f t="shared" si="34"/>
        <v>2634.9486849999998</v>
      </c>
      <c r="X158" s="201">
        <f t="shared" si="34"/>
        <v>2634.9486849999998</v>
      </c>
      <c r="Y158" s="201">
        <f t="shared" si="34"/>
        <v>0</v>
      </c>
    </row>
    <row r="159" spans="1:25" s="169" customFormat="1" ht="26.4">
      <c r="A159" s="192" t="s">
        <v>1130</v>
      </c>
      <c r="B159" s="165" t="s">
        <v>1131</v>
      </c>
      <c r="C159" s="183" t="str">
        <f t="shared" si="30"/>
        <v>1061580</v>
      </c>
      <c r="D159" s="182" t="str">
        <f t="shared" si="29"/>
        <v>Trường Dân tộc Nội trú Đakglei</v>
      </c>
      <c r="E159" s="206"/>
      <c r="F159" s="207">
        <v>422</v>
      </c>
      <c r="G159" s="207"/>
      <c r="H159" s="205"/>
      <c r="I159" s="224">
        <f>J159-Sheet1!I1041</f>
        <v>0</v>
      </c>
      <c r="J159" s="167">
        <v>9919142424</v>
      </c>
      <c r="K159" s="167">
        <v>28570424</v>
      </c>
      <c r="L159" s="167">
        <v>9715652000</v>
      </c>
      <c r="M159" s="168">
        <v>174920000</v>
      </c>
      <c r="N159" s="168">
        <f t="shared" si="31"/>
        <v>9919142424</v>
      </c>
      <c r="O159" s="168"/>
      <c r="P159" s="167">
        <v>9552136191</v>
      </c>
      <c r="Q159" s="167">
        <f t="shared" si="32"/>
        <v>9552136191</v>
      </c>
      <c r="R159" s="168"/>
      <c r="T159" s="201">
        <f t="shared" si="33"/>
        <v>9919.1424239999997</v>
      </c>
      <c r="U159" s="201">
        <f t="shared" si="34"/>
        <v>9919.1424239999997</v>
      </c>
      <c r="V159" s="201">
        <f t="shared" si="34"/>
        <v>0</v>
      </c>
      <c r="W159" s="201">
        <f t="shared" si="34"/>
        <v>9552.1361909999996</v>
      </c>
      <c r="X159" s="201">
        <f t="shared" si="34"/>
        <v>9552.1361909999996</v>
      </c>
      <c r="Y159" s="201">
        <f t="shared" si="34"/>
        <v>0</v>
      </c>
    </row>
    <row r="160" spans="1:25" s="169" customFormat="1" ht="26.4">
      <c r="A160" s="192" t="s">
        <v>1133</v>
      </c>
      <c r="B160" s="165" t="s">
        <v>1134</v>
      </c>
      <c r="C160" s="183" t="str">
        <f t="shared" si="30"/>
        <v>1063790</v>
      </c>
      <c r="D160" s="182" t="str">
        <f t="shared" si="29"/>
        <v>Ban Quản lý Rừng phòng hộ Đăk Ang</v>
      </c>
      <c r="E160" s="206"/>
      <c r="F160" s="207">
        <v>412</v>
      </c>
      <c r="G160" s="207"/>
      <c r="H160" s="205"/>
      <c r="I160" s="224">
        <f>J160-Sheet1!I1051</f>
        <v>0</v>
      </c>
      <c r="J160" s="167">
        <v>1899200000</v>
      </c>
      <c r="K160" s="166"/>
      <c r="L160" s="167">
        <v>1341000000</v>
      </c>
      <c r="M160" s="168">
        <v>558200000</v>
      </c>
      <c r="N160" s="168">
        <f t="shared" si="31"/>
        <v>1899200000</v>
      </c>
      <c r="O160" s="168"/>
      <c r="P160" s="167">
        <v>1898200000</v>
      </c>
      <c r="Q160" s="167">
        <f t="shared" si="32"/>
        <v>1898200000</v>
      </c>
      <c r="R160" s="168"/>
      <c r="T160" s="201">
        <f t="shared" si="33"/>
        <v>1899.2</v>
      </c>
      <c r="U160" s="201">
        <f t="shared" si="34"/>
        <v>1899.2</v>
      </c>
      <c r="V160" s="201">
        <f t="shared" si="34"/>
        <v>0</v>
      </c>
      <c r="W160" s="201">
        <f t="shared" si="34"/>
        <v>1898.2</v>
      </c>
      <c r="X160" s="201">
        <f t="shared" si="34"/>
        <v>1898.2</v>
      </c>
      <c r="Y160" s="201">
        <f t="shared" si="34"/>
        <v>0</v>
      </c>
    </row>
    <row r="161" spans="1:25" s="169" customFormat="1" ht="26.4">
      <c r="A161" s="192" t="s">
        <v>1137</v>
      </c>
      <c r="B161" s="176" t="s">
        <v>1138</v>
      </c>
      <c r="C161" s="183" t="str">
        <f t="shared" si="30"/>
        <v>1063795</v>
      </c>
      <c r="D161" s="182" t="str">
        <f t="shared" si="29"/>
        <v>SỜ Thông tin và TruyỄn rhông</v>
      </c>
      <c r="E161" s="206"/>
      <c r="F161" s="207">
        <v>427</v>
      </c>
      <c r="G161" s="207"/>
      <c r="H161" s="205"/>
      <c r="I161" s="224">
        <f>J161-Sheet1!I1059</f>
        <v>0</v>
      </c>
      <c r="J161" s="167">
        <v>10529498297</v>
      </c>
      <c r="K161" s="167">
        <v>200033297</v>
      </c>
      <c r="L161" s="167">
        <v>6519000000</v>
      </c>
      <c r="M161" s="168">
        <v>3810465000</v>
      </c>
      <c r="N161" s="168">
        <f t="shared" si="31"/>
        <v>10165498297</v>
      </c>
      <c r="O161" s="168">
        <f>O163</f>
        <v>364000000</v>
      </c>
      <c r="P161" s="167">
        <v>9091095731</v>
      </c>
      <c r="Q161" s="167">
        <f t="shared" si="32"/>
        <v>8755885235</v>
      </c>
      <c r="R161" s="168">
        <f>R163</f>
        <v>335210496</v>
      </c>
      <c r="T161" s="201">
        <f t="shared" si="33"/>
        <v>10529.498297</v>
      </c>
      <c r="U161" s="201">
        <f t="shared" si="34"/>
        <v>10165.498297</v>
      </c>
      <c r="V161" s="201">
        <f t="shared" si="34"/>
        <v>364</v>
      </c>
      <c r="W161" s="201">
        <f t="shared" si="34"/>
        <v>9091.0957309999994</v>
      </c>
      <c r="X161" s="201">
        <f t="shared" si="34"/>
        <v>8755.8852349999997</v>
      </c>
      <c r="Y161" s="201">
        <f t="shared" si="34"/>
        <v>335.21049599999998</v>
      </c>
    </row>
    <row r="162" spans="1:25" s="169" customFormat="1" ht="13.8">
      <c r="A162" s="192"/>
      <c r="B162" s="164" t="s">
        <v>675</v>
      </c>
      <c r="C162" s="183" t="str">
        <f t="shared" si="30"/>
        <v/>
      </c>
      <c r="D162" s="182" t="s">
        <v>1464</v>
      </c>
      <c r="E162" s="206"/>
      <c r="F162" s="207"/>
      <c r="G162" s="207"/>
      <c r="H162" s="205"/>
      <c r="I162" s="205"/>
      <c r="J162" s="167">
        <v>10165498297</v>
      </c>
      <c r="K162" s="167">
        <v>33297</v>
      </c>
      <c r="L162" s="167">
        <v>6519000000</v>
      </c>
      <c r="M162" s="168">
        <v>3646465000</v>
      </c>
      <c r="N162" s="168">
        <f t="shared" si="31"/>
        <v>10165498297</v>
      </c>
      <c r="O162" s="168"/>
      <c r="P162" s="167">
        <v>8755885235</v>
      </c>
      <c r="Q162" s="167">
        <f t="shared" si="32"/>
        <v>8755885235</v>
      </c>
      <c r="R162" s="168"/>
      <c r="T162" s="201">
        <f t="shared" si="33"/>
        <v>10165.498297</v>
      </c>
      <c r="U162" s="201">
        <f t="shared" si="34"/>
        <v>10165.498297</v>
      </c>
      <c r="V162" s="201">
        <f t="shared" si="34"/>
        <v>0</v>
      </c>
      <c r="W162" s="201">
        <f t="shared" si="34"/>
        <v>8755.8852349999997</v>
      </c>
      <c r="X162" s="201">
        <f t="shared" si="34"/>
        <v>8755.8852349999997</v>
      </c>
      <c r="Y162" s="201">
        <f t="shared" si="34"/>
        <v>0</v>
      </c>
    </row>
    <row r="163" spans="1:25" s="169" customFormat="1" ht="13.8">
      <c r="A163" s="195"/>
      <c r="B163" s="188"/>
      <c r="C163" s="183" t="str">
        <f t="shared" si="30"/>
        <v/>
      </c>
      <c r="D163" s="182" t="s">
        <v>1466</v>
      </c>
      <c r="E163" s="192" t="s">
        <v>681</v>
      </c>
      <c r="F163" s="192" t="s">
        <v>1140</v>
      </c>
      <c r="G163" s="192" t="s">
        <v>1142</v>
      </c>
      <c r="H163" s="210" t="s">
        <v>1451</v>
      </c>
      <c r="I163" s="210"/>
      <c r="J163" s="167">
        <v>364000000</v>
      </c>
      <c r="K163" s="166"/>
      <c r="L163" s="166"/>
      <c r="M163" s="168">
        <v>364000000</v>
      </c>
      <c r="N163" s="168">
        <f t="shared" si="31"/>
        <v>0</v>
      </c>
      <c r="O163" s="168">
        <f>J163</f>
        <v>364000000</v>
      </c>
      <c r="P163" s="167">
        <v>335210496</v>
      </c>
      <c r="Q163" s="167">
        <f t="shared" si="32"/>
        <v>0</v>
      </c>
      <c r="R163" s="168">
        <f>P163</f>
        <v>335210496</v>
      </c>
      <c r="T163" s="201">
        <f t="shared" si="33"/>
        <v>364</v>
      </c>
      <c r="U163" s="201">
        <f t="shared" si="34"/>
        <v>0</v>
      </c>
      <c r="V163" s="201">
        <f t="shared" si="34"/>
        <v>364</v>
      </c>
      <c r="W163" s="201">
        <f t="shared" si="34"/>
        <v>335.21049599999998</v>
      </c>
      <c r="X163" s="201">
        <f t="shared" si="34"/>
        <v>0</v>
      </c>
      <c r="Y163" s="201">
        <f t="shared" si="34"/>
        <v>335.21049599999998</v>
      </c>
    </row>
    <row r="164" spans="1:25" s="169" customFormat="1" ht="26.4">
      <c r="A164" s="192" t="s">
        <v>1146</v>
      </c>
      <c r="B164" s="176" t="s">
        <v>1147</v>
      </c>
      <c r="C164" s="183" t="str">
        <f t="shared" si="30"/>
        <v>1063796</v>
      </c>
      <c r="D164" s="182" t="str">
        <f t="shared" si="29"/>
        <v>Trung Tâm Y tẽ huyện Tu \/lơ Rông</v>
      </c>
      <c r="E164" s="206"/>
      <c r="F164" s="207">
        <v>423</v>
      </c>
      <c r="G164" s="207"/>
      <c r="H164" s="205"/>
      <c r="I164" s="224">
        <f>J164-Sheet1!I1076</f>
        <v>0</v>
      </c>
      <c r="J164" s="167">
        <v>15993039189</v>
      </c>
      <c r="K164" s="167">
        <v>144800000</v>
      </c>
      <c r="L164" s="167">
        <v>15270427189</v>
      </c>
      <c r="M164" s="168">
        <v>577812000</v>
      </c>
      <c r="N164" s="168">
        <f t="shared" si="31"/>
        <v>15993039189</v>
      </c>
      <c r="O164" s="168"/>
      <c r="P164" s="167">
        <v>15513181899</v>
      </c>
      <c r="Q164" s="167">
        <f t="shared" si="32"/>
        <v>15513181899</v>
      </c>
      <c r="R164" s="168"/>
      <c r="T164" s="201">
        <f t="shared" si="33"/>
        <v>15993.039188999999</v>
      </c>
      <c r="U164" s="201">
        <f t="shared" si="34"/>
        <v>15993.039188999999</v>
      </c>
      <c r="V164" s="201">
        <f t="shared" si="34"/>
        <v>0</v>
      </c>
      <c r="W164" s="201">
        <f t="shared" si="34"/>
        <v>15513.181898999999</v>
      </c>
      <c r="X164" s="201">
        <f t="shared" si="34"/>
        <v>15513.181898999999</v>
      </c>
      <c r="Y164" s="201">
        <f t="shared" si="34"/>
        <v>0</v>
      </c>
    </row>
    <row r="165" spans="1:25" s="169" customFormat="1" ht="26.4">
      <c r="A165" s="192" t="s">
        <v>1150</v>
      </c>
      <c r="B165" s="165" t="s">
        <v>1151</v>
      </c>
      <c r="C165" s="183" t="str">
        <f t="shared" si="30"/>
        <v>1063797</v>
      </c>
      <c r="D165" s="182" t="str">
        <f t="shared" si="29"/>
        <v>Hạt Kiểm lâm huyện Tu Mơ Rông</v>
      </c>
      <c r="E165" s="206"/>
      <c r="F165" s="207">
        <v>412</v>
      </c>
      <c r="G165" s="207"/>
      <c r="H165" s="205"/>
      <c r="I165" s="224">
        <f>J165-Sheet1!I1090</f>
        <v>0</v>
      </c>
      <c r="J165" s="167">
        <v>2855100000</v>
      </c>
      <c r="K165" s="166"/>
      <c r="L165" s="167">
        <v>2760100000</v>
      </c>
      <c r="M165" s="168">
        <v>95000000</v>
      </c>
      <c r="N165" s="168">
        <f t="shared" si="31"/>
        <v>2855100000</v>
      </c>
      <c r="O165" s="168"/>
      <c r="P165" s="167">
        <v>2855100000</v>
      </c>
      <c r="Q165" s="167">
        <f t="shared" si="32"/>
        <v>2855100000</v>
      </c>
      <c r="R165" s="168"/>
      <c r="T165" s="201">
        <f t="shared" si="33"/>
        <v>2855.1</v>
      </c>
      <c r="U165" s="201">
        <f t="shared" si="34"/>
        <v>2855.1</v>
      </c>
      <c r="V165" s="201">
        <f t="shared" si="34"/>
        <v>0</v>
      </c>
      <c r="W165" s="201">
        <f t="shared" si="34"/>
        <v>2855.1</v>
      </c>
      <c r="X165" s="201">
        <f t="shared" si="34"/>
        <v>2855.1</v>
      </c>
      <c r="Y165" s="201">
        <f t="shared" si="34"/>
        <v>0</v>
      </c>
    </row>
    <row r="166" spans="1:25" s="169" customFormat="1" ht="27.6">
      <c r="A166" s="192" t="s">
        <v>1153</v>
      </c>
      <c r="B166" s="165" t="s">
        <v>1154</v>
      </c>
      <c r="C166" s="183" t="str">
        <f t="shared" si="30"/>
        <v>1063798</v>
      </c>
      <c r="D166" s="182" t="str">
        <f t="shared" si="29"/>
        <v>Trường Trung học PhS thông Nguyễn Trãi - huyện Ngọc Hồi</v>
      </c>
      <c r="E166" s="206"/>
      <c r="F166" s="207">
        <v>422</v>
      </c>
      <c r="G166" s="207"/>
      <c r="H166" s="205"/>
      <c r="I166" s="224">
        <f>J166-Sheet1!I1098</f>
        <v>0</v>
      </c>
      <c r="J166" s="167">
        <v>6347944000</v>
      </c>
      <c r="K166" s="166"/>
      <c r="L166" s="167">
        <v>6247081000</v>
      </c>
      <c r="M166" s="168">
        <v>100863000</v>
      </c>
      <c r="N166" s="168">
        <f t="shared" si="31"/>
        <v>6347944000</v>
      </c>
      <c r="O166" s="168"/>
      <c r="P166" s="167">
        <v>6347014500</v>
      </c>
      <c r="Q166" s="167">
        <f t="shared" si="32"/>
        <v>6347014500</v>
      </c>
      <c r="R166" s="168"/>
      <c r="T166" s="201">
        <f t="shared" si="33"/>
        <v>6347.9440000000004</v>
      </c>
      <c r="U166" s="201">
        <f t="shared" si="34"/>
        <v>6347.9440000000004</v>
      </c>
      <c r="V166" s="201">
        <f t="shared" si="34"/>
        <v>0</v>
      </c>
      <c r="W166" s="201">
        <f t="shared" si="34"/>
        <v>6347.0145000000002</v>
      </c>
      <c r="X166" s="201">
        <f t="shared" si="34"/>
        <v>6347.0145000000002</v>
      </c>
      <c r="Y166" s="201">
        <f t="shared" si="34"/>
        <v>0</v>
      </c>
    </row>
    <row r="167" spans="1:25" s="169" customFormat="1" ht="13.8">
      <c r="A167" s="192" t="s">
        <v>1156</v>
      </c>
      <c r="B167" s="170" t="s">
        <v>1157</v>
      </c>
      <c r="C167" s="183" t="str">
        <f t="shared" si="30"/>
        <v>1064680</v>
      </c>
      <c r="D167" s="182" t="str">
        <f t="shared" si="29"/>
        <v>SỜ Tư Pháp</v>
      </c>
      <c r="E167" s="206"/>
      <c r="F167" s="207">
        <v>414</v>
      </c>
      <c r="G167" s="207"/>
      <c r="H167" s="205"/>
      <c r="I167" s="224">
        <f>J167-Sheet1!I1107</f>
        <v>0</v>
      </c>
      <c r="J167" s="167">
        <v>5453607532</v>
      </c>
      <c r="K167" s="167">
        <v>169397532</v>
      </c>
      <c r="L167" s="167">
        <v>5154842000</v>
      </c>
      <c r="M167" s="168">
        <v>129368000</v>
      </c>
      <c r="N167" s="168">
        <f t="shared" si="31"/>
        <v>5453607532</v>
      </c>
      <c r="O167" s="168"/>
      <c r="P167" s="167">
        <v>5284987032</v>
      </c>
      <c r="Q167" s="167">
        <f t="shared" si="32"/>
        <v>5284987032</v>
      </c>
      <c r="R167" s="168"/>
      <c r="T167" s="201">
        <f t="shared" si="33"/>
        <v>5453.607532</v>
      </c>
      <c r="U167" s="201">
        <f t="shared" si="34"/>
        <v>5453.607532</v>
      </c>
      <c r="V167" s="201">
        <f t="shared" si="34"/>
        <v>0</v>
      </c>
      <c r="W167" s="201">
        <f t="shared" si="34"/>
        <v>5284.987032</v>
      </c>
      <c r="X167" s="201">
        <f t="shared" si="34"/>
        <v>5284.987032</v>
      </c>
      <c r="Y167" s="201">
        <f t="shared" si="34"/>
        <v>0</v>
      </c>
    </row>
    <row r="168" spans="1:25" s="169" customFormat="1" ht="39.6">
      <c r="A168" s="192" t="s">
        <v>1159</v>
      </c>
      <c r="B168" s="165" t="s">
        <v>1160</v>
      </c>
      <c r="C168" s="183" t="str">
        <f t="shared" si="30"/>
        <v>1065149</v>
      </c>
      <c r="D168" s="182" t="str">
        <f t="shared" si="29"/>
        <v>Trung Tâm ứng dụng Tiẽn JỘ Khoa Học và Công nghệ Kon Tum</v>
      </c>
      <c r="E168" s="206"/>
      <c r="F168" s="207">
        <v>417</v>
      </c>
      <c r="G168" s="207"/>
      <c r="H168" s="205"/>
      <c r="I168" s="224">
        <f>J168-Sheet1!I1116</f>
        <v>0</v>
      </c>
      <c r="J168" s="167">
        <v>1405882090</v>
      </c>
      <c r="K168" s="167">
        <v>65282090</v>
      </c>
      <c r="L168" s="167">
        <v>1338900000</v>
      </c>
      <c r="M168" s="168">
        <v>1700000</v>
      </c>
      <c r="N168" s="168">
        <f t="shared" si="31"/>
        <v>1405882090</v>
      </c>
      <c r="O168" s="168"/>
      <c r="P168" s="167">
        <v>1337300106</v>
      </c>
      <c r="Q168" s="167">
        <f t="shared" si="32"/>
        <v>1337300106</v>
      </c>
      <c r="R168" s="168"/>
      <c r="T168" s="201">
        <f t="shared" si="33"/>
        <v>1405.8820900000001</v>
      </c>
      <c r="U168" s="201">
        <f t="shared" ref="U168:Y183" si="35">N168/1000000</f>
        <v>1405.8820900000001</v>
      </c>
      <c r="V168" s="201">
        <f t="shared" si="35"/>
        <v>0</v>
      </c>
      <c r="W168" s="201">
        <f t="shared" si="35"/>
        <v>1337.3001059999999</v>
      </c>
      <c r="X168" s="201">
        <f t="shared" si="35"/>
        <v>1337.3001059999999</v>
      </c>
      <c r="Y168" s="201">
        <f t="shared" si="35"/>
        <v>0</v>
      </c>
    </row>
    <row r="169" spans="1:25" s="169" customFormat="1" ht="26.4">
      <c r="A169" s="192" t="s">
        <v>1162</v>
      </c>
      <c r="B169" s="165" t="s">
        <v>1163</v>
      </c>
      <c r="C169" s="183" t="str">
        <f t="shared" si="30"/>
        <v>1065150</v>
      </c>
      <c r="D169" s="182" t="str">
        <f t="shared" si="29"/>
        <v>Chi cục Tiêu chuẫn Đo lường Chăt lượng</v>
      </c>
      <c r="E169" s="206"/>
      <c r="F169" s="207">
        <v>417</v>
      </c>
      <c r="G169" s="207"/>
      <c r="H169" s="205"/>
      <c r="I169" s="224">
        <f>J169-Sheet1!I1124</f>
        <v>0</v>
      </c>
      <c r="J169" s="167">
        <v>1371800000</v>
      </c>
      <c r="K169" s="166"/>
      <c r="L169" s="167">
        <v>1348000000</v>
      </c>
      <c r="M169" s="168">
        <v>23800000</v>
      </c>
      <c r="N169" s="168">
        <f t="shared" si="31"/>
        <v>1371800000</v>
      </c>
      <c r="O169" s="168"/>
      <c r="P169" s="167">
        <v>1161647505</v>
      </c>
      <c r="Q169" s="167">
        <f t="shared" si="32"/>
        <v>1161647505</v>
      </c>
      <c r="R169" s="168"/>
      <c r="T169" s="201">
        <f t="shared" si="33"/>
        <v>1371.8</v>
      </c>
      <c r="U169" s="201">
        <f t="shared" si="35"/>
        <v>1371.8</v>
      </c>
      <c r="V169" s="201">
        <f t="shared" si="35"/>
        <v>0</v>
      </c>
      <c r="W169" s="201">
        <f t="shared" si="35"/>
        <v>1161.6475049999999</v>
      </c>
      <c r="X169" s="201">
        <f t="shared" si="35"/>
        <v>1161.6475049999999</v>
      </c>
      <c r="Y169" s="201">
        <f t="shared" si="35"/>
        <v>0</v>
      </c>
    </row>
    <row r="170" spans="1:25" s="169" customFormat="1" ht="13.8">
      <c r="A170" s="192" t="s">
        <v>1165</v>
      </c>
      <c r="B170" s="170" t="s">
        <v>1166</v>
      </c>
      <c r="C170" s="183" t="str">
        <f t="shared" si="30"/>
        <v>1065152</v>
      </c>
      <c r="D170" s="182" t="str">
        <f t="shared" si="29"/>
        <v>SỜ Tài chính tỉnh Kontum</v>
      </c>
      <c r="E170" s="206"/>
      <c r="F170" s="207">
        <v>418</v>
      </c>
      <c r="G170" s="207"/>
      <c r="H170" s="205"/>
      <c r="I170" s="224">
        <f>J170-Sheet1!I1131</f>
        <v>0</v>
      </c>
      <c r="J170" s="167">
        <v>8988200000</v>
      </c>
      <c r="K170" s="166"/>
      <c r="L170" s="167">
        <v>8542000000</v>
      </c>
      <c r="M170" s="168">
        <v>446200000</v>
      </c>
      <c r="N170" s="168">
        <f t="shared" si="31"/>
        <v>8988200000</v>
      </c>
      <c r="O170" s="168"/>
      <c r="P170" s="167">
        <v>8988200000</v>
      </c>
      <c r="Q170" s="167">
        <f t="shared" si="32"/>
        <v>8988200000</v>
      </c>
      <c r="R170" s="168"/>
      <c r="T170" s="201">
        <f t="shared" si="33"/>
        <v>8988.2000000000007</v>
      </c>
      <c r="U170" s="201">
        <f t="shared" si="35"/>
        <v>8988.2000000000007</v>
      </c>
      <c r="V170" s="201">
        <f t="shared" si="35"/>
        <v>0</v>
      </c>
      <c r="W170" s="201">
        <f t="shared" si="35"/>
        <v>8988.2000000000007</v>
      </c>
      <c r="X170" s="201">
        <f t="shared" si="35"/>
        <v>8988.2000000000007</v>
      </c>
      <c r="Y170" s="201">
        <f t="shared" si="35"/>
        <v>0</v>
      </c>
    </row>
    <row r="171" spans="1:25" s="169" customFormat="1" ht="26.4">
      <c r="A171" s="192" t="s">
        <v>1169</v>
      </c>
      <c r="B171" s="165" t="s">
        <v>1170</v>
      </c>
      <c r="C171" s="183" t="str">
        <f t="shared" si="30"/>
        <v>1067980</v>
      </c>
      <c r="D171" s="182" t="str">
        <f t="shared" si="29"/>
        <v>Trường Trung học PhS thông Lê Lợi</v>
      </c>
      <c r="E171" s="206"/>
      <c r="F171" s="207">
        <v>422</v>
      </c>
      <c r="G171" s="207"/>
      <c r="H171" s="205"/>
      <c r="I171" s="224">
        <f>J171-Sheet1!I1138</f>
        <v>0</v>
      </c>
      <c r="J171" s="167">
        <v>7747523000</v>
      </c>
      <c r="K171" s="167">
        <v>145000000</v>
      </c>
      <c r="L171" s="167">
        <v>7527013000</v>
      </c>
      <c r="M171" s="168">
        <v>75510000</v>
      </c>
      <c r="N171" s="168">
        <f t="shared" si="31"/>
        <v>7747523000</v>
      </c>
      <c r="O171" s="168"/>
      <c r="P171" s="167">
        <v>7741339129</v>
      </c>
      <c r="Q171" s="167">
        <f t="shared" si="32"/>
        <v>7741339129</v>
      </c>
      <c r="R171" s="168"/>
      <c r="T171" s="201">
        <f t="shared" si="33"/>
        <v>7747.5230000000001</v>
      </c>
      <c r="U171" s="201">
        <f t="shared" si="35"/>
        <v>7747.5230000000001</v>
      </c>
      <c r="V171" s="201">
        <f t="shared" si="35"/>
        <v>0</v>
      </c>
      <c r="W171" s="201">
        <f t="shared" si="35"/>
        <v>7741.339129</v>
      </c>
      <c r="X171" s="201">
        <f t="shared" si="35"/>
        <v>7741.339129</v>
      </c>
      <c r="Y171" s="201">
        <f t="shared" si="35"/>
        <v>0</v>
      </c>
    </row>
    <row r="172" spans="1:25" s="169" customFormat="1" ht="26.4">
      <c r="A172" s="192" t="s">
        <v>1172</v>
      </c>
      <c r="B172" s="165" t="s">
        <v>1173</v>
      </c>
      <c r="C172" s="183" t="str">
        <f t="shared" si="30"/>
        <v>1068011</v>
      </c>
      <c r="D172" s="182" t="str">
        <f t="shared" si="29"/>
        <v>Chi cục Kiểm lâm tỉnh Kon Tum</v>
      </c>
      <c r="E172" s="206"/>
      <c r="F172" s="207">
        <v>412</v>
      </c>
      <c r="G172" s="207"/>
      <c r="H172" s="205"/>
      <c r="I172" s="224">
        <f>J172-Sheet1!I1147</f>
        <v>0</v>
      </c>
      <c r="J172" s="167">
        <v>11165089508</v>
      </c>
      <c r="K172" s="167">
        <v>1644439508</v>
      </c>
      <c r="L172" s="167">
        <v>9170400000</v>
      </c>
      <c r="M172" s="168">
        <v>350250000</v>
      </c>
      <c r="N172" s="168">
        <f t="shared" si="31"/>
        <v>11165089508</v>
      </c>
      <c r="O172" s="168"/>
      <c r="P172" s="167">
        <v>9181406623</v>
      </c>
      <c r="Q172" s="167">
        <f t="shared" si="32"/>
        <v>9181406623</v>
      </c>
      <c r="R172" s="168"/>
      <c r="T172" s="201">
        <f t="shared" si="33"/>
        <v>11165.089507999999</v>
      </c>
      <c r="U172" s="201">
        <f t="shared" si="35"/>
        <v>11165.089507999999</v>
      </c>
      <c r="V172" s="201">
        <f t="shared" si="35"/>
        <v>0</v>
      </c>
      <c r="W172" s="201">
        <f t="shared" si="35"/>
        <v>9181.4066230000008</v>
      </c>
      <c r="X172" s="201">
        <f t="shared" si="35"/>
        <v>9181.4066230000008</v>
      </c>
      <c r="Y172" s="201">
        <f t="shared" si="35"/>
        <v>0</v>
      </c>
    </row>
    <row r="173" spans="1:25" s="169" customFormat="1" ht="26.4">
      <c r="A173" s="192" t="s">
        <v>1175</v>
      </c>
      <c r="B173" s="165" t="s">
        <v>1176</v>
      </c>
      <c r="C173" s="183" t="str">
        <f t="shared" si="30"/>
        <v>1078282</v>
      </c>
      <c r="D173" s="182" t="str">
        <f t="shared" si="29"/>
        <v>Hội nạn nhân chăt độc Da cam - Điôxin Kontum</v>
      </c>
      <c r="E173" s="206"/>
      <c r="F173" s="207">
        <v>536</v>
      </c>
      <c r="G173" s="207"/>
      <c r="H173" s="205"/>
      <c r="I173" s="224">
        <f>J173-Sheet1!I1156</f>
        <v>0</v>
      </c>
      <c r="J173" s="167">
        <v>378700000</v>
      </c>
      <c r="K173" s="166"/>
      <c r="L173" s="167">
        <v>376000000</v>
      </c>
      <c r="M173" s="168">
        <v>2700000</v>
      </c>
      <c r="N173" s="168">
        <f t="shared" si="31"/>
        <v>378700000</v>
      </c>
      <c r="O173" s="168"/>
      <c r="P173" s="167">
        <v>378700000</v>
      </c>
      <c r="Q173" s="167">
        <f t="shared" si="32"/>
        <v>378700000</v>
      </c>
      <c r="R173" s="168"/>
      <c r="T173" s="201">
        <f t="shared" si="33"/>
        <v>378.7</v>
      </c>
      <c r="U173" s="201">
        <f t="shared" si="35"/>
        <v>378.7</v>
      </c>
      <c r="V173" s="201">
        <f t="shared" si="35"/>
        <v>0</v>
      </c>
      <c r="W173" s="201">
        <f t="shared" si="35"/>
        <v>378.7</v>
      </c>
      <c r="X173" s="201">
        <f t="shared" si="35"/>
        <v>378.7</v>
      </c>
      <c r="Y173" s="201">
        <f t="shared" si="35"/>
        <v>0</v>
      </c>
    </row>
    <row r="174" spans="1:25" s="169" customFormat="1" ht="26.4">
      <c r="A174" s="192" t="s">
        <v>1179</v>
      </c>
      <c r="B174" s="170" t="s">
        <v>1180</v>
      </c>
      <c r="C174" s="183" t="str">
        <f t="shared" si="30"/>
        <v>1078283</v>
      </c>
      <c r="D174" s="182" t="str">
        <f t="shared" si="29"/>
        <v>Nhà khách Hữu nghị Kontum</v>
      </c>
      <c r="E174" s="206"/>
      <c r="F174" s="207">
        <v>405</v>
      </c>
      <c r="G174" s="207"/>
      <c r="H174" s="205"/>
      <c r="I174" s="224">
        <f>J174-Sheet1!I1161</f>
        <v>0</v>
      </c>
      <c r="J174" s="167">
        <v>390000000</v>
      </c>
      <c r="K174" s="166"/>
      <c r="L174" s="167">
        <v>390000000</v>
      </c>
      <c r="M174" s="171"/>
      <c r="N174" s="168">
        <f t="shared" si="31"/>
        <v>390000000</v>
      </c>
      <c r="O174" s="171"/>
      <c r="P174" s="167">
        <v>390000000</v>
      </c>
      <c r="Q174" s="167">
        <f t="shared" si="32"/>
        <v>390000000</v>
      </c>
      <c r="R174" s="171"/>
      <c r="T174" s="201">
        <f t="shared" si="33"/>
        <v>390</v>
      </c>
      <c r="U174" s="201">
        <f t="shared" si="35"/>
        <v>390</v>
      </c>
      <c r="V174" s="201">
        <f t="shared" si="35"/>
        <v>0</v>
      </c>
      <c r="W174" s="201">
        <f t="shared" si="35"/>
        <v>390</v>
      </c>
      <c r="X174" s="201">
        <f t="shared" si="35"/>
        <v>390</v>
      </c>
      <c r="Y174" s="201">
        <f t="shared" si="35"/>
        <v>0</v>
      </c>
    </row>
    <row r="175" spans="1:25" s="169" customFormat="1" ht="26.4">
      <c r="A175" s="192" t="s">
        <v>1183</v>
      </c>
      <c r="B175" s="165" t="s">
        <v>1184</v>
      </c>
      <c r="C175" s="183" t="str">
        <f t="shared" si="30"/>
        <v>1078438</v>
      </c>
      <c r="D175" s="182" t="str">
        <f t="shared" si="29"/>
        <v>Văn phòng đăng ký đãt đai tỉnh Kon Tum</v>
      </c>
      <c r="E175" s="206"/>
      <c r="F175" s="207">
        <v>426</v>
      </c>
      <c r="G175" s="207"/>
      <c r="H175" s="205"/>
      <c r="I175" s="224">
        <f>J175-Sheet1!I1165</f>
        <v>0</v>
      </c>
      <c r="J175" s="167">
        <v>7742311853</v>
      </c>
      <c r="K175" s="167">
        <v>2011411853</v>
      </c>
      <c r="L175" s="167">
        <v>3338900000</v>
      </c>
      <c r="M175" s="168">
        <v>2392000000</v>
      </c>
      <c r="N175" s="168">
        <f t="shared" si="31"/>
        <v>7742311853</v>
      </c>
      <c r="O175" s="168"/>
      <c r="P175" s="167">
        <v>6949211171</v>
      </c>
      <c r="Q175" s="167">
        <f t="shared" si="32"/>
        <v>6949211171</v>
      </c>
      <c r="R175" s="168"/>
      <c r="T175" s="201">
        <f t="shared" si="33"/>
        <v>7742.3118530000002</v>
      </c>
      <c r="U175" s="201">
        <f t="shared" si="35"/>
        <v>7742.3118530000002</v>
      </c>
      <c r="V175" s="201">
        <f t="shared" si="35"/>
        <v>0</v>
      </c>
      <c r="W175" s="201">
        <f t="shared" si="35"/>
        <v>6949.2111709999999</v>
      </c>
      <c r="X175" s="201">
        <f t="shared" si="35"/>
        <v>6949.2111709999999</v>
      </c>
      <c r="Y175" s="201">
        <f t="shared" si="35"/>
        <v>0</v>
      </c>
    </row>
    <row r="176" spans="1:25" s="169" customFormat="1" ht="26.4">
      <c r="A176" s="192" t="s">
        <v>1186</v>
      </c>
      <c r="B176" s="170" t="s">
        <v>1187</v>
      </c>
      <c r="C176" s="183" t="str">
        <f t="shared" si="30"/>
        <v>1078439</v>
      </c>
      <c r="D176" s="182" t="str">
        <f t="shared" si="29"/>
        <v>Trung tâm Phát triển Quỹđãt</v>
      </c>
      <c r="E176" s="206"/>
      <c r="F176" s="207">
        <v>426</v>
      </c>
      <c r="G176" s="207"/>
      <c r="H176" s="205"/>
      <c r="I176" s="224">
        <f>J176-Sheet1!I1170</f>
        <v>0</v>
      </c>
      <c r="J176" s="167">
        <v>1319300000</v>
      </c>
      <c r="K176" s="166"/>
      <c r="L176" s="167">
        <v>574000000</v>
      </c>
      <c r="M176" s="168">
        <v>745300000</v>
      </c>
      <c r="N176" s="168">
        <f t="shared" si="31"/>
        <v>1319300000</v>
      </c>
      <c r="O176" s="168"/>
      <c r="P176" s="167">
        <v>1209620328</v>
      </c>
      <c r="Q176" s="167">
        <f t="shared" si="32"/>
        <v>1209620328</v>
      </c>
      <c r="R176" s="168"/>
      <c r="T176" s="201">
        <f t="shared" si="33"/>
        <v>1319.3</v>
      </c>
      <c r="U176" s="201">
        <f t="shared" si="35"/>
        <v>1319.3</v>
      </c>
      <c r="V176" s="201">
        <f t="shared" si="35"/>
        <v>0</v>
      </c>
      <c r="W176" s="201">
        <f t="shared" si="35"/>
        <v>1209.620328</v>
      </c>
      <c r="X176" s="201">
        <f t="shared" si="35"/>
        <v>1209.620328</v>
      </c>
      <c r="Y176" s="201">
        <f t="shared" si="35"/>
        <v>0</v>
      </c>
    </row>
    <row r="177" spans="1:25" s="169" customFormat="1" ht="26.4">
      <c r="A177" s="192" t="s">
        <v>1189</v>
      </c>
      <c r="B177" s="165" t="s">
        <v>1190</v>
      </c>
      <c r="C177" s="183" t="str">
        <f t="shared" si="30"/>
        <v>1081016</v>
      </c>
      <c r="D177" s="182" t="str">
        <f t="shared" si="29"/>
        <v>Trường Trung học PhS thông Sa Thăy</v>
      </c>
      <c r="E177" s="206"/>
      <c r="F177" s="207">
        <v>422</v>
      </c>
      <c r="G177" s="207"/>
      <c r="H177" s="205"/>
      <c r="I177" s="224">
        <f>J177-Sheet1!I1177</f>
        <v>0</v>
      </c>
      <c r="J177" s="167">
        <v>6575268000</v>
      </c>
      <c r="K177" s="166"/>
      <c r="L177" s="167">
        <v>6026358000</v>
      </c>
      <c r="M177" s="168">
        <v>548910000</v>
      </c>
      <c r="N177" s="168">
        <f t="shared" si="31"/>
        <v>6575268000</v>
      </c>
      <c r="O177" s="168"/>
      <c r="P177" s="167">
        <v>6149240500</v>
      </c>
      <c r="Q177" s="167">
        <f t="shared" si="32"/>
        <v>6149240500</v>
      </c>
      <c r="R177" s="168"/>
      <c r="T177" s="201">
        <f t="shared" si="33"/>
        <v>6575.268</v>
      </c>
      <c r="U177" s="201">
        <f t="shared" si="35"/>
        <v>6575.268</v>
      </c>
      <c r="V177" s="201">
        <f t="shared" si="35"/>
        <v>0</v>
      </c>
      <c r="W177" s="201">
        <f t="shared" si="35"/>
        <v>6149.2404999999999</v>
      </c>
      <c r="X177" s="201">
        <f t="shared" si="35"/>
        <v>6149.2404999999999</v>
      </c>
      <c r="Y177" s="201">
        <f t="shared" si="35"/>
        <v>0</v>
      </c>
    </row>
    <row r="178" spans="1:25" s="169" customFormat="1" ht="27.6">
      <c r="A178" s="192" t="s">
        <v>1192</v>
      </c>
      <c r="B178" s="165" t="s">
        <v>1193</v>
      </c>
      <c r="C178" s="183" t="str">
        <f t="shared" si="30"/>
        <v>1081017</v>
      </c>
      <c r="D178" s="182" t="str">
        <f t="shared" si="29"/>
        <v>Chi cục Dân sổ - Kẽ hoạch lóa Gia đinh - tỉnh Kontum</v>
      </c>
      <c r="E178" s="206"/>
      <c r="F178" s="207">
        <v>423</v>
      </c>
      <c r="G178" s="207"/>
      <c r="H178" s="205"/>
      <c r="I178" s="224">
        <f>J178-Sheet1!I1188</f>
        <v>0</v>
      </c>
      <c r="J178" s="167">
        <v>21077000000</v>
      </c>
      <c r="K178" s="167">
        <v>882000000</v>
      </c>
      <c r="L178" s="167">
        <v>15528000000</v>
      </c>
      <c r="M178" s="168">
        <v>4667000000</v>
      </c>
      <c r="N178" s="168">
        <f t="shared" si="31"/>
        <v>21077000000</v>
      </c>
      <c r="O178" s="168"/>
      <c r="P178" s="167">
        <v>19634993318</v>
      </c>
      <c r="Q178" s="167">
        <f t="shared" si="32"/>
        <v>19634993318</v>
      </c>
      <c r="R178" s="168"/>
      <c r="T178" s="201">
        <f t="shared" si="33"/>
        <v>21077</v>
      </c>
      <c r="U178" s="201">
        <f t="shared" si="35"/>
        <v>21077</v>
      </c>
      <c r="V178" s="201">
        <f t="shared" si="35"/>
        <v>0</v>
      </c>
      <c r="W178" s="201">
        <f t="shared" si="35"/>
        <v>19634.993318000001</v>
      </c>
      <c r="X178" s="201">
        <f t="shared" si="35"/>
        <v>19634.993318000001</v>
      </c>
      <c r="Y178" s="201">
        <f t="shared" si="35"/>
        <v>0</v>
      </c>
    </row>
    <row r="179" spans="1:25" s="169" customFormat="1" ht="39.6">
      <c r="A179" s="192" t="s">
        <v>1196</v>
      </c>
      <c r="B179" s="165" t="s">
        <v>1197</v>
      </c>
      <c r="C179" s="183" t="str">
        <f t="shared" si="30"/>
        <v>1082133</v>
      </c>
      <c r="D179" s="182" t="str">
        <f t="shared" si="29"/>
        <v>Trường Trung học PhS thông Chu Văn An huyện Kon Rẫy tỉnh Kon Tum</v>
      </c>
      <c r="E179" s="206"/>
      <c r="F179" s="207">
        <v>422</v>
      </c>
      <c r="G179" s="207"/>
      <c r="H179" s="205"/>
      <c r="I179" s="224">
        <f>J179-Sheet1!I1198</f>
        <v>0</v>
      </c>
      <c r="J179" s="167">
        <v>4279674000</v>
      </c>
      <c r="K179" s="166"/>
      <c r="L179" s="167">
        <v>4213856000</v>
      </c>
      <c r="M179" s="168">
        <v>65818000</v>
      </c>
      <c r="N179" s="168">
        <f t="shared" si="31"/>
        <v>4279674000</v>
      </c>
      <c r="O179" s="168"/>
      <c r="P179" s="167">
        <v>4234641000</v>
      </c>
      <c r="Q179" s="167">
        <f t="shared" si="32"/>
        <v>4234641000</v>
      </c>
      <c r="R179" s="168"/>
      <c r="T179" s="201">
        <f t="shared" si="33"/>
        <v>4279.674</v>
      </c>
      <c r="U179" s="201">
        <f t="shared" si="35"/>
        <v>4279.674</v>
      </c>
      <c r="V179" s="201">
        <f t="shared" si="35"/>
        <v>0</v>
      </c>
      <c r="W179" s="201">
        <f t="shared" si="35"/>
        <v>4234.6409999999996</v>
      </c>
      <c r="X179" s="201">
        <f t="shared" si="35"/>
        <v>4234.6409999999996</v>
      </c>
      <c r="Y179" s="201">
        <f t="shared" si="35"/>
        <v>0</v>
      </c>
    </row>
    <row r="180" spans="1:25" s="169" customFormat="1" ht="39.6">
      <c r="A180" s="192" t="s">
        <v>1199</v>
      </c>
      <c r="B180" s="165" t="s">
        <v>1200</v>
      </c>
      <c r="C180" s="183" t="str">
        <f t="shared" si="30"/>
        <v>1082134</v>
      </c>
      <c r="D180" s="182" t="str">
        <f t="shared" si="29"/>
        <v>Trường Trung học PhS thông Lương Thẽ Vinh - huyện Đăk Glei tỉnh Kontum</v>
      </c>
      <c r="E180" s="206"/>
      <c r="F180" s="207">
        <v>422</v>
      </c>
      <c r="G180" s="207"/>
      <c r="H180" s="205"/>
      <c r="I180" s="224">
        <f>J180-Sheet1!I1206</f>
        <v>0</v>
      </c>
      <c r="J180" s="167">
        <v>5627652000</v>
      </c>
      <c r="K180" s="166"/>
      <c r="L180" s="167">
        <v>5495688000</v>
      </c>
      <c r="M180" s="168">
        <v>131964000</v>
      </c>
      <c r="N180" s="168">
        <f t="shared" si="31"/>
        <v>5627652000</v>
      </c>
      <c r="O180" s="168"/>
      <c r="P180" s="167">
        <v>5581075860</v>
      </c>
      <c r="Q180" s="167">
        <f t="shared" si="32"/>
        <v>5581075860</v>
      </c>
      <c r="R180" s="168"/>
      <c r="T180" s="201">
        <f t="shared" si="33"/>
        <v>5627.652</v>
      </c>
      <c r="U180" s="201">
        <f t="shared" si="35"/>
        <v>5627.652</v>
      </c>
      <c r="V180" s="201">
        <f t="shared" si="35"/>
        <v>0</v>
      </c>
      <c r="W180" s="201">
        <f t="shared" si="35"/>
        <v>5581.0758599999999</v>
      </c>
      <c r="X180" s="201">
        <f t="shared" si="35"/>
        <v>5581.0758599999999</v>
      </c>
      <c r="Y180" s="201">
        <f t="shared" si="35"/>
        <v>0</v>
      </c>
    </row>
    <row r="181" spans="1:25" s="169" customFormat="1" ht="28.8">
      <c r="A181" s="192" t="s">
        <v>1202</v>
      </c>
      <c r="B181" s="176" t="s">
        <v>1203</v>
      </c>
      <c r="C181" s="183" t="str">
        <f t="shared" si="30"/>
        <v>1082143</v>
      </c>
      <c r="D181" s="182" t="str">
        <f t="shared" si="29"/>
        <v>Đội Kiềm lâm cơ động -3CCCRs61</v>
      </c>
      <c r="E181" s="206"/>
      <c r="F181" s="207">
        <v>412</v>
      </c>
      <c r="G181" s="207"/>
      <c r="H181" s="205"/>
      <c r="I181" s="224">
        <f>J181-Sheet1!I1216</f>
        <v>0</v>
      </c>
      <c r="J181" s="167">
        <v>3019365039</v>
      </c>
      <c r="K181" s="167">
        <v>128365039</v>
      </c>
      <c r="L181" s="167">
        <v>2805000000</v>
      </c>
      <c r="M181" s="168">
        <v>86000000</v>
      </c>
      <c r="N181" s="168">
        <f t="shared" si="31"/>
        <v>3019365039</v>
      </c>
      <c r="O181" s="168"/>
      <c r="P181" s="167">
        <v>3018215039</v>
      </c>
      <c r="Q181" s="167">
        <f t="shared" si="32"/>
        <v>3018215039</v>
      </c>
      <c r="R181" s="168"/>
      <c r="T181" s="201">
        <f t="shared" si="33"/>
        <v>3019.3650389999998</v>
      </c>
      <c r="U181" s="201">
        <f t="shared" si="35"/>
        <v>3019.3650389999998</v>
      </c>
      <c r="V181" s="201">
        <f t="shared" si="35"/>
        <v>0</v>
      </c>
      <c r="W181" s="201">
        <f t="shared" si="35"/>
        <v>3018.2150390000002</v>
      </c>
      <c r="X181" s="201">
        <f t="shared" si="35"/>
        <v>3018.2150390000002</v>
      </c>
      <c r="Y181" s="201">
        <f t="shared" si="35"/>
        <v>0</v>
      </c>
    </row>
    <row r="182" spans="1:25" s="169" customFormat="1" ht="26.4">
      <c r="A182" s="192" t="s">
        <v>1205</v>
      </c>
      <c r="B182" s="176" t="s">
        <v>1206</v>
      </c>
      <c r="C182" s="183" t="str">
        <f t="shared" si="30"/>
        <v>1082144</v>
      </c>
      <c r="D182" s="182" t="str">
        <f t="shared" si="29"/>
        <v>Đội Kiểm lâm Cơ động --’CCCR số 2</v>
      </c>
      <c r="E182" s="206"/>
      <c r="F182" s="207">
        <v>412</v>
      </c>
      <c r="G182" s="207"/>
      <c r="H182" s="205"/>
      <c r="I182" s="224">
        <f>J182-Sheet1!I1224</f>
        <v>0</v>
      </c>
      <c r="J182" s="167">
        <v>2142000000</v>
      </c>
      <c r="K182" s="166"/>
      <c r="L182" s="167">
        <v>2087000000</v>
      </c>
      <c r="M182" s="168">
        <v>55000000</v>
      </c>
      <c r="N182" s="168">
        <f t="shared" si="31"/>
        <v>2142000000</v>
      </c>
      <c r="O182" s="168"/>
      <c r="P182" s="167">
        <v>2142000000</v>
      </c>
      <c r="Q182" s="167">
        <f t="shared" si="32"/>
        <v>2142000000</v>
      </c>
      <c r="R182" s="168"/>
      <c r="T182" s="201">
        <f t="shared" si="33"/>
        <v>2142</v>
      </c>
      <c r="U182" s="201">
        <f t="shared" si="35"/>
        <v>2142</v>
      </c>
      <c r="V182" s="201">
        <f t="shared" si="35"/>
        <v>0</v>
      </c>
      <c r="W182" s="201">
        <f t="shared" si="35"/>
        <v>2142</v>
      </c>
      <c r="X182" s="201">
        <f t="shared" si="35"/>
        <v>2142</v>
      </c>
      <c r="Y182" s="201">
        <f t="shared" si="35"/>
        <v>0</v>
      </c>
    </row>
    <row r="183" spans="1:25" s="169" customFormat="1" ht="28.8">
      <c r="A183" s="192" t="s">
        <v>1208</v>
      </c>
      <c r="B183" s="176" t="s">
        <v>1209</v>
      </c>
      <c r="C183" s="183" t="str">
        <f t="shared" si="30"/>
        <v>1082145</v>
      </c>
      <c r="D183" s="182" t="str">
        <f t="shared" si="29"/>
        <v>Đội Kiềm lâm Cơ động &amp; 3CCCRs63</v>
      </c>
      <c r="E183" s="206"/>
      <c r="F183" s="207">
        <v>412</v>
      </c>
      <c r="G183" s="207"/>
      <c r="H183" s="205"/>
      <c r="I183" s="224">
        <f>J183-Sheet1!I1231</f>
        <v>0</v>
      </c>
      <c r="J183" s="167">
        <v>2371984127</v>
      </c>
      <c r="K183" s="167">
        <v>46984127</v>
      </c>
      <c r="L183" s="167">
        <v>2253000000</v>
      </c>
      <c r="M183" s="168">
        <v>72000000</v>
      </c>
      <c r="N183" s="168">
        <f t="shared" si="31"/>
        <v>2371984127</v>
      </c>
      <c r="O183" s="168"/>
      <c r="P183" s="167">
        <v>2371984127</v>
      </c>
      <c r="Q183" s="167">
        <f t="shared" si="32"/>
        <v>2371984127</v>
      </c>
      <c r="R183" s="168"/>
      <c r="T183" s="201">
        <f t="shared" si="33"/>
        <v>2371.9841270000002</v>
      </c>
      <c r="U183" s="201">
        <f t="shared" si="35"/>
        <v>2371.9841270000002</v>
      </c>
      <c r="V183" s="201">
        <f t="shared" si="35"/>
        <v>0</v>
      </c>
      <c r="W183" s="201">
        <f t="shared" si="35"/>
        <v>2371.9841270000002</v>
      </c>
      <c r="X183" s="201">
        <f t="shared" si="35"/>
        <v>2371.9841270000002</v>
      </c>
      <c r="Y183" s="201">
        <f t="shared" si="35"/>
        <v>0</v>
      </c>
    </row>
    <row r="184" spans="1:25" s="169" customFormat="1" ht="13.8">
      <c r="A184" s="192" t="s">
        <v>1211</v>
      </c>
      <c r="B184" s="164" t="s">
        <v>1212</v>
      </c>
      <c r="C184" s="183" t="str">
        <f t="shared" si="30"/>
        <v>1082897</v>
      </c>
      <c r="D184" s="182" t="str">
        <f t="shared" si="29"/>
        <v>BQL Rừng phòng hộ Đăk Hà</v>
      </c>
      <c r="E184" s="206"/>
      <c r="F184" s="207">
        <v>412</v>
      </c>
      <c r="G184" s="207"/>
      <c r="H184" s="205"/>
      <c r="I184" s="224">
        <f>J184-Sheet1!I1238</f>
        <v>0</v>
      </c>
      <c r="J184" s="167">
        <v>3556000000</v>
      </c>
      <c r="K184" s="166"/>
      <c r="L184" s="167">
        <v>2410000000</v>
      </c>
      <c r="M184" s="168">
        <v>1146000000</v>
      </c>
      <c r="N184" s="168">
        <f t="shared" si="31"/>
        <v>3556000000</v>
      </c>
      <c r="O184" s="168"/>
      <c r="P184" s="167">
        <v>2468000000</v>
      </c>
      <c r="Q184" s="167">
        <f t="shared" si="32"/>
        <v>2468000000</v>
      </c>
      <c r="R184" s="168"/>
      <c r="T184" s="201">
        <f t="shared" si="33"/>
        <v>3556</v>
      </c>
      <c r="U184" s="201">
        <f t="shared" ref="U184:Y199" si="36">N184/1000000</f>
        <v>3556</v>
      </c>
      <c r="V184" s="201">
        <f t="shared" si="36"/>
        <v>0</v>
      </c>
      <c r="W184" s="201">
        <f t="shared" si="36"/>
        <v>2468</v>
      </c>
      <c r="X184" s="201">
        <f t="shared" si="36"/>
        <v>2468</v>
      </c>
      <c r="Y184" s="201">
        <f t="shared" si="36"/>
        <v>0</v>
      </c>
    </row>
    <row r="185" spans="1:25" s="169" customFormat="1" ht="39.6">
      <c r="A185" s="192" t="s">
        <v>1215</v>
      </c>
      <c r="B185" s="176" t="s">
        <v>1216</v>
      </c>
      <c r="C185" s="183" t="str">
        <f t="shared" si="30"/>
        <v>1082898</v>
      </c>
      <c r="D185" s="182" t="str">
        <f t="shared" si="29"/>
        <v>BQL Rừng Phòng hộ Tu Mơ Rông - huyện Tu Mơ Rông - tỉnh &lt;ontum</v>
      </c>
      <c r="E185" s="206"/>
      <c r="F185" s="207">
        <v>412</v>
      </c>
      <c r="G185" s="207"/>
      <c r="H185" s="205"/>
      <c r="I185" s="224">
        <f>J185-Sheet1!I1246</f>
        <v>0</v>
      </c>
      <c r="J185" s="167">
        <v>3471500000</v>
      </c>
      <c r="K185" s="166"/>
      <c r="L185" s="167">
        <v>2604000000</v>
      </c>
      <c r="M185" s="168">
        <v>867500000</v>
      </c>
      <c r="N185" s="168">
        <f t="shared" si="31"/>
        <v>3471500000</v>
      </c>
      <c r="O185" s="168"/>
      <c r="P185" s="167">
        <v>2673500000</v>
      </c>
      <c r="Q185" s="167">
        <f t="shared" si="32"/>
        <v>2673500000</v>
      </c>
      <c r="R185" s="168"/>
      <c r="T185" s="201">
        <f t="shared" si="33"/>
        <v>3471.5</v>
      </c>
      <c r="U185" s="201">
        <f t="shared" si="36"/>
        <v>3471.5</v>
      </c>
      <c r="V185" s="201">
        <f t="shared" si="36"/>
        <v>0</v>
      </c>
      <c r="W185" s="201">
        <f t="shared" si="36"/>
        <v>2673.5</v>
      </c>
      <c r="X185" s="201">
        <f t="shared" si="36"/>
        <v>2673.5</v>
      </c>
      <c r="Y185" s="201">
        <f t="shared" si="36"/>
        <v>0</v>
      </c>
    </row>
    <row r="186" spans="1:25" s="169" customFormat="1" ht="26.4">
      <c r="A186" s="192" t="s">
        <v>1219</v>
      </c>
      <c r="B186" s="176" t="s">
        <v>1220</v>
      </c>
      <c r="C186" s="183" t="str">
        <f t="shared" si="30"/>
        <v>1083231</v>
      </c>
      <c r="D186" s="182" t="str">
        <f t="shared" si="29"/>
        <v>Bệnh viện Đa khoa Khu vực Mgọc hồi</v>
      </c>
      <c r="E186" s="206"/>
      <c r="F186" s="207">
        <v>423</v>
      </c>
      <c r="G186" s="207"/>
      <c r="H186" s="205"/>
      <c r="I186" s="224">
        <f>J186-Sheet1!I1253</f>
        <v>0</v>
      </c>
      <c r="J186" s="167">
        <v>6442360000</v>
      </c>
      <c r="K186" s="166"/>
      <c r="L186" s="167">
        <v>6244360000</v>
      </c>
      <c r="M186" s="168">
        <v>198000000</v>
      </c>
      <c r="N186" s="168">
        <f t="shared" si="31"/>
        <v>6442360000</v>
      </c>
      <c r="O186" s="168"/>
      <c r="P186" s="167">
        <v>5354498909</v>
      </c>
      <c r="Q186" s="167">
        <f t="shared" si="32"/>
        <v>5354498909</v>
      </c>
      <c r="R186" s="168"/>
      <c r="T186" s="201">
        <f t="shared" si="33"/>
        <v>6442.36</v>
      </c>
      <c r="U186" s="201">
        <f t="shared" si="36"/>
        <v>6442.36</v>
      </c>
      <c r="V186" s="201">
        <f t="shared" si="36"/>
        <v>0</v>
      </c>
      <c r="W186" s="201">
        <f t="shared" si="36"/>
        <v>5354.4989089999999</v>
      </c>
      <c r="X186" s="201">
        <f t="shared" si="36"/>
        <v>5354.4989089999999</v>
      </c>
      <c r="Y186" s="201">
        <f t="shared" si="36"/>
        <v>0</v>
      </c>
    </row>
    <row r="187" spans="1:25" s="169" customFormat="1" ht="26.4">
      <c r="A187" s="192" t="s">
        <v>1222</v>
      </c>
      <c r="B187" s="176" t="s">
        <v>1223</v>
      </c>
      <c r="C187" s="183" t="str">
        <f t="shared" si="30"/>
        <v>1084079</v>
      </c>
      <c r="D187" s="182" t="str">
        <f t="shared" si="29"/>
        <v>Trung Tâm Công nghệ rhông tin và TruyỄn thông</v>
      </c>
      <c r="E187" s="206"/>
      <c r="F187" s="207">
        <v>427</v>
      </c>
      <c r="G187" s="207"/>
      <c r="H187" s="205"/>
      <c r="I187" s="224">
        <f>J187-Sheet1!I1259</f>
        <v>0</v>
      </c>
      <c r="J187" s="167">
        <v>542600000</v>
      </c>
      <c r="K187" s="166"/>
      <c r="L187" s="167">
        <v>542600000</v>
      </c>
      <c r="M187" s="171"/>
      <c r="N187" s="168">
        <f t="shared" si="31"/>
        <v>542600000</v>
      </c>
      <c r="O187" s="171"/>
      <c r="P187" s="167">
        <v>485095010</v>
      </c>
      <c r="Q187" s="167">
        <f t="shared" si="32"/>
        <v>485095010</v>
      </c>
      <c r="R187" s="171"/>
      <c r="T187" s="201">
        <f t="shared" si="33"/>
        <v>542.6</v>
      </c>
      <c r="U187" s="201">
        <f t="shared" si="36"/>
        <v>542.6</v>
      </c>
      <c r="V187" s="201">
        <f t="shared" si="36"/>
        <v>0</v>
      </c>
      <c r="W187" s="201">
        <f t="shared" si="36"/>
        <v>485.09501</v>
      </c>
      <c r="X187" s="201">
        <f t="shared" si="36"/>
        <v>485.09501</v>
      </c>
      <c r="Y187" s="201">
        <f t="shared" si="36"/>
        <v>0</v>
      </c>
    </row>
    <row r="188" spans="1:25" s="169" customFormat="1" ht="26.4">
      <c r="A188" s="192" t="s">
        <v>1226</v>
      </c>
      <c r="B188" s="176" t="s">
        <v>1227</v>
      </c>
      <c r="C188" s="183" t="str">
        <f t="shared" si="30"/>
        <v>1090829</v>
      </c>
      <c r="D188" s="182" t="str">
        <f t="shared" si="29"/>
        <v>Trung tâm Dịch vụ đãu giá tà' sản</v>
      </c>
      <c r="E188" s="206"/>
      <c r="F188" s="207">
        <v>414</v>
      </c>
      <c r="G188" s="207"/>
      <c r="H188" s="205"/>
      <c r="I188" s="224">
        <f>J188-Sheet1!I1265</f>
        <v>0</v>
      </c>
      <c r="J188" s="167">
        <v>286000000</v>
      </c>
      <c r="K188" s="166"/>
      <c r="L188" s="167">
        <v>446253000</v>
      </c>
      <c r="M188" s="168">
        <v>-160253000</v>
      </c>
      <c r="N188" s="168">
        <f t="shared" si="31"/>
        <v>286000000</v>
      </c>
      <c r="O188" s="168"/>
      <c r="P188" s="167">
        <v>286000000</v>
      </c>
      <c r="Q188" s="167">
        <f t="shared" si="32"/>
        <v>286000000</v>
      </c>
      <c r="R188" s="168"/>
      <c r="T188" s="201">
        <f t="shared" si="33"/>
        <v>286</v>
      </c>
      <c r="U188" s="201">
        <f t="shared" si="36"/>
        <v>286</v>
      </c>
      <c r="V188" s="201">
        <f t="shared" si="36"/>
        <v>0</v>
      </c>
      <c r="W188" s="201">
        <f t="shared" si="36"/>
        <v>286</v>
      </c>
      <c r="X188" s="201">
        <f t="shared" si="36"/>
        <v>286</v>
      </c>
      <c r="Y188" s="201">
        <f t="shared" si="36"/>
        <v>0</v>
      </c>
    </row>
    <row r="189" spans="1:25" s="169" customFormat="1" ht="26.4">
      <c r="A189" s="192" t="s">
        <v>1229</v>
      </c>
      <c r="B189" s="176" t="s">
        <v>1230</v>
      </c>
      <c r="C189" s="183" t="str">
        <f t="shared" si="30"/>
        <v>1093133</v>
      </c>
      <c r="D189" s="182" t="str">
        <f t="shared" si="29"/>
        <v>Ban Quản lý Rừng phòng hộ &lt;on Rẫy</v>
      </c>
      <c r="E189" s="206"/>
      <c r="F189" s="207">
        <v>412</v>
      </c>
      <c r="G189" s="207"/>
      <c r="H189" s="205"/>
      <c r="I189" s="224">
        <f>J189-Sheet1!I1269</f>
        <v>0</v>
      </c>
      <c r="J189" s="167">
        <v>3787000000</v>
      </c>
      <c r="K189" s="166"/>
      <c r="L189" s="167">
        <v>2330000000</v>
      </c>
      <c r="M189" s="168">
        <v>1457000000</v>
      </c>
      <c r="N189" s="168">
        <f t="shared" si="31"/>
        <v>3787000000</v>
      </c>
      <c r="O189" s="168"/>
      <c r="P189" s="167">
        <v>3785094000</v>
      </c>
      <c r="Q189" s="167">
        <f t="shared" si="32"/>
        <v>3785094000</v>
      </c>
      <c r="R189" s="168"/>
      <c r="T189" s="201">
        <f t="shared" si="33"/>
        <v>3787</v>
      </c>
      <c r="U189" s="201">
        <f t="shared" si="36"/>
        <v>3787</v>
      </c>
      <c r="V189" s="201">
        <f t="shared" si="36"/>
        <v>0</v>
      </c>
      <c r="W189" s="201">
        <f t="shared" si="36"/>
        <v>3785.0940000000001</v>
      </c>
      <c r="X189" s="201">
        <f t="shared" si="36"/>
        <v>3785.0940000000001</v>
      </c>
      <c r="Y189" s="201">
        <f t="shared" si="36"/>
        <v>0</v>
      </c>
    </row>
    <row r="190" spans="1:25" s="169" customFormat="1" ht="26.4">
      <c r="A190" s="192" t="s">
        <v>1233</v>
      </c>
      <c r="B190" s="170" t="s">
        <v>1234</v>
      </c>
      <c r="C190" s="183" t="str">
        <f t="shared" si="30"/>
        <v>1093434</v>
      </c>
      <c r="D190" s="182" t="str">
        <f t="shared" si="29"/>
        <v>Hội Cựu Giáo chức Kontum</v>
      </c>
      <c r="E190" s="206"/>
      <c r="F190" s="207">
        <v>599</v>
      </c>
      <c r="G190" s="207"/>
      <c r="H190" s="205"/>
      <c r="I190" s="224">
        <f>J190-Sheet1!I1276</f>
        <v>0</v>
      </c>
      <c r="J190" s="167">
        <v>25200000</v>
      </c>
      <c r="K190" s="166"/>
      <c r="L190" s="167">
        <v>20000000</v>
      </c>
      <c r="M190" s="168">
        <v>5200000</v>
      </c>
      <c r="N190" s="168">
        <f t="shared" si="31"/>
        <v>25200000</v>
      </c>
      <c r="O190" s="168"/>
      <c r="P190" s="167">
        <v>25200000</v>
      </c>
      <c r="Q190" s="167">
        <f t="shared" si="32"/>
        <v>25200000</v>
      </c>
      <c r="R190" s="168"/>
      <c r="T190" s="201">
        <f t="shared" si="33"/>
        <v>25.2</v>
      </c>
      <c r="U190" s="201">
        <f t="shared" si="36"/>
        <v>25.2</v>
      </c>
      <c r="V190" s="201">
        <f t="shared" si="36"/>
        <v>0</v>
      </c>
      <c r="W190" s="201">
        <f t="shared" si="36"/>
        <v>25.2</v>
      </c>
      <c r="X190" s="201">
        <f t="shared" si="36"/>
        <v>25.2</v>
      </c>
      <c r="Y190" s="201">
        <f t="shared" si="36"/>
        <v>0</v>
      </c>
    </row>
    <row r="191" spans="1:25" s="169" customFormat="1" ht="13.8">
      <c r="A191" s="192" t="s">
        <v>1236</v>
      </c>
      <c r="B191" s="170" t="s">
        <v>1237</v>
      </c>
      <c r="C191" s="183" t="str">
        <f t="shared" si="30"/>
        <v>1093512</v>
      </c>
      <c r="D191" s="182" t="str">
        <f t="shared" si="29"/>
        <v>Hội Luật gia tỉnh Kontum</v>
      </c>
      <c r="E191" s="206"/>
      <c r="F191" s="207">
        <v>521</v>
      </c>
      <c r="G191" s="207"/>
      <c r="H191" s="205"/>
      <c r="I191" s="224">
        <f>J191-Sheet1!I1281</f>
        <v>0</v>
      </c>
      <c r="J191" s="167">
        <v>255700000</v>
      </c>
      <c r="K191" s="166"/>
      <c r="L191" s="167">
        <v>233000000</v>
      </c>
      <c r="M191" s="168">
        <v>22700000</v>
      </c>
      <c r="N191" s="168">
        <f t="shared" si="31"/>
        <v>255700000</v>
      </c>
      <c r="O191" s="168"/>
      <c r="P191" s="167">
        <v>255700000</v>
      </c>
      <c r="Q191" s="167">
        <f t="shared" si="32"/>
        <v>255700000</v>
      </c>
      <c r="R191" s="168"/>
      <c r="T191" s="201">
        <f t="shared" si="33"/>
        <v>255.7</v>
      </c>
      <c r="U191" s="201">
        <f t="shared" si="36"/>
        <v>255.7</v>
      </c>
      <c r="V191" s="201">
        <f t="shared" si="36"/>
        <v>0</v>
      </c>
      <c r="W191" s="201">
        <f t="shared" si="36"/>
        <v>255.7</v>
      </c>
      <c r="X191" s="201">
        <f t="shared" si="36"/>
        <v>255.7</v>
      </c>
      <c r="Y191" s="201">
        <f t="shared" si="36"/>
        <v>0</v>
      </c>
    </row>
    <row r="192" spans="1:25" s="169" customFormat="1" ht="13.8">
      <c r="A192" s="192" t="s">
        <v>1239</v>
      </c>
      <c r="B192" s="170" t="s">
        <v>1240</v>
      </c>
      <c r="C192" s="183" t="str">
        <f t="shared" si="30"/>
        <v>1093795</v>
      </c>
      <c r="D192" s="182" t="str">
        <f t="shared" si="29"/>
        <v>Ban Liên lạc Tù chính trj</v>
      </c>
      <c r="E192" s="206"/>
      <c r="F192" s="207">
        <v>599</v>
      </c>
      <c r="G192" s="207"/>
      <c r="H192" s="205"/>
      <c r="I192" s="205"/>
      <c r="J192" s="167">
        <v>246000000</v>
      </c>
      <c r="K192" s="166"/>
      <c r="L192" s="167">
        <v>158000000</v>
      </c>
      <c r="M192" s="168">
        <v>88000000</v>
      </c>
      <c r="N192" s="168">
        <f t="shared" si="31"/>
        <v>246000000</v>
      </c>
      <c r="O192" s="168"/>
      <c r="P192" s="167">
        <v>246000000</v>
      </c>
      <c r="Q192" s="167">
        <f t="shared" si="32"/>
        <v>246000000</v>
      </c>
      <c r="R192" s="168"/>
      <c r="T192" s="201">
        <f t="shared" si="33"/>
        <v>246</v>
      </c>
      <c r="U192" s="201">
        <f t="shared" si="36"/>
        <v>246</v>
      </c>
      <c r="V192" s="201">
        <f t="shared" si="36"/>
        <v>0</v>
      </c>
      <c r="W192" s="201">
        <f t="shared" si="36"/>
        <v>246</v>
      </c>
      <c r="X192" s="201">
        <f t="shared" si="36"/>
        <v>246</v>
      </c>
      <c r="Y192" s="201">
        <f t="shared" si="36"/>
        <v>0</v>
      </c>
    </row>
    <row r="193" spans="1:25" s="169" customFormat="1" ht="26.4">
      <c r="A193" s="192" t="s">
        <v>1242</v>
      </c>
      <c r="B193" s="170" t="s">
        <v>1243</v>
      </c>
      <c r="C193" s="183" t="str">
        <f t="shared" si="30"/>
        <v>1093848</v>
      </c>
      <c r="D193" s="182" t="str">
        <f t="shared" si="29"/>
        <v>Hội Khuyẽn học tỉnh Kontum</v>
      </c>
      <c r="E193" s="206"/>
      <c r="F193" s="207">
        <v>539</v>
      </c>
      <c r="G193" s="207"/>
      <c r="H193" s="205"/>
      <c r="I193" s="205"/>
      <c r="J193" s="167">
        <v>270700000</v>
      </c>
      <c r="K193" s="166"/>
      <c r="L193" s="167">
        <v>257000000</v>
      </c>
      <c r="M193" s="168">
        <v>13700000</v>
      </c>
      <c r="N193" s="168">
        <f t="shared" si="31"/>
        <v>270700000</v>
      </c>
      <c r="O193" s="168"/>
      <c r="P193" s="167">
        <v>270700000</v>
      </c>
      <c r="Q193" s="167">
        <f t="shared" si="32"/>
        <v>270700000</v>
      </c>
      <c r="R193" s="168"/>
      <c r="T193" s="201">
        <f t="shared" si="33"/>
        <v>270.7</v>
      </c>
      <c r="U193" s="201">
        <f t="shared" si="36"/>
        <v>270.7</v>
      </c>
      <c r="V193" s="201">
        <f t="shared" si="36"/>
        <v>0</v>
      </c>
      <c r="W193" s="201">
        <f t="shared" si="36"/>
        <v>270.7</v>
      </c>
      <c r="X193" s="201">
        <f t="shared" si="36"/>
        <v>270.7</v>
      </c>
      <c r="Y193" s="201">
        <f t="shared" si="36"/>
        <v>0</v>
      </c>
    </row>
    <row r="194" spans="1:25" s="169" customFormat="1" ht="27.6">
      <c r="A194" s="192" t="s">
        <v>1246</v>
      </c>
      <c r="B194" s="165" t="s">
        <v>1247</v>
      </c>
      <c r="C194" s="183" t="str">
        <f t="shared" si="30"/>
        <v>1093941</v>
      </c>
      <c r="D194" s="182" t="str">
        <f t="shared" si="29"/>
        <v>Trường PhS thông Dân tộc Mội trú huyện Kon Rẫy</v>
      </c>
      <c r="E194" s="206"/>
      <c r="F194" s="207">
        <v>422</v>
      </c>
      <c r="G194" s="207"/>
      <c r="H194" s="205"/>
      <c r="I194" s="205"/>
      <c r="J194" s="167">
        <v>9229943000</v>
      </c>
      <c r="K194" s="166"/>
      <c r="L194" s="167">
        <v>8294934000</v>
      </c>
      <c r="M194" s="168">
        <v>935009000</v>
      </c>
      <c r="N194" s="168">
        <f t="shared" si="31"/>
        <v>9229943000</v>
      </c>
      <c r="O194" s="168"/>
      <c r="P194" s="167">
        <v>8459215000</v>
      </c>
      <c r="Q194" s="167">
        <f t="shared" si="32"/>
        <v>8459215000</v>
      </c>
      <c r="R194" s="168"/>
      <c r="T194" s="201">
        <f t="shared" si="33"/>
        <v>9229.9429999999993</v>
      </c>
      <c r="U194" s="201">
        <f t="shared" si="36"/>
        <v>9229.9429999999993</v>
      </c>
      <c r="V194" s="201">
        <f t="shared" si="36"/>
        <v>0</v>
      </c>
      <c r="W194" s="201">
        <f t="shared" si="36"/>
        <v>8459.2150000000001</v>
      </c>
      <c r="X194" s="201">
        <f t="shared" si="36"/>
        <v>8459.2150000000001</v>
      </c>
      <c r="Y194" s="201">
        <f t="shared" si="36"/>
        <v>0</v>
      </c>
    </row>
    <row r="195" spans="1:25" s="169" customFormat="1" ht="39.6">
      <c r="A195" s="192" t="s">
        <v>1249</v>
      </c>
      <c r="B195" s="165" t="s">
        <v>1250</v>
      </c>
      <c r="C195" s="183" t="str">
        <f t="shared" si="30"/>
        <v>1094591</v>
      </c>
      <c r="D195" s="182" t="str">
        <f t="shared" si="29"/>
        <v>Hội bảo vệ QuyỄn trẻ em và Bảo trợ Người khuyẽt tật tỉnh Kon Tum</v>
      </c>
      <c r="E195" s="206"/>
      <c r="F195" s="207">
        <v>538</v>
      </c>
      <c r="G195" s="207"/>
      <c r="H195" s="205"/>
      <c r="I195" s="205"/>
      <c r="J195" s="167">
        <v>387700000</v>
      </c>
      <c r="K195" s="166"/>
      <c r="L195" s="167">
        <v>385000000</v>
      </c>
      <c r="M195" s="168">
        <v>2700000</v>
      </c>
      <c r="N195" s="168">
        <f t="shared" si="31"/>
        <v>387700000</v>
      </c>
      <c r="O195" s="168"/>
      <c r="P195" s="167">
        <v>387700000</v>
      </c>
      <c r="Q195" s="167">
        <f t="shared" si="32"/>
        <v>387700000</v>
      </c>
      <c r="R195" s="168"/>
      <c r="T195" s="201">
        <f t="shared" si="33"/>
        <v>387.7</v>
      </c>
      <c r="U195" s="201">
        <f t="shared" si="36"/>
        <v>387.7</v>
      </c>
      <c r="V195" s="201">
        <f t="shared" si="36"/>
        <v>0</v>
      </c>
      <c r="W195" s="201">
        <f t="shared" si="36"/>
        <v>387.7</v>
      </c>
      <c r="X195" s="201">
        <f t="shared" si="36"/>
        <v>387.7</v>
      </c>
      <c r="Y195" s="201">
        <f t="shared" si="36"/>
        <v>0</v>
      </c>
    </row>
    <row r="196" spans="1:25" s="169" customFormat="1" ht="26.4">
      <c r="A196" s="192" t="s">
        <v>1253</v>
      </c>
      <c r="B196" s="165" t="s">
        <v>1254</v>
      </c>
      <c r="C196" s="183" t="str">
        <f t="shared" si="30"/>
        <v>1094963</v>
      </c>
      <c r="D196" s="182" t="str">
        <f t="shared" si="29"/>
        <v>Hội Cựu Thanh niên xung phong tỉnh Kon Tum</v>
      </c>
      <c r="E196" s="206"/>
      <c r="F196" s="207">
        <v>537</v>
      </c>
      <c r="G196" s="207"/>
      <c r="H196" s="205"/>
      <c r="I196" s="205"/>
      <c r="J196" s="167">
        <v>306100000</v>
      </c>
      <c r="K196" s="166"/>
      <c r="L196" s="167">
        <v>290000000</v>
      </c>
      <c r="M196" s="168">
        <v>16100000</v>
      </c>
      <c r="N196" s="168">
        <f t="shared" si="31"/>
        <v>306100000</v>
      </c>
      <c r="O196" s="168"/>
      <c r="P196" s="167">
        <v>306100000</v>
      </c>
      <c r="Q196" s="167">
        <f t="shared" si="32"/>
        <v>306100000</v>
      </c>
      <c r="R196" s="168"/>
      <c r="T196" s="201">
        <f t="shared" si="33"/>
        <v>306.10000000000002</v>
      </c>
      <c r="U196" s="201">
        <f t="shared" si="36"/>
        <v>306.10000000000002</v>
      </c>
      <c r="V196" s="201">
        <f t="shared" si="36"/>
        <v>0</v>
      </c>
      <c r="W196" s="201">
        <f t="shared" si="36"/>
        <v>306.10000000000002</v>
      </c>
      <c r="X196" s="201">
        <f t="shared" si="36"/>
        <v>306.10000000000002</v>
      </c>
      <c r="Y196" s="201">
        <f t="shared" si="36"/>
        <v>0</v>
      </c>
    </row>
    <row r="197" spans="1:25" s="169" customFormat="1" ht="26.4">
      <c r="A197" s="192" t="s">
        <v>1257</v>
      </c>
      <c r="B197" s="165" t="s">
        <v>1258</v>
      </c>
      <c r="C197" s="183" t="str">
        <f t="shared" si="30"/>
        <v>1095546</v>
      </c>
      <c r="D197" s="182" t="str">
        <f t="shared" si="29"/>
        <v>Hội đSng Nhân dân tinh Kontum</v>
      </c>
      <c r="E197" s="206"/>
      <c r="F197" s="207">
        <v>402</v>
      </c>
      <c r="G197" s="207"/>
      <c r="H197" s="205"/>
      <c r="I197" s="205"/>
      <c r="J197" s="167">
        <v>4872000000</v>
      </c>
      <c r="K197" s="166"/>
      <c r="L197" s="167">
        <v>4872000000</v>
      </c>
      <c r="M197" s="171"/>
      <c r="N197" s="168">
        <f t="shared" si="31"/>
        <v>4872000000</v>
      </c>
      <c r="O197" s="171"/>
      <c r="P197" s="167">
        <v>4485877400</v>
      </c>
      <c r="Q197" s="167">
        <f t="shared" si="32"/>
        <v>4485877400</v>
      </c>
      <c r="R197" s="171"/>
      <c r="T197" s="201">
        <f t="shared" si="33"/>
        <v>4872</v>
      </c>
      <c r="U197" s="201">
        <f t="shared" si="36"/>
        <v>4872</v>
      </c>
      <c r="V197" s="201">
        <f t="shared" si="36"/>
        <v>0</v>
      </c>
      <c r="W197" s="201">
        <f t="shared" si="36"/>
        <v>4485.8774000000003</v>
      </c>
      <c r="X197" s="201">
        <f t="shared" si="36"/>
        <v>4485.8774000000003</v>
      </c>
      <c r="Y197" s="201">
        <f t="shared" si="36"/>
        <v>0</v>
      </c>
    </row>
    <row r="198" spans="1:25" s="169" customFormat="1" ht="27.6">
      <c r="A198" s="192" t="s">
        <v>1260</v>
      </c>
      <c r="B198" s="165" t="s">
        <v>1261</v>
      </c>
      <c r="C198" s="183" t="str">
        <f t="shared" si="30"/>
        <v>1096607</v>
      </c>
      <c r="D198" s="182" t="str">
        <f t="shared" si="29"/>
        <v>Trung tâm Quan trắc tài nguyên và môi trường tỉnh Kon Tum</v>
      </c>
      <c r="E198" s="206"/>
      <c r="F198" s="207">
        <v>426</v>
      </c>
      <c r="G198" s="207"/>
      <c r="H198" s="205"/>
      <c r="I198" s="205"/>
      <c r="J198" s="167">
        <v>1069100000</v>
      </c>
      <c r="K198" s="166"/>
      <c r="L198" s="167">
        <v>1069100000</v>
      </c>
      <c r="M198" s="171"/>
      <c r="N198" s="168">
        <f t="shared" si="31"/>
        <v>1069100000</v>
      </c>
      <c r="O198" s="171"/>
      <c r="P198" s="167">
        <v>1069100000</v>
      </c>
      <c r="Q198" s="167">
        <f t="shared" si="32"/>
        <v>1069100000</v>
      </c>
      <c r="R198" s="171"/>
      <c r="T198" s="201">
        <f t="shared" si="33"/>
        <v>1069.0999999999999</v>
      </c>
      <c r="U198" s="201">
        <f t="shared" si="36"/>
        <v>1069.0999999999999</v>
      </c>
      <c r="V198" s="201">
        <f t="shared" si="36"/>
        <v>0</v>
      </c>
      <c r="W198" s="201">
        <f t="shared" si="36"/>
        <v>1069.0999999999999</v>
      </c>
      <c r="X198" s="201">
        <f t="shared" si="36"/>
        <v>1069.0999999999999</v>
      </c>
      <c r="Y198" s="201">
        <f t="shared" si="36"/>
        <v>0</v>
      </c>
    </row>
    <row r="199" spans="1:25" s="169" customFormat="1" ht="13.8">
      <c r="A199" s="192" t="s">
        <v>1264</v>
      </c>
      <c r="B199" s="170" t="s">
        <v>1265</v>
      </c>
      <c r="C199" s="183" t="str">
        <f t="shared" si="30"/>
        <v>1096916</v>
      </c>
      <c r="D199" s="182" t="str">
        <f t="shared" si="29"/>
        <v>Đoàn Luật sư tỉnh Kontum</v>
      </c>
      <c r="E199" s="206"/>
      <c r="F199" s="207">
        <v>599</v>
      </c>
      <c r="G199" s="207"/>
      <c r="H199" s="205"/>
      <c r="I199" s="205"/>
      <c r="J199" s="167">
        <v>90000000</v>
      </c>
      <c r="K199" s="166"/>
      <c r="L199" s="167">
        <v>50000000</v>
      </c>
      <c r="M199" s="168">
        <v>40000000</v>
      </c>
      <c r="N199" s="168">
        <f t="shared" si="31"/>
        <v>90000000</v>
      </c>
      <c r="O199" s="168"/>
      <c r="P199" s="167">
        <v>90000000</v>
      </c>
      <c r="Q199" s="167">
        <f t="shared" si="32"/>
        <v>90000000</v>
      </c>
      <c r="R199" s="168"/>
      <c r="T199" s="201">
        <f t="shared" si="33"/>
        <v>90</v>
      </c>
      <c r="U199" s="201">
        <f t="shared" si="36"/>
        <v>90</v>
      </c>
      <c r="V199" s="201">
        <f t="shared" si="36"/>
        <v>0</v>
      </c>
      <c r="W199" s="201">
        <f t="shared" si="36"/>
        <v>90</v>
      </c>
      <c r="X199" s="201">
        <f t="shared" si="36"/>
        <v>90</v>
      </c>
      <c r="Y199" s="201">
        <f t="shared" si="36"/>
        <v>0</v>
      </c>
    </row>
    <row r="200" spans="1:25" s="169" customFormat="1" ht="13.8">
      <c r="A200" s="192" t="s">
        <v>1267</v>
      </c>
      <c r="B200" s="170" t="s">
        <v>1268</v>
      </c>
      <c r="C200" s="183" t="str">
        <f t="shared" si="30"/>
        <v>1098089</v>
      </c>
      <c r="D200" s="182" t="str">
        <f t="shared" si="29"/>
        <v>Hội Nhà báo</v>
      </c>
      <c r="E200" s="206"/>
      <c r="F200" s="207">
        <v>520</v>
      </c>
      <c r="G200" s="207"/>
      <c r="H200" s="205"/>
      <c r="I200" s="205"/>
      <c r="J200" s="167">
        <v>949731750</v>
      </c>
      <c r="K200" s="167">
        <v>24231750</v>
      </c>
      <c r="L200" s="167">
        <v>820000000</v>
      </c>
      <c r="M200" s="168">
        <v>105500000</v>
      </c>
      <c r="N200" s="168">
        <f t="shared" si="31"/>
        <v>949731750</v>
      </c>
      <c r="O200" s="168"/>
      <c r="P200" s="167">
        <v>912785750</v>
      </c>
      <c r="Q200" s="167">
        <f t="shared" si="32"/>
        <v>912785750</v>
      </c>
      <c r="R200" s="168"/>
      <c r="T200" s="201">
        <f t="shared" si="33"/>
        <v>949.73175000000003</v>
      </c>
      <c r="U200" s="201">
        <f t="shared" ref="U200:Y215" si="37">N200/1000000</f>
        <v>949.73175000000003</v>
      </c>
      <c r="V200" s="201">
        <f t="shared" si="37"/>
        <v>0</v>
      </c>
      <c r="W200" s="201">
        <f t="shared" si="37"/>
        <v>912.78575000000001</v>
      </c>
      <c r="X200" s="201">
        <f t="shared" si="37"/>
        <v>912.78575000000001</v>
      </c>
      <c r="Y200" s="201">
        <f t="shared" si="37"/>
        <v>0</v>
      </c>
    </row>
    <row r="201" spans="1:25" s="169" customFormat="1" ht="26.4">
      <c r="A201" s="192" t="s">
        <v>1271</v>
      </c>
      <c r="B201" s="165" t="s">
        <v>1272</v>
      </c>
      <c r="C201" s="183" t="str">
        <f t="shared" si="30"/>
        <v>1098191</v>
      </c>
      <c r="D201" s="182" t="str">
        <f t="shared" si="29"/>
        <v>TSng đội Thanh niên xung phong Tĩnh Kon Tum</v>
      </c>
      <c r="E201" s="206"/>
      <c r="F201" s="207">
        <v>511</v>
      </c>
      <c r="G201" s="207"/>
      <c r="H201" s="205"/>
      <c r="I201" s="205"/>
      <c r="J201" s="167">
        <v>242000000</v>
      </c>
      <c r="K201" s="166"/>
      <c r="L201" s="167">
        <v>242000000</v>
      </c>
      <c r="M201" s="171"/>
      <c r="N201" s="168">
        <f t="shared" si="31"/>
        <v>242000000</v>
      </c>
      <c r="O201" s="171"/>
      <c r="P201" s="167">
        <v>242000000</v>
      </c>
      <c r="Q201" s="167">
        <f t="shared" si="32"/>
        <v>242000000</v>
      </c>
      <c r="R201" s="171"/>
      <c r="T201" s="201">
        <f t="shared" si="33"/>
        <v>242</v>
      </c>
      <c r="U201" s="201">
        <f t="shared" si="37"/>
        <v>242</v>
      </c>
      <c r="V201" s="201">
        <f t="shared" si="37"/>
        <v>0</v>
      </c>
      <c r="W201" s="201">
        <f t="shared" si="37"/>
        <v>242</v>
      </c>
      <c r="X201" s="201">
        <f t="shared" si="37"/>
        <v>242</v>
      </c>
      <c r="Y201" s="201">
        <f t="shared" si="37"/>
        <v>0</v>
      </c>
    </row>
    <row r="202" spans="1:25" s="169" customFormat="1" ht="39.6">
      <c r="A202" s="192" t="s">
        <v>1274</v>
      </c>
      <c r="B202" s="165" t="s">
        <v>1275</v>
      </c>
      <c r="C202" s="183" t="str">
        <f t="shared" si="30"/>
        <v>1098455</v>
      </c>
      <c r="D202" s="182" t="str">
        <f t="shared" si="29"/>
        <v>Trường Trung học PhS thông Ngô Mây Thành phố Kontum tỉnh Kontum</v>
      </c>
      <c r="E202" s="206"/>
      <c r="F202" s="207">
        <v>422</v>
      </c>
      <c r="G202" s="207"/>
      <c r="H202" s="205"/>
      <c r="I202" s="205"/>
      <c r="J202" s="167">
        <v>8669501000</v>
      </c>
      <c r="K202" s="166"/>
      <c r="L202" s="167">
        <v>8328490000</v>
      </c>
      <c r="M202" s="168">
        <v>341011000</v>
      </c>
      <c r="N202" s="168">
        <f t="shared" si="31"/>
        <v>8669501000</v>
      </c>
      <c r="O202" s="168"/>
      <c r="P202" s="167">
        <v>8361115000</v>
      </c>
      <c r="Q202" s="167">
        <f t="shared" si="32"/>
        <v>8361115000</v>
      </c>
      <c r="R202" s="168"/>
      <c r="T202" s="201">
        <f t="shared" si="33"/>
        <v>8669.5010000000002</v>
      </c>
      <c r="U202" s="201">
        <f t="shared" si="37"/>
        <v>8669.5010000000002</v>
      </c>
      <c r="V202" s="201">
        <f t="shared" si="37"/>
        <v>0</v>
      </c>
      <c r="W202" s="201">
        <f t="shared" si="37"/>
        <v>8361.1149999999998</v>
      </c>
      <c r="X202" s="201">
        <f t="shared" si="37"/>
        <v>8361.1149999999998</v>
      </c>
      <c r="Y202" s="201">
        <f t="shared" si="37"/>
        <v>0</v>
      </c>
    </row>
    <row r="203" spans="1:25" s="169" customFormat="1" ht="26.4">
      <c r="A203" s="192" t="s">
        <v>1277</v>
      </c>
      <c r="B203" s="165" t="s">
        <v>1278</v>
      </c>
      <c r="C203" s="183" t="str">
        <f t="shared" si="30"/>
        <v>1098629</v>
      </c>
      <c r="D203" s="182" t="str">
        <f t="shared" si="29"/>
        <v>Chi cục An toàn Vệ sinh Thực phẩm tỉnh Kontum</v>
      </c>
      <c r="E203" s="206"/>
      <c r="F203" s="207">
        <v>423</v>
      </c>
      <c r="G203" s="207"/>
      <c r="H203" s="205"/>
      <c r="I203" s="205"/>
      <c r="J203" s="167">
        <v>6141280182</v>
      </c>
      <c r="K203" s="166"/>
      <c r="L203" s="167">
        <v>4785430182</v>
      </c>
      <c r="M203" s="168">
        <v>1355850000</v>
      </c>
      <c r="N203" s="168">
        <f t="shared" si="31"/>
        <v>6141280182</v>
      </c>
      <c r="O203" s="168"/>
      <c r="P203" s="167">
        <v>4845280182</v>
      </c>
      <c r="Q203" s="167">
        <f t="shared" si="32"/>
        <v>4845280182</v>
      </c>
      <c r="R203" s="168"/>
      <c r="T203" s="201">
        <f t="shared" si="33"/>
        <v>6141.2801820000004</v>
      </c>
      <c r="U203" s="201">
        <f t="shared" si="37"/>
        <v>6141.2801820000004</v>
      </c>
      <c r="V203" s="201">
        <f t="shared" si="37"/>
        <v>0</v>
      </c>
      <c r="W203" s="201">
        <f t="shared" si="37"/>
        <v>4845.2801820000004</v>
      </c>
      <c r="X203" s="201">
        <f t="shared" si="37"/>
        <v>4845.2801820000004</v>
      </c>
      <c r="Y203" s="201">
        <f t="shared" si="37"/>
        <v>0</v>
      </c>
    </row>
    <row r="204" spans="1:25" s="169" customFormat="1" ht="27.6">
      <c r="A204" s="192" t="s">
        <v>1281</v>
      </c>
      <c r="B204" s="165" t="s">
        <v>1282</v>
      </c>
      <c r="C204" s="183" t="str">
        <f t="shared" si="30"/>
        <v>1098957</v>
      </c>
      <c r="D204" s="182" t="str">
        <f t="shared" si="29"/>
        <v>Uỷ ban tỉnh Kontum - Hội Liên hiệp Thanh niên Việt nam</v>
      </c>
      <c r="E204" s="206"/>
      <c r="F204" s="207">
        <v>511</v>
      </c>
      <c r="G204" s="207"/>
      <c r="H204" s="205"/>
      <c r="I204" s="205"/>
      <c r="J204" s="167">
        <v>171000000</v>
      </c>
      <c r="K204" s="166"/>
      <c r="L204" s="167">
        <v>171000000</v>
      </c>
      <c r="M204" s="171"/>
      <c r="N204" s="168">
        <f t="shared" si="31"/>
        <v>171000000</v>
      </c>
      <c r="O204" s="171"/>
      <c r="P204" s="167">
        <v>171000000</v>
      </c>
      <c r="Q204" s="167">
        <f t="shared" si="32"/>
        <v>171000000</v>
      </c>
      <c r="R204" s="171"/>
      <c r="T204" s="201">
        <f t="shared" si="33"/>
        <v>171</v>
      </c>
      <c r="U204" s="201">
        <f t="shared" si="37"/>
        <v>171</v>
      </c>
      <c r="V204" s="201">
        <f t="shared" si="37"/>
        <v>0</v>
      </c>
      <c r="W204" s="201">
        <f t="shared" si="37"/>
        <v>171</v>
      </c>
      <c r="X204" s="201">
        <f t="shared" si="37"/>
        <v>171</v>
      </c>
      <c r="Y204" s="201">
        <f t="shared" si="37"/>
        <v>0</v>
      </c>
    </row>
    <row r="205" spans="1:25" s="169" customFormat="1" ht="39.6">
      <c r="A205" s="192" t="s">
        <v>1284</v>
      </c>
      <c r="B205" s="165" t="s">
        <v>1285</v>
      </c>
      <c r="C205" s="183" t="str">
        <f t="shared" si="30"/>
        <v>1102850</v>
      </c>
      <c r="D205" s="182" t="str">
        <f t="shared" si="29"/>
        <v>Chi cục quản lý chãt lượng Nông lâm sản và Thủy sản tỉnh Kon Tum</v>
      </c>
      <c r="E205" s="206"/>
      <c r="F205" s="207">
        <v>412</v>
      </c>
      <c r="G205" s="207"/>
      <c r="H205" s="205"/>
      <c r="I205" s="205"/>
      <c r="J205" s="167">
        <v>3894500000</v>
      </c>
      <c r="K205" s="166"/>
      <c r="L205" s="167">
        <v>2086000000</v>
      </c>
      <c r="M205" s="168">
        <v>1808500000</v>
      </c>
      <c r="N205" s="168">
        <f>N206+N207</f>
        <v>2894500000</v>
      </c>
      <c r="O205" s="168">
        <f>O206+O207</f>
        <v>1000000000</v>
      </c>
      <c r="P205" s="167">
        <v>2026025900</v>
      </c>
      <c r="Q205" s="167">
        <f t="shared" si="32"/>
        <v>2026025900</v>
      </c>
      <c r="R205" s="168">
        <f>R206+R207</f>
        <v>0</v>
      </c>
      <c r="T205" s="201">
        <f t="shared" si="33"/>
        <v>3894.5</v>
      </c>
      <c r="U205" s="201">
        <f t="shared" si="37"/>
        <v>2894.5</v>
      </c>
      <c r="V205" s="201">
        <f t="shared" si="37"/>
        <v>1000</v>
      </c>
      <c r="W205" s="201">
        <f t="shared" si="37"/>
        <v>2026.0259000000001</v>
      </c>
      <c r="X205" s="201">
        <f t="shared" si="37"/>
        <v>2026.0259000000001</v>
      </c>
      <c r="Y205" s="201">
        <f t="shared" si="37"/>
        <v>0</v>
      </c>
    </row>
    <row r="206" spans="1:25" s="169" customFormat="1" ht="13.8">
      <c r="A206" s="192"/>
      <c r="B206" s="173"/>
      <c r="C206" s="183" t="str">
        <f t="shared" si="30"/>
        <v/>
      </c>
      <c r="D206" s="182" t="s">
        <v>1464</v>
      </c>
      <c r="E206" s="192"/>
      <c r="F206" s="192">
        <v>412</v>
      </c>
      <c r="G206" s="192"/>
      <c r="H206" s="210"/>
      <c r="I206" s="210"/>
      <c r="J206" s="174">
        <v>2894500000</v>
      </c>
      <c r="K206" s="174">
        <v>0</v>
      </c>
      <c r="L206" s="174">
        <v>2086000000</v>
      </c>
      <c r="M206" s="174">
        <v>808500000</v>
      </c>
      <c r="N206" s="168">
        <f t="shared" si="31"/>
        <v>2894500000</v>
      </c>
      <c r="O206" s="174">
        <v>0</v>
      </c>
      <c r="P206" s="174">
        <v>2026025900</v>
      </c>
      <c r="Q206" s="174">
        <v>2026025900</v>
      </c>
      <c r="R206" s="174">
        <v>0</v>
      </c>
      <c r="T206" s="201">
        <f t="shared" si="33"/>
        <v>2894.5</v>
      </c>
      <c r="U206" s="201">
        <f t="shared" si="37"/>
        <v>2894.5</v>
      </c>
      <c r="V206" s="201">
        <f t="shared" si="37"/>
        <v>0</v>
      </c>
      <c r="W206" s="201">
        <f t="shared" si="37"/>
        <v>2026.0259000000001</v>
      </c>
      <c r="X206" s="201">
        <f t="shared" si="37"/>
        <v>2026.0259000000001</v>
      </c>
      <c r="Y206" s="201">
        <f t="shared" si="37"/>
        <v>0</v>
      </c>
    </row>
    <row r="207" spans="1:25" s="169" customFormat="1" ht="13.8">
      <c r="A207" s="193"/>
      <c r="B207" s="187"/>
      <c r="C207" s="183" t="str">
        <f t="shared" si="30"/>
        <v/>
      </c>
      <c r="D207" s="182" t="s">
        <v>1470</v>
      </c>
      <c r="E207" s="192" t="s">
        <v>681</v>
      </c>
      <c r="F207" s="192" t="s">
        <v>698</v>
      </c>
      <c r="G207" s="192" t="s">
        <v>727</v>
      </c>
      <c r="H207" s="210" t="s">
        <v>1442</v>
      </c>
      <c r="I207" s="210"/>
      <c r="J207" s="167">
        <v>1000000000</v>
      </c>
      <c r="K207" s="166"/>
      <c r="L207" s="166"/>
      <c r="M207" s="168">
        <v>1000000000</v>
      </c>
      <c r="N207" s="168">
        <f t="shared" si="31"/>
        <v>0</v>
      </c>
      <c r="O207" s="168">
        <f>J207</f>
        <v>1000000000</v>
      </c>
      <c r="P207" s="166"/>
      <c r="Q207" s="167">
        <f t="shared" ref="Q207:Q256" si="38">P207-R207</f>
        <v>0</v>
      </c>
      <c r="R207" s="168">
        <f>P207</f>
        <v>0</v>
      </c>
      <c r="T207" s="201">
        <f t="shared" si="33"/>
        <v>1000</v>
      </c>
      <c r="U207" s="201">
        <f t="shared" si="37"/>
        <v>0</v>
      </c>
      <c r="V207" s="201">
        <f t="shared" si="37"/>
        <v>1000</v>
      </c>
      <c r="W207" s="201">
        <f t="shared" si="37"/>
        <v>0</v>
      </c>
      <c r="X207" s="201">
        <f t="shared" si="37"/>
        <v>0</v>
      </c>
      <c r="Y207" s="201">
        <f t="shared" si="37"/>
        <v>0</v>
      </c>
    </row>
    <row r="208" spans="1:25" s="169" customFormat="1" ht="26.4">
      <c r="A208" s="192" t="s">
        <v>1288</v>
      </c>
      <c r="B208" s="176" t="s">
        <v>1289</v>
      </c>
      <c r="C208" s="183" t="str">
        <f t="shared" si="30"/>
        <v>1102860</v>
      </c>
      <c r="D208" s="182" t="str">
        <f t="shared" ref="D208:D256" si="39">IF(C208&lt;&gt;"",RIGHT(B208,LEN(B208)-8),"")</f>
        <v>Ban Quản lý Khu Kinh tẽ -:ỉnh Kontum</v>
      </c>
      <c r="E208" s="206"/>
      <c r="F208" s="207">
        <v>599</v>
      </c>
      <c r="G208" s="207"/>
      <c r="H208" s="205"/>
      <c r="I208" s="205"/>
      <c r="J208" s="167">
        <v>12023335321</v>
      </c>
      <c r="K208" s="167">
        <v>814797654</v>
      </c>
      <c r="L208" s="167">
        <v>10300720000</v>
      </c>
      <c r="M208" s="168">
        <v>907817667</v>
      </c>
      <c r="N208" s="168">
        <f t="shared" si="31"/>
        <v>12023335321</v>
      </c>
      <c r="O208" s="168"/>
      <c r="P208" s="167">
        <v>11873335321</v>
      </c>
      <c r="Q208" s="167">
        <f t="shared" si="38"/>
        <v>11873335321</v>
      </c>
      <c r="R208" s="168"/>
      <c r="T208" s="201">
        <f t="shared" si="33"/>
        <v>12023.335321</v>
      </c>
      <c r="U208" s="201">
        <f t="shared" si="37"/>
        <v>12023.335321</v>
      </c>
      <c r="V208" s="201">
        <f t="shared" si="37"/>
        <v>0</v>
      </c>
      <c r="W208" s="201">
        <f t="shared" si="37"/>
        <v>11873.335321</v>
      </c>
      <c r="X208" s="201">
        <f t="shared" si="37"/>
        <v>11873.335321</v>
      </c>
      <c r="Y208" s="201">
        <f t="shared" si="37"/>
        <v>0</v>
      </c>
    </row>
    <row r="209" spans="1:25" s="169" customFormat="1" ht="39.6">
      <c r="A209" s="192" t="s">
        <v>1292</v>
      </c>
      <c r="B209" s="176" t="s">
        <v>1293</v>
      </c>
      <c r="C209" s="183" t="str">
        <f t="shared" si="30"/>
        <v>1103882</v>
      </c>
      <c r="D209" s="182" t="str">
        <f t="shared" si="39"/>
        <v>Ban Quản lý Dự ân khu vực &lt;hu kinh tẽ cửa khẩu quốc tẽ Bờ Y</v>
      </c>
      <c r="E209" s="206"/>
      <c r="F209" s="207">
        <v>599</v>
      </c>
      <c r="G209" s="207"/>
      <c r="H209" s="205"/>
      <c r="I209" s="205"/>
      <c r="J209" s="167">
        <v>1429280000</v>
      </c>
      <c r="K209" s="166"/>
      <c r="L209" s="167">
        <v>1429280000</v>
      </c>
      <c r="M209" s="171"/>
      <c r="N209" s="168">
        <f t="shared" si="31"/>
        <v>1429280000</v>
      </c>
      <c r="O209" s="171"/>
      <c r="P209" s="167">
        <v>842956000</v>
      </c>
      <c r="Q209" s="167">
        <f t="shared" si="38"/>
        <v>842956000</v>
      </c>
      <c r="R209" s="171"/>
      <c r="T209" s="201">
        <f t="shared" si="33"/>
        <v>1429.28</v>
      </c>
      <c r="U209" s="201">
        <f t="shared" si="37"/>
        <v>1429.28</v>
      </c>
      <c r="V209" s="201">
        <f t="shared" si="37"/>
        <v>0</v>
      </c>
      <c r="W209" s="201">
        <f t="shared" si="37"/>
        <v>842.95600000000002</v>
      </c>
      <c r="X209" s="201">
        <f t="shared" si="37"/>
        <v>842.95600000000002</v>
      </c>
      <c r="Y209" s="201">
        <f t="shared" si="37"/>
        <v>0</v>
      </c>
    </row>
    <row r="210" spans="1:25" s="169" customFormat="1" ht="13.8">
      <c r="A210" s="192" t="s">
        <v>1295</v>
      </c>
      <c r="B210" s="164" t="s">
        <v>1296</v>
      </c>
      <c r="C210" s="183" t="str">
        <f t="shared" si="30"/>
        <v>1104765</v>
      </c>
      <c r="D210" s="182" t="str">
        <f t="shared" si="39"/>
        <v>Ban quản lý di tích Kon Tum</v>
      </c>
      <c r="E210" s="206"/>
      <c r="F210" s="207">
        <v>425</v>
      </c>
      <c r="G210" s="207"/>
      <c r="H210" s="205"/>
      <c r="I210" s="205"/>
      <c r="J210" s="167">
        <v>1452900000</v>
      </c>
      <c r="K210" s="166"/>
      <c r="L210" s="167">
        <v>1430900000</v>
      </c>
      <c r="M210" s="168">
        <v>22000000</v>
      </c>
      <c r="N210" s="168">
        <f t="shared" si="31"/>
        <v>1452900000</v>
      </c>
      <c r="O210" s="168"/>
      <c r="P210" s="167">
        <v>1452900000</v>
      </c>
      <c r="Q210" s="167">
        <f t="shared" si="38"/>
        <v>1452900000</v>
      </c>
      <c r="R210" s="168"/>
      <c r="T210" s="201">
        <f t="shared" si="33"/>
        <v>1452.9</v>
      </c>
      <c r="U210" s="201">
        <f t="shared" si="37"/>
        <v>1452.9</v>
      </c>
      <c r="V210" s="201">
        <f t="shared" si="37"/>
        <v>0</v>
      </c>
      <c r="W210" s="201">
        <f t="shared" si="37"/>
        <v>1452.9</v>
      </c>
      <c r="X210" s="201">
        <f t="shared" si="37"/>
        <v>1452.9</v>
      </c>
      <c r="Y210" s="201">
        <f t="shared" si="37"/>
        <v>0</v>
      </c>
    </row>
    <row r="211" spans="1:25" s="169" customFormat="1" ht="39.6">
      <c r="A211" s="192" t="s">
        <v>1298</v>
      </c>
      <c r="B211" s="176" t="s">
        <v>1299</v>
      </c>
      <c r="C211" s="183" t="str">
        <f t="shared" si="30"/>
        <v>1105650</v>
      </c>
      <c r="D211" s="182" t="str">
        <f t="shared" si="39"/>
        <v>Trường Trung học PhS rhông Trường Chinh - TP.Kon Tum -rỉnh Kon Tum</v>
      </c>
      <c r="E211" s="206"/>
      <c r="F211" s="207">
        <v>422</v>
      </c>
      <c r="G211" s="207"/>
      <c r="H211" s="205"/>
      <c r="I211" s="205"/>
      <c r="J211" s="167">
        <v>7474643364</v>
      </c>
      <c r="K211" s="167">
        <v>73727364</v>
      </c>
      <c r="L211" s="167">
        <v>7267388000</v>
      </c>
      <c r="M211" s="168">
        <v>133528000</v>
      </c>
      <c r="N211" s="168">
        <f t="shared" si="31"/>
        <v>7474643364</v>
      </c>
      <c r="O211" s="168"/>
      <c r="P211" s="167">
        <v>7454327414</v>
      </c>
      <c r="Q211" s="167">
        <f t="shared" si="38"/>
        <v>7454327414</v>
      </c>
      <c r="R211" s="168"/>
      <c r="T211" s="201">
        <f t="shared" si="33"/>
        <v>7474.6433639999996</v>
      </c>
      <c r="U211" s="201">
        <f t="shared" si="37"/>
        <v>7474.6433639999996</v>
      </c>
      <c r="V211" s="201">
        <f t="shared" si="37"/>
        <v>0</v>
      </c>
      <c r="W211" s="201">
        <f t="shared" si="37"/>
        <v>7454.3274140000003</v>
      </c>
      <c r="X211" s="201">
        <f t="shared" si="37"/>
        <v>7454.3274140000003</v>
      </c>
      <c r="Y211" s="201">
        <f t="shared" si="37"/>
        <v>0</v>
      </c>
    </row>
    <row r="212" spans="1:25" s="169" customFormat="1" ht="27.6">
      <c r="A212" s="192" t="s">
        <v>1301</v>
      </c>
      <c r="B212" s="165" t="s">
        <v>1302</v>
      </c>
      <c r="C212" s="183" t="str">
        <f t="shared" si="30"/>
        <v>1105744</v>
      </c>
      <c r="D212" s="182" t="str">
        <f t="shared" si="39"/>
        <v>Công ty Đău tư phát triển Hạ ăng Khu Kinh tẽ tỉnh Kon Tum</v>
      </c>
      <c r="E212" s="206"/>
      <c r="F212" s="207">
        <v>599</v>
      </c>
      <c r="G212" s="207"/>
      <c r="H212" s="205"/>
      <c r="I212" s="205"/>
      <c r="J212" s="167">
        <v>6078076050</v>
      </c>
      <c r="K212" s="167">
        <v>57676050</v>
      </c>
      <c r="L212" s="167">
        <v>4022400000</v>
      </c>
      <c r="M212" s="168">
        <v>1998000000</v>
      </c>
      <c r="N212" s="168">
        <f t="shared" si="31"/>
        <v>6078076050</v>
      </c>
      <c r="O212" s="168"/>
      <c r="P212" s="167">
        <v>6077955341</v>
      </c>
      <c r="Q212" s="167">
        <f t="shared" si="38"/>
        <v>6077955341</v>
      </c>
      <c r="R212" s="168"/>
      <c r="T212" s="201">
        <f t="shared" si="33"/>
        <v>6078.0760499999997</v>
      </c>
      <c r="U212" s="201">
        <f t="shared" si="37"/>
        <v>6078.0760499999997</v>
      </c>
      <c r="V212" s="201">
        <f t="shared" si="37"/>
        <v>0</v>
      </c>
      <c r="W212" s="201">
        <f t="shared" si="37"/>
        <v>6077.9553409999999</v>
      </c>
      <c r="X212" s="201">
        <f t="shared" si="37"/>
        <v>6077.9553409999999</v>
      </c>
      <c r="Y212" s="201">
        <f t="shared" si="37"/>
        <v>0</v>
      </c>
    </row>
    <row r="213" spans="1:25" s="169" customFormat="1" ht="26.4">
      <c r="A213" s="192" t="s">
        <v>1304</v>
      </c>
      <c r="B213" s="165" t="s">
        <v>1305</v>
      </c>
      <c r="C213" s="183" t="str">
        <f t="shared" si="30"/>
        <v>1105924</v>
      </c>
      <c r="D213" s="182" t="str">
        <f t="shared" si="39"/>
        <v>Trung Tâm hỗ trợ Thanh niên rỉnh Kon Tum</v>
      </c>
      <c r="E213" s="206"/>
      <c r="F213" s="207">
        <v>511</v>
      </c>
      <c r="G213" s="207"/>
      <c r="H213" s="205"/>
      <c r="I213" s="205"/>
      <c r="J213" s="167">
        <v>445000000</v>
      </c>
      <c r="K213" s="166"/>
      <c r="L213" s="167">
        <v>445000000</v>
      </c>
      <c r="M213" s="171"/>
      <c r="N213" s="168">
        <f t="shared" si="31"/>
        <v>445000000</v>
      </c>
      <c r="O213" s="171"/>
      <c r="P213" s="167">
        <v>445000000</v>
      </c>
      <c r="Q213" s="167">
        <f t="shared" si="38"/>
        <v>445000000</v>
      </c>
      <c r="R213" s="171"/>
      <c r="T213" s="201">
        <f t="shared" si="33"/>
        <v>445</v>
      </c>
      <c r="U213" s="201">
        <f t="shared" si="37"/>
        <v>445</v>
      </c>
      <c r="V213" s="201">
        <f t="shared" si="37"/>
        <v>0</v>
      </c>
      <c r="W213" s="201">
        <f t="shared" si="37"/>
        <v>445</v>
      </c>
      <c r="X213" s="201">
        <f t="shared" si="37"/>
        <v>445</v>
      </c>
      <c r="Y213" s="201">
        <f t="shared" si="37"/>
        <v>0</v>
      </c>
    </row>
    <row r="214" spans="1:25" s="169" customFormat="1" ht="28.8">
      <c r="A214" s="192" t="s">
        <v>1307</v>
      </c>
      <c r="B214" s="165" t="s">
        <v>1308</v>
      </c>
      <c r="C214" s="183" t="str">
        <f t="shared" si="30"/>
        <v>1106147</v>
      </c>
      <c r="D214" s="182" t="str">
        <f t="shared" si="39"/>
        <v>Trường Trung học PhS thông :,han Bội Châu - tỉnh Kontum</v>
      </c>
      <c r="E214" s="206"/>
      <c r="F214" s="207">
        <v>422</v>
      </c>
      <c r="G214" s="207"/>
      <c r="H214" s="205"/>
      <c r="I214" s="205"/>
      <c r="J214" s="167">
        <v>3926822000</v>
      </c>
      <c r="K214" s="166"/>
      <c r="L214" s="167">
        <v>3923421000</v>
      </c>
      <c r="M214" s="168">
        <v>3401000</v>
      </c>
      <c r="N214" s="168">
        <f t="shared" si="31"/>
        <v>3926822000</v>
      </c>
      <c r="O214" s="168"/>
      <c r="P214" s="167">
        <v>3922581500</v>
      </c>
      <c r="Q214" s="167">
        <f t="shared" si="38"/>
        <v>3922581500</v>
      </c>
      <c r="R214" s="168"/>
      <c r="T214" s="201">
        <f t="shared" si="33"/>
        <v>3926.8220000000001</v>
      </c>
      <c r="U214" s="201">
        <f t="shared" si="37"/>
        <v>3926.8220000000001</v>
      </c>
      <c r="V214" s="201">
        <f t="shared" si="37"/>
        <v>0</v>
      </c>
      <c r="W214" s="201">
        <f t="shared" si="37"/>
        <v>3922.5814999999998</v>
      </c>
      <c r="X214" s="201">
        <f t="shared" si="37"/>
        <v>3922.5814999999998</v>
      </c>
      <c r="Y214" s="201">
        <f t="shared" si="37"/>
        <v>0</v>
      </c>
    </row>
    <row r="215" spans="1:25" s="169" customFormat="1" ht="42">
      <c r="A215" s="192" t="s">
        <v>1310</v>
      </c>
      <c r="B215" s="165" t="s">
        <v>1311</v>
      </c>
      <c r="C215" s="183" t="str">
        <f t="shared" ref="C215:C256" si="40">IF(B215&lt;&gt;"",IF(AND(LEFT(B215,1)&gt;="0",LEFT(B215,1)&lt;="9"),LEFT(B215,7),""),"")</f>
        <v>1106537</v>
      </c>
      <c r="D215" s="182" t="str">
        <f t="shared" si="39"/>
        <v>Trường Trung học PhS thông :,han Chu Trinh - huyện Ngọc Hồi -:ỉnh Kontum</v>
      </c>
      <c r="E215" s="206"/>
      <c r="F215" s="207">
        <v>422</v>
      </c>
      <c r="G215" s="207"/>
      <c r="H215" s="205"/>
      <c r="I215" s="205"/>
      <c r="J215" s="167">
        <v>4520596288</v>
      </c>
      <c r="K215" s="167">
        <v>106288</v>
      </c>
      <c r="L215" s="167">
        <v>4055280000</v>
      </c>
      <c r="M215" s="168">
        <v>465210000</v>
      </c>
      <c r="N215" s="168">
        <f t="shared" si="31"/>
        <v>4520596288</v>
      </c>
      <c r="O215" s="168"/>
      <c r="P215" s="167">
        <v>4091981890</v>
      </c>
      <c r="Q215" s="167">
        <f t="shared" si="38"/>
        <v>4091981890</v>
      </c>
      <c r="R215" s="168"/>
      <c r="T215" s="201">
        <f t="shared" si="33"/>
        <v>4520.5962879999997</v>
      </c>
      <c r="U215" s="201">
        <f t="shared" si="37"/>
        <v>4520.5962879999997</v>
      </c>
      <c r="V215" s="201">
        <f t="shared" si="37"/>
        <v>0</v>
      </c>
      <c r="W215" s="201">
        <f t="shared" si="37"/>
        <v>4091.98189</v>
      </c>
      <c r="X215" s="201">
        <f t="shared" si="37"/>
        <v>4091.98189</v>
      </c>
      <c r="Y215" s="201">
        <f t="shared" si="37"/>
        <v>0</v>
      </c>
    </row>
    <row r="216" spans="1:25" s="169" customFormat="1" ht="39.6">
      <c r="A216" s="192" t="s">
        <v>1313</v>
      </c>
      <c r="B216" s="176" t="s">
        <v>1314</v>
      </c>
      <c r="C216" s="183" t="str">
        <f t="shared" si="40"/>
        <v>1107173</v>
      </c>
      <c r="D216" s="182" t="str">
        <f t="shared" si="39"/>
        <v>Hội Hữu nghị Việt Nam -Campuchia và Hội hữu Nghị Việt Nam Lào</v>
      </c>
      <c r="E216" s="206"/>
      <c r="F216" s="207">
        <v>517</v>
      </c>
      <c r="G216" s="207"/>
      <c r="H216" s="205"/>
      <c r="I216" s="205"/>
      <c r="J216" s="167">
        <v>202000000</v>
      </c>
      <c r="K216" s="166"/>
      <c r="L216" s="167">
        <v>202000000</v>
      </c>
      <c r="M216" s="171"/>
      <c r="N216" s="168">
        <f t="shared" ref="N216:N256" si="41">J216-O216</f>
        <v>202000000</v>
      </c>
      <c r="O216" s="171"/>
      <c r="P216" s="167">
        <v>201996206</v>
      </c>
      <c r="Q216" s="167">
        <f t="shared" si="38"/>
        <v>201996206</v>
      </c>
      <c r="R216" s="171"/>
      <c r="T216" s="201">
        <f t="shared" ref="T216:T256" si="42">J216/1000000</f>
        <v>202</v>
      </c>
      <c r="U216" s="201">
        <f t="shared" ref="U216:Y231" si="43">N216/1000000</f>
        <v>202</v>
      </c>
      <c r="V216" s="201">
        <f t="shared" si="43"/>
        <v>0</v>
      </c>
      <c r="W216" s="201">
        <f t="shared" si="43"/>
        <v>201.996206</v>
      </c>
      <c r="X216" s="201">
        <f t="shared" si="43"/>
        <v>201.996206</v>
      </c>
      <c r="Y216" s="201">
        <f t="shared" si="43"/>
        <v>0</v>
      </c>
    </row>
    <row r="217" spans="1:25" s="169" customFormat="1" ht="26.4">
      <c r="A217" s="192" t="s">
        <v>1317</v>
      </c>
      <c r="B217" s="176" t="s">
        <v>1318</v>
      </c>
      <c r="C217" s="183" t="str">
        <f t="shared" si="40"/>
        <v>1108872</v>
      </c>
      <c r="D217" s="182" t="str">
        <f t="shared" si="39"/>
        <v>Trung tâm phòng chổng HIV/AIDS tinh Kon Tum</v>
      </c>
      <c r="E217" s="206"/>
      <c r="F217" s="207">
        <v>423</v>
      </c>
      <c r="G217" s="207"/>
      <c r="H217" s="205"/>
      <c r="I217" s="205"/>
      <c r="J217" s="167">
        <v>3494539000</v>
      </c>
      <c r="K217" s="166"/>
      <c r="L217" s="167">
        <v>3286390000</v>
      </c>
      <c r="M217" s="168">
        <v>208149000</v>
      </c>
      <c r="N217" s="168">
        <f t="shared" si="41"/>
        <v>3494539000</v>
      </c>
      <c r="O217" s="168"/>
      <c r="P217" s="167">
        <v>3494539000</v>
      </c>
      <c r="Q217" s="167">
        <f t="shared" si="38"/>
        <v>3494539000</v>
      </c>
      <c r="R217" s="168"/>
      <c r="T217" s="201">
        <f t="shared" si="42"/>
        <v>3494.5390000000002</v>
      </c>
      <c r="U217" s="201">
        <f t="shared" si="43"/>
        <v>3494.5390000000002</v>
      </c>
      <c r="V217" s="201">
        <f t="shared" si="43"/>
        <v>0</v>
      </c>
      <c r="W217" s="201">
        <f t="shared" si="43"/>
        <v>3494.5390000000002</v>
      </c>
      <c r="X217" s="201">
        <f t="shared" si="43"/>
        <v>3494.5390000000002</v>
      </c>
      <c r="Y217" s="201">
        <f t="shared" si="43"/>
        <v>0</v>
      </c>
    </row>
    <row r="218" spans="1:25" s="169" customFormat="1" ht="39.6">
      <c r="A218" s="192" t="s">
        <v>1321</v>
      </c>
      <c r="B218" s="165" t="s">
        <v>1322</v>
      </c>
      <c r="C218" s="183" t="str">
        <f t="shared" si="40"/>
        <v>1109490</v>
      </c>
      <c r="D218" s="182" t="str">
        <f t="shared" si="39"/>
        <v>Trung tâm Kỹ thuật Tiêu chuẫn Đo lường Chăt lượng tỉnh -Kontum</v>
      </c>
      <c r="E218" s="206"/>
      <c r="F218" s="207">
        <v>417</v>
      </c>
      <c r="G218" s="207"/>
      <c r="H218" s="205"/>
      <c r="I218" s="205"/>
      <c r="J218" s="167">
        <v>741076918</v>
      </c>
      <c r="K218" s="167">
        <v>76918</v>
      </c>
      <c r="L218" s="167">
        <v>732700000</v>
      </c>
      <c r="M218" s="168">
        <v>8300000</v>
      </c>
      <c r="N218" s="168">
        <f t="shared" si="41"/>
        <v>741076918</v>
      </c>
      <c r="O218" s="168"/>
      <c r="P218" s="167">
        <v>719092918</v>
      </c>
      <c r="Q218" s="167">
        <f t="shared" si="38"/>
        <v>719092918</v>
      </c>
      <c r="R218" s="168"/>
      <c r="T218" s="201">
        <f t="shared" si="42"/>
        <v>741.07691799999998</v>
      </c>
      <c r="U218" s="201">
        <f t="shared" si="43"/>
        <v>741.07691799999998</v>
      </c>
      <c r="V218" s="201">
        <f t="shared" si="43"/>
        <v>0</v>
      </c>
      <c r="W218" s="201">
        <f t="shared" si="43"/>
        <v>719.09291800000005</v>
      </c>
      <c r="X218" s="201">
        <f t="shared" si="43"/>
        <v>719.09291800000005</v>
      </c>
      <c r="Y218" s="201">
        <f t="shared" si="43"/>
        <v>0</v>
      </c>
    </row>
    <row r="219" spans="1:25" s="169" customFormat="1" ht="27.6">
      <c r="A219" s="192" t="s">
        <v>1324</v>
      </c>
      <c r="B219" s="176" t="s">
        <v>1325</v>
      </c>
      <c r="C219" s="183" t="str">
        <f t="shared" si="40"/>
        <v>1112480</v>
      </c>
      <c r="D219" s="182" t="str">
        <f t="shared" si="39"/>
        <v>Ban quản lý Khai thác các công trinh thủy lợi tỉnh Kontum</v>
      </c>
      <c r="E219" s="206"/>
      <c r="F219" s="207">
        <v>599</v>
      </c>
      <c r="G219" s="207"/>
      <c r="H219" s="205"/>
      <c r="I219" s="205"/>
      <c r="J219" s="167">
        <v>32864412505</v>
      </c>
      <c r="K219" s="167">
        <v>320412505</v>
      </c>
      <c r="L219" s="167">
        <v>21947000000</v>
      </c>
      <c r="M219" s="168">
        <v>10597000000</v>
      </c>
      <c r="N219" s="168">
        <f t="shared" si="41"/>
        <v>32864412505</v>
      </c>
      <c r="O219" s="168"/>
      <c r="P219" s="167">
        <v>31124412502</v>
      </c>
      <c r="Q219" s="167">
        <f t="shared" si="38"/>
        <v>31124412502</v>
      </c>
      <c r="R219" s="168"/>
      <c r="T219" s="201">
        <f t="shared" si="42"/>
        <v>32864.412505</v>
      </c>
      <c r="U219" s="201">
        <f t="shared" si="43"/>
        <v>32864.412505</v>
      </c>
      <c r="V219" s="201">
        <f t="shared" si="43"/>
        <v>0</v>
      </c>
      <c r="W219" s="201">
        <f t="shared" si="43"/>
        <v>31124.412501999999</v>
      </c>
      <c r="X219" s="201">
        <f t="shared" si="43"/>
        <v>31124.412501999999</v>
      </c>
      <c r="Y219" s="201">
        <f t="shared" si="43"/>
        <v>0</v>
      </c>
    </row>
    <row r="220" spans="1:25" s="169" customFormat="1" ht="26.4">
      <c r="A220" s="192" t="s">
        <v>1327</v>
      </c>
      <c r="B220" s="165" t="s">
        <v>1328</v>
      </c>
      <c r="C220" s="183" t="str">
        <f t="shared" si="40"/>
        <v>1113386</v>
      </c>
      <c r="D220" s="182" t="str">
        <f t="shared" si="39"/>
        <v>Chi cục Văn thư Lưu trữ, sờ Nội vụ tỉnh Kontum</v>
      </c>
      <c r="E220" s="206"/>
      <c r="F220" s="207">
        <v>435</v>
      </c>
      <c r="G220" s="207"/>
      <c r="H220" s="205"/>
      <c r="I220" s="205"/>
      <c r="J220" s="167">
        <v>1396200000</v>
      </c>
      <c r="K220" s="166"/>
      <c r="L220" s="167">
        <v>1262000000</v>
      </c>
      <c r="M220" s="168">
        <v>134200000</v>
      </c>
      <c r="N220" s="168">
        <f t="shared" si="41"/>
        <v>1396200000</v>
      </c>
      <c r="O220" s="168"/>
      <c r="P220" s="167">
        <v>1396200000</v>
      </c>
      <c r="Q220" s="167">
        <f t="shared" si="38"/>
        <v>1396200000</v>
      </c>
      <c r="R220" s="168"/>
      <c r="T220" s="201">
        <f t="shared" si="42"/>
        <v>1396.2</v>
      </c>
      <c r="U220" s="201">
        <f t="shared" si="43"/>
        <v>1396.2</v>
      </c>
      <c r="V220" s="201">
        <f t="shared" si="43"/>
        <v>0</v>
      </c>
      <c r="W220" s="201">
        <f t="shared" si="43"/>
        <v>1396.2</v>
      </c>
      <c r="X220" s="201">
        <f t="shared" si="43"/>
        <v>1396.2</v>
      </c>
      <c r="Y220" s="201">
        <f t="shared" si="43"/>
        <v>0</v>
      </c>
    </row>
    <row r="221" spans="1:25" s="169" customFormat="1" ht="39.6">
      <c r="A221" s="192" t="s">
        <v>1330</v>
      </c>
      <c r="B221" s="165" t="s">
        <v>1331</v>
      </c>
      <c r="C221" s="183" t="str">
        <f t="shared" si="40"/>
        <v>1114113</v>
      </c>
      <c r="D221" s="182" t="str">
        <f t="shared" si="39"/>
        <v>Ban chỉ đạo phân giới, cắm mổc tỉnh Kontum (Viêt nam - Cam Pu Chia)</v>
      </c>
      <c r="E221" s="206"/>
      <c r="F221" s="207">
        <v>411</v>
      </c>
      <c r="G221" s="207"/>
      <c r="H221" s="205"/>
      <c r="I221" s="205"/>
      <c r="J221" s="167">
        <v>33874205973</v>
      </c>
      <c r="K221" s="167">
        <v>18819205973</v>
      </c>
      <c r="L221" s="167">
        <v>15055000000</v>
      </c>
      <c r="M221" s="171"/>
      <c r="N221" s="168">
        <f t="shared" si="41"/>
        <v>33874205973</v>
      </c>
      <c r="O221" s="171"/>
      <c r="P221" s="167">
        <v>33874205973</v>
      </c>
      <c r="Q221" s="167">
        <f t="shared" si="38"/>
        <v>33874205973</v>
      </c>
      <c r="R221" s="171"/>
      <c r="T221" s="201">
        <f t="shared" si="42"/>
        <v>33874.205972999996</v>
      </c>
      <c r="U221" s="201">
        <f t="shared" si="43"/>
        <v>33874.205972999996</v>
      </c>
      <c r="V221" s="201">
        <f t="shared" si="43"/>
        <v>0</v>
      </c>
      <c r="W221" s="201">
        <f t="shared" si="43"/>
        <v>33874.205972999996</v>
      </c>
      <c r="X221" s="201">
        <f t="shared" si="43"/>
        <v>33874.205972999996</v>
      </c>
      <c r="Y221" s="201">
        <f t="shared" si="43"/>
        <v>0</v>
      </c>
    </row>
    <row r="222" spans="1:25" s="169" customFormat="1" ht="26.4">
      <c r="A222" s="192" t="s">
        <v>1333</v>
      </c>
      <c r="B222" s="165" t="s">
        <v>1334</v>
      </c>
      <c r="C222" s="183" t="str">
        <f t="shared" si="40"/>
        <v>1114511</v>
      </c>
      <c r="D222" s="182" t="str">
        <f t="shared" si="39"/>
        <v>Bệnh viện Y dược cỗ truyỄn tỉnh Kontum</v>
      </c>
      <c r="E222" s="206"/>
      <c r="F222" s="207">
        <v>423</v>
      </c>
      <c r="G222" s="207"/>
      <c r="H222" s="205"/>
      <c r="I222" s="205"/>
      <c r="J222" s="167">
        <v>3210000000</v>
      </c>
      <c r="K222" s="166"/>
      <c r="L222" s="167">
        <v>3664950000</v>
      </c>
      <c r="M222" s="168">
        <v>-454950000</v>
      </c>
      <c r="N222" s="168">
        <f t="shared" si="41"/>
        <v>3210000000</v>
      </c>
      <c r="O222" s="168"/>
      <c r="P222" s="167">
        <v>3210000000</v>
      </c>
      <c r="Q222" s="167">
        <f t="shared" si="38"/>
        <v>3210000000</v>
      </c>
      <c r="R222" s="168"/>
      <c r="T222" s="201">
        <f t="shared" si="42"/>
        <v>3210</v>
      </c>
      <c r="U222" s="201">
        <f t="shared" si="43"/>
        <v>3210</v>
      </c>
      <c r="V222" s="201">
        <f t="shared" si="43"/>
        <v>0</v>
      </c>
      <c r="W222" s="201">
        <f t="shared" si="43"/>
        <v>3210</v>
      </c>
      <c r="X222" s="201">
        <f t="shared" si="43"/>
        <v>3210</v>
      </c>
      <c r="Y222" s="201">
        <f t="shared" si="43"/>
        <v>0</v>
      </c>
    </row>
    <row r="223" spans="1:25" s="169" customFormat="1" ht="27.6">
      <c r="A223" s="192" t="s">
        <v>1336</v>
      </c>
      <c r="B223" s="165" t="s">
        <v>1337</v>
      </c>
      <c r="C223" s="183" t="str">
        <f t="shared" si="40"/>
        <v>1115051</v>
      </c>
      <c r="D223" s="182" t="str">
        <f t="shared" si="39"/>
        <v>Hội liên lạc người Việt nam ờ nước ngoài tỉnh Kontum</v>
      </c>
      <c r="E223" s="206"/>
      <c r="F223" s="207">
        <v>599</v>
      </c>
      <c r="G223" s="207"/>
      <c r="H223" s="205"/>
      <c r="I223" s="205"/>
      <c r="J223" s="167">
        <v>96000000</v>
      </c>
      <c r="K223" s="166"/>
      <c r="L223" s="167">
        <v>96000000</v>
      </c>
      <c r="M223" s="171"/>
      <c r="N223" s="168">
        <f t="shared" si="41"/>
        <v>96000000</v>
      </c>
      <c r="O223" s="171"/>
      <c r="P223" s="167">
        <v>96000000</v>
      </c>
      <c r="Q223" s="167">
        <f t="shared" si="38"/>
        <v>96000000</v>
      </c>
      <c r="R223" s="171"/>
      <c r="T223" s="201">
        <f t="shared" si="42"/>
        <v>96</v>
      </c>
      <c r="U223" s="201">
        <f t="shared" si="43"/>
        <v>96</v>
      </c>
      <c r="V223" s="201">
        <f t="shared" si="43"/>
        <v>0</v>
      </c>
      <c r="W223" s="201">
        <f t="shared" si="43"/>
        <v>96</v>
      </c>
      <c r="X223" s="201">
        <f t="shared" si="43"/>
        <v>96</v>
      </c>
      <c r="Y223" s="201">
        <f t="shared" si="43"/>
        <v>0</v>
      </c>
    </row>
    <row r="224" spans="1:25" s="169" customFormat="1" ht="39.6">
      <c r="A224" s="192" t="s">
        <v>1339</v>
      </c>
      <c r="B224" s="165" t="s">
        <v>1340</v>
      </c>
      <c r="C224" s="183" t="str">
        <f t="shared" si="40"/>
        <v>1115161</v>
      </c>
      <c r="D224" s="182" t="str">
        <f t="shared" si="39"/>
        <v>-Ban Quản lý mua sắm thiẽt b trường học sờ giáo dục đào tạo Kon Tum</v>
      </c>
      <c r="E224" s="206"/>
      <c r="F224" s="207">
        <v>422</v>
      </c>
      <c r="G224" s="207"/>
      <c r="H224" s="205"/>
      <c r="I224" s="205"/>
      <c r="J224" s="167">
        <v>25040000000</v>
      </c>
      <c r="K224" s="166"/>
      <c r="L224" s="167">
        <v>5775000000</v>
      </c>
      <c r="M224" s="168">
        <v>19265000000</v>
      </c>
      <c r="N224" s="168">
        <f t="shared" si="41"/>
        <v>25040000000</v>
      </c>
      <c r="O224" s="168"/>
      <c r="P224" s="167">
        <v>24072585000</v>
      </c>
      <c r="Q224" s="167">
        <f t="shared" si="38"/>
        <v>24072585000</v>
      </c>
      <c r="R224" s="168"/>
      <c r="T224" s="201">
        <f t="shared" si="42"/>
        <v>25040</v>
      </c>
      <c r="U224" s="201">
        <f t="shared" si="43"/>
        <v>25040</v>
      </c>
      <c r="V224" s="201">
        <f t="shared" si="43"/>
        <v>0</v>
      </c>
      <c r="W224" s="201">
        <f t="shared" si="43"/>
        <v>24072.584999999999</v>
      </c>
      <c r="X224" s="201">
        <f t="shared" si="43"/>
        <v>24072.584999999999</v>
      </c>
      <c r="Y224" s="201">
        <f t="shared" si="43"/>
        <v>0</v>
      </c>
    </row>
    <row r="225" spans="1:25" s="169" customFormat="1" ht="26.4">
      <c r="A225" s="192" t="s">
        <v>1343</v>
      </c>
      <c r="B225" s="165" t="s">
        <v>1344</v>
      </c>
      <c r="C225" s="183" t="str">
        <f t="shared" si="40"/>
        <v>1115609</v>
      </c>
      <c r="D225" s="182" t="str">
        <f t="shared" si="39"/>
        <v>Dự ân Bạn hữu trè em tỉnh Kontum</v>
      </c>
      <c r="E225" s="206"/>
      <c r="F225" s="207">
        <v>413</v>
      </c>
      <c r="G225" s="207"/>
      <c r="H225" s="205"/>
      <c r="I225" s="205"/>
      <c r="J225" s="167">
        <v>382000000</v>
      </c>
      <c r="K225" s="166"/>
      <c r="L225" s="167">
        <v>382000000</v>
      </c>
      <c r="M225" s="171"/>
      <c r="N225" s="168">
        <f t="shared" si="41"/>
        <v>382000000</v>
      </c>
      <c r="O225" s="171"/>
      <c r="P225" s="167">
        <v>375535674</v>
      </c>
      <c r="Q225" s="167">
        <f t="shared" si="38"/>
        <v>375535674</v>
      </c>
      <c r="R225" s="171"/>
      <c r="T225" s="201">
        <f t="shared" si="42"/>
        <v>382</v>
      </c>
      <c r="U225" s="201">
        <f t="shared" si="43"/>
        <v>382</v>
      </c>
      <c r="V225" s="201">
        <f t="shared" si="43"/>
        <v>0</v>
      </c>
      <c r="W225" s="201">
        <f t="shared" si="43"/>
        <v>375.53567399999997</v>
      </c>
      <c r="X225" s="201">
        <f t="shared" si="43"/>
        <v>375.53567399999997</v>
      </c>
      <c r="Y225" s="201">
        <f t="shared" si="43"/>
        <v>0</v>
      </c>
    </row>
    <row r="226" spans="1:25" s="169" customFormat="1" ht="27.6">
      <c r="A226" s="192" t="s">
        <v>1346</v>
      </c>
      <c r="B226" s="165" t="s">
        <v>1347</v>
      </c>
      <c r="C226" s="183" t="str">
        <f t="shared" si="40"/>
        <v>1117920</v>
      </c>
      <c r="D226" s="182" t="str">
        <f t="shared" si="39"/>
        <v>Hội Giáo dục chăm sốc sức chòe cộng đSng tỉnh Kontum</v>
      </c>
      <c r="E226" s="206"/>
      <c r="F226" s="207">
        <v>599</v>
      </c>
      <c r="G226" s="207"/>
      <c r="H226" s="205"/>
      <c r="I226" s="205"/>
      <c r="J226" s="167">
        <v>20000000</v>
      </c>
      <c r="K226" s="166"/>
      <c r="L226" s="167">
        <v>20000000</v>
      </c>
      <c r="M226" s="171"/>
      <c r="N226" s="168">
        <f t="shared" si="41"/>
        <v>20000000</v>
      </c>
      <c r="O226" s="171"/>
      <c r="P226" s="167">
        <v>20000000</v>
      </c>
      <c r="Q226" s="167">
        <f t="shared" si="38"/>
        <v>20000000</v>
      </c>
      <c r="R226" s="171"/>
      <c r="T226" s="201">
        <f t="shared" si="42"/>
        <v>20</v>
      </c>
      <c r="U226" s="201">
        <f t="shared" si="43"/>
        <v>20</v>
      </c>
      <c r="V226" s="201">
        <f t="shared" si="43"/>
        <v>0</v>
      </c>
      <c r="W226" s="201">
        <f t="shared" si="43"/>
        <v>20</v>
      </c>
      <c r="X226" s="201">
        <f t="shared" si="43"/>
        <v>20</v>
      </c>
      <c r="Y226" s="201">
        <f t="shared" si="43"/>
        <v>0</v>
      </c>
    </row>
    <row r="227" spans="1:25" s="169" customFormat="1" ht="39.6">
      <c r="A227" s="192" t="s">
        <v>1349</v>
      </c>
      <c r="B227" s="165" t="s">
        <v>1350</v>
      </c>
      <c r="C227" s="183" t="str">
        <f t="shared" si="40"/>
        <v>1118341</v>
      </c>
      <c r="D227" s="182" t="str">
        <f t="shared" si="39"/>
        <v>-Phân hiệu trường PhS thông Dân tộc nội trú huyện Kon Plông - tỉnh Kon Tum</v>
      </c>
      <c r="E227" s="206"/>
      <c r="F227" s="207">
        <v>422</v>
      </c>
      <c r="G227" s="207"/>
      <c r="H227" s="205"/>
      <c r="I227" s="205"/>
      <c r="J227" s="167">
        <v>4513019000</v>
      </c>
      <c r="K227" s="167">
        <v>28215000</v>
      </c>
      <c r="L227" s="167">
        <v>4153169000</v>
      </c>
      <c r="M227" s="168">
        <v>331635000</v>
      </c>
      <c r="N227" s="168">
        <f t="shared" si="41"/>
        <v>4513019000</v>
      </c>
      <c r="O227" s="168"/>
      <c r="P227" s="167">
        <v>4229034000</v>
      </c>
      <c r="Q227" s="167">
        <f t="shared" si="38"/>
        <v>4229034000</v>
      </c>
      <c r="R227" s="168"/>
      <c r="T227" s="201">
        <f t="shared" si="42"/>
        <v>4513.0190000000002</v>
      </c>
      <c r="U227" s="201">
        <f t="shared" si="43"/>
        <v>4513.0190000000002</v>
      </c>
      <c r="V227" s="201">
        <f t="shared" si="43"/>
        <v>0</v>
      </c>
      <c r="W227" s="201">
        <f t="shared" si="43"/>
        <v>4229.0339999999997</v>
      </c>
      <c r="X227" s="201">
        <f t="shared" si="43"/>
        <v>4229.0339999999997</v>
      </c>
      <c r="Y227" s="201">
        <f t="shared" si="43"/>
        <v>0</v>
      </c>
    </row>
    <row r="228" spans="1:25" s="169" customFormat="1" ht="39.6">
      <c r="A228" s="192" t="s">
        <v>1352</v>
      </c>
      <c r="B228" s="165" t="s">
        <v>1353</v>
      </c>
      <c r="C228" s="183" t="str">
        <f t="shared" si="40"/>
        <v>1118342</v>
      </c>
      <c r="D228" s="182" t="str">
        <f t="shared" si="39"/>
        <v>Phân hiệu trường Trung học PhS thông Lương Thẽ Vinh - huyện Đăk Glei - tỉnh Kon Tum</v>
      </c>
      <c r="E228" s="206"/>
      <c r="F228" s="207">
        <v>422</v>
      </c>
      <c r="G228" s="207"/>
      <c r="H228" s="205"/>
      <c r="I228" s="205"/>
      <c r="J228" s="167">
        <v>3898006157</v>
      </c>
      <c r="K228" s="167">
        <v>58411157</v>
      </c>
      <c r="L228" s="167">
        <v>3759257000</v>
      </c>
      <c r="M228" s="168">
        <v>80338000</v>
      </c>
      <c r="N228" s="168">
        <f t="shared" si="41"/>
        <v>3898006157</v>
      </c>
      <c r="O228" s="168"/>
      <c r="P228" s="167">
        <v>3879514637</v>
      </c>
      <c r="Q228" s="167">
        <f t="shared" si="38"/>
        <v>3879514637</v>
      </c>
      <c r="R228" s="168"/>
      <c r="T228" s="201">
        <f t="shared" si="42"/>
        <v>3898.0061569999998</v>
      </c>
      <c r="U228" s="201">
        <f t="shared" si="43"/>
        <v>3898.0061569999998</v>
      </c>
      <c r="V228" s="201">
        <f t="shared" si="43"/>
        <v>0</v>
      </c>
      <c r="W228" s="201">
        <f t="shared" si="43"/>
        <v>3879.5146370000002</v>
      </c>
      <c r="X228" s="201">
        <f t="shared" si="43"/>
        <v>3879.5146370000002</v>
      </c>
      <c r="Y228" s="201">
        <f t="shared" si="43"/>
        <v>0</v>
      </c>
    </row>
    <row r="229" spans="1:25" s="169" customFormat="1" ht="26.4">
      <c r="A229" s="192" t="s">
        <v>1355</v>
      </c>
      <c r="B229" s="165" t="s">
        <v>1356</v>
      </c>
      <c r="C229" s="183" t="str">
        <f t="shared" si="40"/>
        <v>1121877</v>
      </c>
      <c r="D229" s="182" t="str">
        <f t="shared" si="39"/>
        <v>Trung tâm Dạy nghễ và Hỗ TỢ Nông dân</v>
      </c>
      <c r="E229" s="206"/>
      <c r="F229" s="207">
        <v>513</v>
      </c>
      <c r="G229" s="207"/>
      <c r="H229" s="205"/>
      <c r="I229" s="205"/>
      <c r="J229" s="167">
        <v>135000000</v>
      </c>
      <c r="K229" s="166"/>
      <c r="L229" s="167">
        <v>135000000</v>
      </c>
      <c r="M229" s="171"/>
      <c r="N229" s="168">
        <f t="shared" si="41"/>
        <v>135000000</v>
      </c>
      <c r="O229" s="171"/>
      <c r="P229" s="167">
        <v>80553200</v>
      </c>
      <c r="Q229" s="167">
        <f t="shared" si="38"/>
        <v>80553200</v>
      </c>
      <c r="R229" s="171"/>
      <c r="T229" s="201">
        <f t="shared" si="42"/>
        <v>135</v>
      </c>
      <c r="U229" s="201">
        <f t="shared" si="43"/>
        <v>135</v>
      </c>
      <c r="V229" s="201">
        <f t="shared" si="43"/>
        <v>0</v>
      </c>
      <c r="W229" s="201">
        <f t="shared" si="43"/>
        <v>80.553200000000004</v>
      </c>
      <c r="X229" s="201">
        <f t="shared" si="43"/>
        <v>80.553200000000004</v>
      </c>
      <c r="Y229" s="201">
        <f t="shared" si="43"/>
        <v>0</v>
      </c>
    </row>
    <row r="230" spans="1:25" s="169" customFormat="1" ht="13.8">
      <c r="A230" s="192" t="s">
        <v>1358</v>
      </c>
      <c r="B230" s="170" t="s">
        <v>1359</v>
      </c>
      <c r="C230" s="183" t="str">
        <f t="shared" si="40"/>
        <v>1121980</v>
      </c>
      <c r="D230" s="182" t="str">
        <f t="shared" si="39"/>
        <v>Hạtkiểm lâm Huyện H'Drai</v>
      </c>
      <c r="E230" s="206"/>
      <c r="F230" s="207">
        <v>412</v>
      </c>
      <c r="G230" s="207"/>
      <c r="H230" s="205"/>
      <c r="I230" s="205"/>
      <c r="J230" s="167">
        <v>2905295746</v>
      </c>
      <c r="K230" s="167">
        <v>77395746</v>
      </c>
      <c r="L230" s="167">
        <v>2783300000</v>
      </c>
      <c r="M230" s="168">
        <v>44600000</v>
      </c>
      <c r="N230" s="168">
        <f t="shared" si="41"/>
        <v>2905295746</v>
      </c>
      <c r="O230" s="168"/>
      <c r="P230" s="167">
        <v>2905295746</v>
      </c>
      <c r="Q230" s="167">
        <f t="shared" si="38"/>
        <v>2905295746</v>
      </c>
      <c r="R230" s="168"/>
      <c r="T230" s="201">
        <f t="shared" si="42"/>
        <v>2905.2957459999998</v>
      </c>
      <c r="U230" s="201">
        <f t="shared" si="43"/>
        <v>2905.2957459999998</v>
      </c>
      <c r="V230" s="201">
        <f t="shared" si="43"/>
        <v>0</v>
      </c>
      <c r="W230" s="201">
        <f t="shared" si="43"/>
        <v>2905.2957459999998</v>
      </c>
      <c r="X230" s="201">
        <f t="shared" si="43"/>
        <v>2905.2957459999998</v>
      </c>
      <c r="Y230" s="201">
        <f t="shared" si="43"/>
        <v>0</v>
      </c>
    </row>
    <row r="231" spans="1:25" s="169" customFormat="1" ht="26.4">
      <c r="A231" s="192" t="s">
        <v>1361</v>
      </c>
      <c r="B231" s="165" t="s">
        <v>1362</v>
      </c>
      <c r="C231" s="183" t="str">
        <f t="shared" si="40"/>
        <v>1122826</v>
      </c>
      <c r="D231" s="182" t="str">
        <f t="shared" si="39"/>
        <v>Trung tâm Y tẽ huyện la -TDrai, tỉnh Kon Tum</v>
      </c>
      <c r="E231" s="206"/>
      <c r="F231" s="207">
        <v>423</v>
      </c>
      <c r="G231" s="207"/>
      <c r="H231" s="205"/>
      <c r="I231" s="205"/>
      <c r="J231" s="167">
        <v>7497797682</v>
      </c>
      <c r="K231" s="167">
        <v>138277682</v>
      </c>
      <c r="L231" s="167">
        <v>5925000000</v>
      </c>
      <c r="M231" s="168">
        <v>1434520000</v>
      </c>
      <c r="N231" s="168">
        <f t="shared" si="41"/>
        <v>7497797682</v>
      </c>
      <c r="O231" s="168"/>
      <c r="P231" s="167">
        <v>7186802082</v>
      </c>
      <c r="Q231" s="167">
        <f t="shared" si="38"/>
        <v>7186802082</v>
      </c>
      <c r="R231" s="168"/>
      <c r="T231" s="201">
        <f t="shared" si="42"/>
        <v>7497.7976820000003</v>
      </c>
      <c r="U231" s="201">
        <f t="shared" si="43"/>
        <v>7497.7976820000003</v>
      </c>
      <c r="V231" s="201">
        <f t="shared" si="43"/>
        <v>0</v>
      </c>
      <c r="W231" s="201">
        <f t="shared" si="43"/>
        <v>7186.8020820000002</v>
      </c>
      <c r="X231" s="201">
        <f t="shared" si="43"/>
        <v>7186.8020820000002</v>
      </c>
      <c r="Y231" s="201">
        <f t="shared" si="43"/>
        <v>0</v>
      </c>
    </row>
    <row r="232" spans="1:25" s="169" customFormat="1" ht="27.6">
      <c r="A232" s="192" t="s">
        <v>1365</v>
      </c>
      <c r="B232" s="176" t="s">
        <v>1366</v>
      </c>
      <c r="C232" s="183" t="str">
        <f t="shared" si="40"/>
        <v>1123107</v>
      </c>
      <c r="D232" s="182" t="str">
        <f t="shared" si="39"/>
        <v>Ban thi đua - khen thưởng trực thuộc Sờ Nội vụ tỉnh Kon Tum</v>
      </c>
      <c r="E232" s="206"/>
      <c r="F232" s="207">
        <v>435</v>
      </c>
      <c r="G232" s="207"/>
      <c r="H232" s="205"/>
      <c r="I232" s="205"/>
      <c r="J232" s="167">
        <v>4124230000</v>
      </c>
      <c r="K232" s="167">
        <v>9830000</v>
      </c>
      <c r="L232" s="167">
        <v>4032000000</v>
      </c>
      <c r="M232" s="168">
        <v>82400000</v>
      </c>
      <c r="N232" s="168">
        <f t="shared" si="41"/>
        <v>4124230000</v>
      </c>
      <c r="O232" s="168"/>
      <c r="P232" s="167">
        <v>3689429986</v>
      </c>
      <c r="Q232" s="167">
        <f t="shared" si="38"/>
        <v>3689429986</v>
      </c>
      <c r="R232" s="168"/>
      <c r="T232" s="201">
        <f t="shared" si="42"/>
        <v>4124.2299999999996</v>
      </c>
      <c r="U232" s="201">
        <f t="shared" ref="U232:Y247" si="44">N232/1000000</f>
        <v>4124.2299999999996</v>
      </c>
      <c r="V232" s="201">
        <f t="shared" si="44"/>
        <v>0</v>
      </c>
      <c r="W232" s="201">
        <f t="shared" si="44"/>
        <v>3689.4299860000001</v>
      </c>
      <c r="X232" s="201">
        <f t="shared" si="44"/>
        <v>3689.4299860000001</v>
      </c>
      <c r="Y232" s="201">
        <f t="shared" si="44"/>
        <v>0</v>
      </c>
    </row>
    <row r="233" spans="1:25" s="169" customFormat="1" ht="26.4">
      <c r="A233" s="192" t="s">
        <v>1368</v>
      </c>
      <c r="B233" s="176" t="s">
        <v>1369</v>
      </c>
      <c r="C233" s="183" t="str">
        <f t="shared" si="40"/>
        <v>1123126</v>
      </c>
      <c r="D233" s="182" t="str">
        <f t="shared" si="39"/>
        <v>Ban Tôn giáo - trực thuộc sờ Nội vụ tỉnh Kon Tum</v>
      </c>
      <c r="E233" s="206"/>
      <c r="F233" s="207">
        <v>435</v>
      </c>
      <c r="G233" s="207"/>
      <c r="H233" s="205"/>
      <c r="I233" s="205"/>
      <c r="J233" s="167">
        <v>2425340000</v>
      </c>
      <c r="K233" s="167">
        <v>37040000</v>
      </c>
      <c r="L233" s="167">
        <v>2017000000</v>
      </c>
      <c r="M233" s="168">
        <v>371300000</v>
      </c>
      <c r="N233" s="168">
        <f t="shared" si="41"/>
        <v>2425340000</v>
      </c>
      <c r="O233" s="168"/>
      <c r="P233" s="167">
        <v>2314881159</v>
      </c>
      <c r="Q233" s="167">
        <f t="shared" si="38"/>
        <v>2314881159</v>
      </c>
      <c r="R233" s="168"/>
      <c r="T233" s="201">
        <f t="shared" si="42"/>
        <v>2425.34</v>
      </c>
      <c r="U233" s="201">
        <f t="shared" si="44"/>
        <v>2425.34</v>
      </c>
      <c r="V233" s="201">
        <f t="shared" si="44"/>
        <v>0</v>
      </c>
      <c r="W233" s="201">
        <f t="shared" si="44"/>
        <v>2314.881159</v>
      </c>
      <c r="X233" s="201">
        <f t="shared" si="44"/>
        <v>2314.881159</v>
      </c>
      <c r="Y233" s="201">
        <f t="shared" si="44"/>
        <v>0</v>
      </c>
    </row>
    <row r="234" spans="1:25" s="169" customFormat="1" ht="26.4">
      <c r="A234" s="192" t="s">
        <v>1371</v>
      </c>
      <c r="B234" s="176" t="s">
        <v>1372</v>
      </c>
      <c r="C234" s="183" t="str">
        <f t="shared" si="40"/>
        <v>1123648</v>
      </c>
      <c r="D234" s="182" t="str">
        <f t="shared" si="39"/>
        <v>Trung tâm pháp y tỉnh Kon Tum</v>
      </c>
      <c r="E234" s="206"/>
      <c r="F234" s="207">
        <v>423</v>
      </c>
      <c r="G234" s="207"/>
      <c r="H234" s="205"/>
      <c r="I234" s="205"/>
      <c r="J234" s="167">
        <v>1952810000</v>
      </c>
      <c r="K234" s="166"/>
      <c r="L234" s="167">
        <v>1452810000</v>
      </c>
      <c r="M234" s="168">
        <v>500000000</v>
      </c>
      <c r="N234" s="168">
        <f t="shared" si="41"/>
        <v>1952810000</v>
      </c>
      <c r="O234" s="168"/>
      <c r="P234" s="167">
        <v>1952810000</v>
      </c>
      <c r="Q234" s="167">
        <f t="shared" si="38"/>
        <v>1952810000</v>
      </c>
      <c r="R234" s="168"/>
      <c r="T234" s="201">
        <f t="shared" si="42"/>
        <v>1952.81</v>
      </c>
      <c r="U234" s="201">
        <f t="shared" si="44"/>
        <v>1952.81</v>
      </c>
      <c r="V234" s="201">
        <f t="shared" si="44"/>
        <v>0</v>
      </c>
      <c r="W234" s="201">
        <f t="shared" si="44"/>
        <v>1952.81</v>
      </c>
      <c r="X234" s="201">
        <f t="shared" si="44"/>
        <v>1952.81</v>
      </c>
      <c r="Y234" s="201">
        <f t="shared" si="44"/>
        <v>0</v>
      </c>
    </row>
    <row r="235" spans="1:25" s="169" customFormat="1" ht="39.6">
      <c r="A235" s="192" t="s">
        <v>1374</v>
      </c>
      <c r="B235" s="176" t="s">
        <v>1375</v>
      </c>
      <c r="C235" s="183" t="str">
        <f t="shared" si="40"/>
        <v>1124495</v>
      </c>
      <c r="D235" s="182" t="str">
        <f t="shared" si="39"/>
        <v>Ban quản lý Khu Nông nghiệp ứng dụng công nghệ cao Măng Đen</v>
      </c>
      <c r="E235" s="206"/>
      <c r="F235" s="207">
        <v>559</v>
      </c>
      <c r="G235" s="207"/>
      <c r="H235" s="205"/>
      <c r="I235" s="205"/>
      <c r="J235" s="167">
        <v>776475243</v>
      </c>
      <c r="K235" s="166"/>
      <c r="L235" s="167">
        <v>776475243</v>
      </c>
      <c r="M235" s="171"/>
      <c r="N235" s="168">
        <f t="shared" si="41"/>
        <v>776475243</v>
      </c>
      <c r="O235" s="171"/>
      <c r="P235" s="167">
        <v>776475243</v>
      </c>
      <c r="Q235" s="167">
        <f t="shared" si="38"/>
        <v>776475243</v>
      </c>
      <c r="R235" s="171"/>
      <c r="T235" s="201">
        <f t="shared" si="42"/>
        <v>776.47524299999998</v>
      </c>
      <c r="U235" s="201">
        <f t="shared" si="44"/>
        <v>776.47524299999998</v>
      </c>
      <c r="V235" s="201">
        <f t="shared" si="44"/>
        <v>0</v>
      </c>
      <c r="W235" s="201">
        <f t="shared" si="44"/>
        <v>776.47524299999998</v>
      </c>
      <c r="X235" s="201">
        <f t="shared" si="44"/>
        <v>776.47524299999998</v>
      </c>
      <c r="Y235" s="201">
        <f t="shared" si="44"/>
        <v>0</v>
      </c>
    </row>
    <row r="236" spans="1:25" s="169" customFormat="1" ht="26.4">
      <c r="A236" s="192" t="s">
        <v>1050</v>
      </c>
      <c r="B236" s="176" t="s">
        <v>1377</v>
      </c>
      <c r="C236" s="183" t="str">
        <f t="shared" si="40"/>
        <v>1124496</v>
      </c>
      <c r="D236" s="182" t="str">
        <f t="shared" si="39"/>
        <v>Hạt kiềm lâm rừng phòng hộ Tu Mơ Rông</v>
      </c>
      <c r="E236" s="206"/>
      <c r="F236" s="207">
        <v>412</v>
      </c>
      <c r="G236" s="207"/>
      <c r="H236" s="205"/>
      <c r="I236" s="205"/>
      <c r="J236" s="167">
        <v>665500000</v>
      </c>
      <c r="K236" s="166"/>
      <c r="L236" s="167">
        <v>657500000</v>
      </c>
      <c r="M236" s="168">
        <v>8000000</v>
      </c>
      <c r="N236" s="168">
        <f t="shared" si="41"/>
        <v>665500000</v>
      </c>
      <c r="O236" s="168"/>
      <c r="P236" s="167">
        <v>665500000</v>
      </c>
      <c r="Q236" s="167">
        <f t="shared" si="38"/>
        <v>665500000</v>
      </c>
      <c r="R236" s="168"/>
      <c r="T236" s="201">
        <f t="shared" si="42"/>
        <v>665.5</v>
      </c>
      <c r="U236" s="201">
        <f t="shared" si="44"/>
        <v>665.5</v>
      </c>
      <c r="V236" s="201">
        <f t="shared" si="44"/>
        <v>0</v>
      </c>
      <c r="W236" s="201">
        <f t="shared" si="44"/>
        <v>665.5</v>
      </c>
      <c r="X236" s="201">
        <f t="shared" si="44"/>
        <v>665.5</v>
      </c>
      <c r="Y236" s="201">
        <f t="shared" si="44"/>
        <v>0</v>
      </c>
    </row>
    <row r="237" spans="1:25" s="169" customFormat="1" ht="52.8">
      <c r="A237" s="192" t="s">
        <v>1379</v>
      </c>
      <c r="B237" s="165" t="s">
        <v>1380</v>
      </c>
      <c r="C237" s="183" t="str">
        <f t="shared" si="40"/>
        <v>1124841</v>
      </c>
      <c r="D237" s="182" t="str">
        <f t="shared" si="39"/>
        <v>Ban quản lý dự ân Hỗ trợ quản trị địa phương trách nhiệm giải trình, đáp ứng được tại tỉnh Kon Tum</v>
      </c>
      <c r="E237" s="206"/>
      <c r="F237" s="207">
        <v>599</v>
      </c>
      <c r="G237" s="207"/>
      <c r="H237" s="205"/>
      <c r="I237" s="205"/>
      <c r="J237" s="167">
        <v>720000000</v>
      </c>
      <c r="K237" s="166"/>
      <c r="L237" s="166"/>
      <c r="M237" s="168">
        <v>720000000</v>
      </c>
      <c r="N237" s="168">
        <f t="shared" si="41"/>
        <v>720000000</v>
      </c>
      <c r="O237" s="168"/>
      <c r="P237" s="167">
        <v>505704737</v>
      </c>
      <c r="Q237" s="167">
        <f t="shared" si="38"/>
        <v>505704737</v>
      </c>
      <c r="R237" s="168"/>
      <c r="T237" s="201">
        <f t="shared" si="42"/>
        <v>720</v>
      </c>
      <c r="U237" s="201">
        <f t="shared" si="44"/>
        <v>720</v>
      </c>
      <c r="V237" s="201">
        <f t="shared" si="44"/>
        <v>0</v>
      </c>
      <c r="W237" s="201">
        <f t="shared" si="44"/>
        <v>505.70473700000002</v>
      </c>
      <c r="X237" s="201">
        <f t="shared" si="44"/>
        <v>505.70473700000002</v>
      </c>
      <c r="Y237" s="201">
        <f t="shared" si="44"/>
        <v>0</v>
      </c>
    </row>
    <row r="238" spans="1:25" s="169" customFormat="1" ht="39.6">
      <c r="A238" s="192" t="s">
        <v>1382</v>
      </c>
      <c r="B238" s="165" t="s">
        <v>1383</v>
      </c>
      <c r="C238" s="183" t="str">
        <f t="shared" si="40"/>
        <v>1125130</v>
      </c>
      <c r="D238" s="182" t="str">
        <f t="shared" si="39"/>
        <v>Trung tâm Cứu hộ, bảo tồn và phát triển sinh vật vườn quốc gia Chư Mom Ray</v>
      </c>
      <c r="E238" s="206"/>
      <c r="F238" s="207">
        <v>412</v>
      </c>
      <c r="G238" s="207"/>
      <c r="H238" s="205"/>
      <c r="I238" s="205"/>
      <c r="J238" s="167">
        <v>812250000</v>
      </c>
      <c r="K238" s="167">
        <v>167250000</v>
      </c>
      <c r="L238" s="167">
        <v>635000000</v>
      </c>
      <c r="M238" s="168">
        <v>10000000</v>
      </c>
      <c r="N238" s="168">
        <f t="shared" si="41"/>
        <v>812250000</v>
      </c>
      <c r="O238" s="168"/>
      <c r="P238" s="167">
        <v>812249942</v>
      </c>
      <c r="Q238" s="167">
        <f t="shared" si="38"/>
        <v>812249942</v>
      </c>
      <c r="R238" s="168"/>
      <c r="T238" s="201">
        <f t="shared" si="42"/>
        <v>812.25</v>
      </c>
      <c r="U238" s="201">
        <f t="shared" si="44"/>
        <v>812.25</v>
      </c>
      <c r="V238" s="201">
        <f t="shared" si="44"/>
        <v>0</v>
      </c>
      <c r="W238" s="201">
        <f t="shared" si="44"/>
        <v>812.24994200000003</v>
      </c>
      <c r="X238" s="201">
        <f t="shared" si="44"/>
        <v>812.24994200000003</v>
      </c>
      <c r="Y238" s="201">
        <f t="shared" si="44"/>
        <v>0</v>
      </c>
    </row>
    <row r="239" spans="1:25" s="169" customFormat="1" ht="26.4">
      <c r="A239" s="192" t="s">
        <v>1386</v>
      </c>
      <c r="B239" s="165" t="s">
        <v>1387</v>
      </c>
      <c r="C239" s="183" t="str">
        <f t="shared" si="40"/>
        <v>1125215</v>
      </c>
      <c r="D239" s="182" t="str">
        <f t="shared" si="39"/>
        <v>Chi cục Bảo vệ Môi trường tỉnh Kon Tum</v>
      </c>
      <c r="E239" s="206"/>
      <c r="F239" s="207">
        <v>426</v>
      </c>
      <c r="G239" s="207"/>
      <c r="H239" s="205"/>
      <c r="I239" s="205"/>
      <c r="J239" s="167">
        <v>902000000</v>
      </c>
      <c r="K239" s="166"/>
      <c r="L239" s="167">
        <v>767000000</v>
      </c>
      <c r="M239" s="168">
        <v>135000000</v>
      </c>
      <c r="N239" s="168">
        <f t="shared" si="41"/>
        <v>902000000</v>
      </c>
      <c r="O239" s="168"/>
      <c r="P239" s="167">
        <v>882184940</v>
      </c>
      <c r="Q239" s="167">
        <f t="shared" si="38"/>
        <v>882184940</v>
      </c>
      <c r="R239" s="168"/>
      <c r="T239" s="201">
        <f t="shared" si="42"/>
        <v>902</v>
      </c>
      <c r="U239" s="201">
        <f t="shared" si="44"/>
        <v>902</v>
      </c>
      <c r="V239" s="201">
        <f t="shared" si="44"/>
        <v>0</v>
      </c>
      <c r="W239" s="201">
        <f t="shared" si="44"/>
        <v>882.18493999999998</v>
      </c>
      <c r="X239" s="201">
        <f t="shared" si="44"/>
        <v>882.18493999999998</v>
      </c>
      <c r="Y239" s="201">
        <f t="shared" si="44"/>
        <v>0</v>
      </c>
    </row>
    <row r="240" spans="1:25" s="169" customFormat="1" ht="26.4">
      <c r="A240" s="192" t="s">
        <v>1389</v>
      </c>
      <c r="B240" s="165" t="s">
        <v>1390</v>
      </c>
      <c r="C240" s="183" t="str">
        <f t="shared" si="40"/>
        <v>1125216</v>
      </c>
      <c r="D240" s="182" t="str">
        <f t="shared" si="39"/>
        <v>Chi cục Quản lý đãt đai tỉnh Kon Tum</v>
      </c>
      <c r="E240" s="206"/>
      <c r="F240" s="207">
        <v>426</v>
      </c>
      <c r="G240" s="207"/>
      <c r="H240" s="205"/>
      <c r="I240" s="205"/>
      <c r="J240" s="167">
        <v>1181700000</v>
      </c>
      <c r="K240" s="166"/>
      <c r="L240" s="167">
        <v>1036000000</v>
      </c>
      <c r="M240" s="168">
        <v>145700000</v>
      </c>
      <c r="N240" s="168">
        <f t="shared" si="41"/>
        <v>1181700000</v>
      </c>
      <c r="O240" s="168"/>
      <c r="P240" s="167">
        <v>1175250000</v>
      </c>
      <c r="Q240" s="167">
        <f t="shared" si="38"/>
        <v>1175250000</v>
      </c>
      <c r="R240" s="168"/>
      <c r="T240" s="201">
        <f t="shared" si="42"/>
        <v>1181.7</v>
      </c>
      <c r="U240" s="201">
        <f t="shared" si="44"/>
        <v>1181.7</v>
      </c>
      <c r="V240" s="201">
        <f t="shared" si="44"/>
        <v>0</v>
      </c>
      <c r="W240" s="201">
        <f t="shared" si="44"/>
        <v>1175.25</v>
      </c>
      <c r="X240" s="201">
        <f t="shared" si="44"/>
        <v>1175.25</v>
      </c>
      <c r="Y240" s="201">
        <f t="shared" si="44"/>
        <v>0</v>
      </c>
    </row>
    <row r="241" spans="1:25" s="169" customFormat="1" ht="39.6">
      <c r="A241" s="192" t="s">
        <v>1392</v>
      </c>
      <c r="B241" s="176" t="s">
        <v>1393</v>
      </c>
      <c r="C241" s="183" t="str">
        <f t="shared" si="40"/>
        <v>1125232</v>
      </c>
      <c r="D241" s="182" t="str">
        <f t="shared" si="39"/>
        <v>Trung tâm Thông tin và Thống kê khoa học và công nghệ tỉnh Kon Tum</v>
      </c>
      <c r="E241" s="206"/>
      <c r="F241" s="207">
        <v>417</v>
      </c>
      <c r="G241" s="207"/>
      <c r="H241" s="205"/>
      <c r="I241" s="205"/>
      <c r="J241" s="167">
        <v>350000000</v>
      </c>
      <c r="K241" s="166"/>
      <c r="L241" s="167">
        <v>350000000</v>
      </c>
      <c r="M241" s="171"/>
      <c r="N241" s="168">
        <f t="shared" si="41"/>
        <v>350000000</v>
      </c>
      <c r="O241" s="171"/>
      <c r="P241" s="167">
        <v>350000000</v>
      </c>
      <c r="Q241" s="167">
        <f t="shared" si="38"/>
        <v>350000000</v>
      </c>
      <c r="R241" s="171"/>
      <c r="T241" s="201">
        <f t="shared" si="42"/>
        <v>350</v>
      </c>
      <c r="U241" s="201">
        <f t="shared" si="44"/>
        <v>350</v>
      </c>
      <c r="V241" s="201">
        <f t="shared" si="44"/>
        <v>0</v>
      </c>
      <c r="W241" s="201">
        <f t="shared" si="44"/>
        <v>350</v>
      </c>
      <c r="X241" s="201">
        <f t="shared" si="44"/>
        <v>350</v>
      </c>
      <c r="Y241" s="201">
        <f t="shared" si="44"/>
        <v>0</v>
      </c>
    </row>
    <row r="242" spans="1:25" s="169" customFormat="1" ht="26.4">
      <c r="A242" s="192" t="s">
        <v>1395</v>
      </c>
      <c r="B242" s="176" t="s">
        <v>1396</v>
      </c>
      <c r="C242" s="183" t="str">
        <f t="shared" si="40"/>
        <v>1125306</v>
      </c>
      <c r="D242" s="182" t="str">
        <f t="shared" si="39"/>
        <v>Chi cục Giâm định xây dựng tỉnh Kon Tum</v>
      </c>
      <c r="E242" s="206"/>
      <c r="F242" s="207">
        <v>419</v>
      </c>
      <c r="G242" s="207"/>
      <c r="H242" s="205"/>
      <c r="I242" s="205"/>
      <c r="J242" s="167">
        <v>841800000</v>
      </c>
      <c r="K242" s="166"/>
      <c r="L242" s="167">
        <v>675000000</v>
      </c>
      <c r="M242" s="168">
        <v>166800000</v>
      </c>
      <c r="N242" s="168">
        <f t="shared" si="41"/>
        <v>841800000</v>
      </c>
      <c r="O242" s="168"/>
      <c r="P242" s="167">
        <v>812504000</v>
      </c>
      <c r="Q242" s="167">
        <f t="shared" si="38"/>
        <v>812504000</v>
      </c>
      <c r="R242" s="168"/>
      <c r="T242" s="201">
        <f t="shared" si="42"/>
        <v>841.8</v>
      </c>
      <c r="U242" s="201">
        <f t="shared" si="44"/>
        <v>841.8</v>
      </c>
      <c r="V242" s="201">
        <f t="shared" si="44"/>
        <v>0</v>
      </c>
      <c r="W242" s="201">
        <f t="shared" si="44"/>
        <v>812.50400000000002</v>
      </c>
      <c r="X242" s="201">
        <f t="shared" si="44"/>
        <v>812.50400000000002</v>
      </c>
      <c r="Y242" s="201">
        <f t="shared" si="44"/>
        <v>0</v>
      </c>
    </row>
    <row r="243" spans="1:25" s="169" customFormat="1" ht="39.6">
      <c r="A243" s="192" t="s">
        <v>1398</v>
      </c>
      <c r="B243" s="176" t="s">
        <v>1399</v>
      </c>
      <c r="C243" s="183" t="str">
        <f t="shared" si="40"/>
        <v>1125318</v>
      </c>
      <c r="D243" s="182" t="str">
        <f t="shared" si="39"/>
        <v>Trung tâm nghiên cứu và phát triền nông nghiệp công nghệ cao</v>
      </c>
      <c r="E243" s="206"/>
      <c r="F243" s="207">
        <v>599</v>
      </c>
      <c r="G243" s="207"/>
      <c r="H243" s="205"/>
      <c r="I243" s="205"/>
      <c r="J243" s="167">
        <v>1173877622</v>
      </c>
      <c r="K243" s="166"/>
      <c r="L243" s="167">
        <v>1150957622</v>
      </c>
      <c r="M243" s="168">
        <v>22920000</v>
      </c>
      <c r="N243" s="168">
        <f t="shared" si="41"/>
        <v>1173877622</v>
      </c>
      <c r="O243" s="168"/>
      <c r="P243" s="167">
        <v>1173877622</v>
      </c>
      <c r="Q243" s="167">
        <f t="shared" si="38"/>
        <v>1173877622</v>
      </c>
      <c r="R243" s="168"/>
      <c r="T243" s="201">
        <f t="shared" si="42"/>
        <v>1173.877622</v>
      </c>
      <c r="U243" s="201">
        <f t="shared" si="44"/>
        <v>1173.877622</v>
      </c>
      <c r="V243" s="201">
        <f t="shared" si="44"/>
        <v>0</v>
      </c>
      <c r="W243" s="201">
        <f t="shared" si="44"/>
        <v>1173.877622</v>
      </c>
      <c r="X243" s="201">
        <f t="shared" si="44"/>
        <v>1173.877622</v>
      </c>
      <c r="Y243" s="201">
        <f t="shared" si="44"/>
        <v>0</v>
      </c>
    </row>
    <row r="244" spans="1:25" s="169" customFormat="1" ht="39.6">
      <c r="A244" s="192" t="s">
        <v>1401</v>
      </c>
      <c r="B244" s="176" t="s">
        <v>1402</v>
      </c>
      <c r="C244" s="183" t="str">
        <f t="shared" si="40"/>
        <v>1125325</v>
      </c>
      <c r="D244" s="182" t="str">
        <f t="shared" si="39"/>
        <v>Ban quản lý khu nông nghiệp ứng dụng công nghệ cao Măng Đen</v>
      </c>
      <c r="E244" s="206"/>
      <c r="F244" s="207">
        <v>509</v>
      </c>
      <c r="G244" s="207"/>
      <c r="H244" s="205"/>
      <c r="I244" s="205"/>
      <c r="J244" s="167">
        <v>702501790</v>
      </c>
      <c r="K244" s="166"/>
      <c r="L244" s="167">
        <v>678411790</v>
      </c>
      <c r="M244" s="168">
        <v>24090000</v>
      </c>
      <c r="N244" s="168">
        <f t="shared" si="41"/>
        <v>702501790</v>
      </c>
      <c r="O244" s="168"/>
      <c r="P244" s="167">
        <v>702501790</v>
      </c>
      <c r="Q244" s="167">
        <f t="shared" si="38"/>
        <v>702501790</v>
      </c>
      <c r="R244" s="168"/>
      <c r="T244" s="201">
        <f t="shared" si="42"/>
        <v>702.50179000000003</v>
      </c>
      <c r="U244" s="201">
        <f t="shared" si="44"/>
        <v>702.50179000000003</v>
      </c>
      <c r="V244" s="201">
        <f t="shared" si="44"/>
        <v>0</v>
      </c>
      <c r="W244" s="201">
        <f t="shared" si="44"/>
        <v>702.50179000000003</v>
      </c>
      <c r="X244" s="201">
        <f t="shared" si="44"/>
        <v>702.50179000000003</v>
      </c>
      <c r="Y244" s="201">
        <f t="shared" si="44"/>
        <v>0</v>
      </c>
    </row>
    <row r="245" spans="1:25" s="169" customFormat="1" ht="39.6">
      <c r="A245" s="192" t="s">
        <v>1404</v>
      </c>
      <c r="B245" s="176" t="s">
        <v>1405</v>
      </c>
      <c r="C245" s="183" t="str">
        <f t="shared" si="40"/>
        <v>1125793</v>
      </c>
      <c r="D245" s="182" t="str">
        <f t="shared" si="39"/>
        <v>Phân hiệu trường PhS thông Dân tộc nội trú tỉnh tại huyện la HDrai</v>
      </c>
      <c r="E245" s="206"/>
      <c r="F245" s="207">
        <v>422</v>
      </c>
      <c r="G245" s="207"/>
      <c r="H245" s="205"/>
      <c r="I245" s="205"/>
      <c r="J245" s="167">
        <v>1529240000</v>
      </c>
      <c r="K245" s="166"/>
      <c r="L245" s="167">
        <v>548240000</v>
      </c>
      <c r="M245" s="168">
        <v>981000000</v>
      </c>
      <c r="N245" s="168">
        <f t="shared" si="41"/>
        <v>1529240000</v>
      </c>
      <c r="O245" s="168"/>
      <c r="P245" s="167">
        <v>1529240000</v>
      </c>
      <c r="Q245" s="167">
        <f t="shared" si="38"/>
        <v>1529240000</v>
      </c>
      <c r="R245" s="168"/>
      <c r="T245" s="201">
        <f t="shared" si="42"/>
        <v>1529.24</v>
      </c>
      <c r="U245" s="201">
        <f t="shared" si="44"/>
        <v>1529.24</v>
      </c>
      <c r="V245" s="201">
        <f t="shared" si="44"/>
        <v>0</v>
      </c>
      <c r="W245" s="201">
        <f t="shared" si="44"/>
        <v>1529.24</v>
      </c>
      <c r="X245" s="201">
        <f t="shared" si="44"/>
        <v>1529.24</v>
      </c>
      <c r="Y245" s="201">
        <f t="shared" si="44"/>
        <v>0</v>
      </c>
    </row>
    <row r="246" spans="1:25" s="169" customFormat="1" ht="26.4">
      <c r="A246" s="192" t="s">
        <v>1407</v>
      </c>
      <c r="B246" s="165" t="s">
        <v>1408</v>
      </c>
      <c r="C246" s="183" t="str">
        <f t="shared" si="40"/>
        <v>3007431</v>
      </c>
      <c r="D246" s="182" t="str">
        <f t="shared" si="39"/>
        <v>Trung tâm Xúc tiẽn Đău tư :ỉnh Kontum</v>
      </c>
      <c r="E246" s="206"/>
      <c r="F246" s="207">
        <v>413</v>
      </c>
      <c r="G246" s="207"/>
      <c r="H246" s="205"/>
      <c r="I246" s="205"/>
      <c r="J246" s="167">
        <v>1826647000</v>
      </c>
      <c r="K246" s="166"/>
      <c r="L246" s="167">
        <v>1643000000</v>
      </c>
      <c r="M246" s="168">
        <v>183647000</v>
      </c>
      <c r="N246" s="168">
        <f t="shared" si="41"/>
        <v>1826647000</v>
      </c>
      <c r="O246" s="168"/>
      <c r="P246" s="167">
        <v>1821979867</v>
      </c>
      <c r="Q246" s="167">
        <f t="shared" si="38"/>
        <v>1821979867</v>
      </c>
      <c r="R246" s="168"/>
      <c r="T246" s="201">
        <f t="shared" si="42"/>
        <v>1826.6469999999999</v>
      </c>
      <c r="U246" s="201">
        <f t="shared" si="44"/>
        <v>1826.6469999999999</v>
      </c>
      <c r="V246" s="201">
        <f t="shared" si="44"/>
        <v>0</v>
      </c>
      <c r="W246" s="201">
        <f t="shared" si="44"/>
        <v>1821.979867</v>
      </c>
      <c r="X246" s="201">
        <f t="shared" si="44"/>
        <v>1821.979867</v>
      </c>
      <c r="Y246" s="201">
        <f t="shared" si="44"/>
        <v>0</v>
      </c>
    </row>
    <row r="247" spans="1:25" s="169" customFormat="1" ht="13.8">
      <c r="A247" s="192" t="s">
        <v>1410</v>
      </c>
      <c r="B247" s="170" t="s">
        <v>1411</v>
      </c>
      <c r="C247" s="183" t="str">
        <f t="shared" si="40"/>
        <v>3007905</v>
      </c>
      <c r="D247" s="182" t="str">
        <f t="shared" si="39"/>
        <v>Hội bóng bàn tỉnh Kon Tum</v>
      </c>
      <c r="E247" s="206"/>
      <c r="F247" s="207">
        <v>599</v>
      </c>
      <c r="G247" s="207"/>
      <c r="H247" s="205"/>
      <c r="I247" s="205"/>
      <c r="J247" s="167">
        <v>20000000</v>
      </c>
      <c r="K247" s="166"/>
      <c r="L247" s="167">
        <v>20000000</v>
      </c>
      <c r="M247" s="171"/>
      <c r="N247" s="168">
        <f t="shared" si="41"/>
        <v>20000000</v>
      </c>
      <c r="O247" s="171"/>
      <c r="P247" s="167">
        <v>20000000</v>
      </c>
      <c r="Q247" s="167">
        <f t="shared" si="38"/>
        <v>20000000</v>
      </c>
      <c r="R247" s="171"/>
      <c r="T247" s="201">
        <f t="shared" si="42"/>
        <v>20</v>
      </c>
      <c r="U247" s="201">
        <f t="shared" si="44"/>
        <v>20</v>
      </c>
      <c r="V247" s="201">
        <f t="shared" si="44"/>
        <v>0</v>
      </c>
      <c r="W247" s="201">
        <f t="shared" si="44"/>
        <v>20</v>
      </c>
      <c r="X247" s="201">
        <f t="shared" si="44"/>
        <v>20</v>
      </c>
      <c r="Y247" s="201">
        <f t="shared" si="44"/>
        <v>0</v>
      </c>
    </row>
    <row r="248" spans="1:25" s="169" customFormat="1" ht="39.6">
      <c r="A248" s="192" t="s">
        <v>1413</v>
      </c>
      <c r="B248" s="165" t="s">
        <v>1414</v>
      </c>
      <c r="C248" s="183" t="str">
        <f t="shared" si="40"/>
        <v>3016323</v>
      </c>
      <c r="D248" s="182" t="str">
        <f t="shared" si="39"/>
        <v>Văn phòng ĐiỄu phổi chương trinh Mục tiêu quốc gia Xây dựng nông íiôn mới tỉnh Kontum</v>
      </c>
      <c r="E248" s="206"/>
      <c r="F248" s="207">
        <v>412</v>
      </c>
      <c r="G248" s="207"/>
      <c r="H248" s="205"/>
      <c r="I248" s="205"/>
      <c r="J248" s="167">
        <v>1059920000</v>
      </c>
      <c r="K248" s="167">
        <v>162920000</v>
      </c>
      <c r="L248" s="167">
        <v>350000000</v>
      </c>
      <c r="M248" s="168">
        <v>547000000</v>
      </c>
      <c r="N248" s="168">
        <f>J248-O248</f>
        <v>350000000</v>
      </c>
      <c r="O248" s="168">
        <f>O250+O251</f>
        <v>709920000</v>
      </c>
      <c r="P248" s="167">
        <v>983381912</v>
      </c>
      <c r="Q248" s="167">
        <f t="shared" si="38"/>
        <v>328271912</v>
      </c>
      <c r="R248" s="168">
        <f>R250+R251</f>
        <v>655110000</v>
      </c>
      <c r="T248" s="201">
        <f t="shared" si="42"/>
        <v>1059.92</v>
      </c>
      <c r="U248" s="201">
        <f t="shared" ref="U248:Y256" si="45">N248/1000000</f>
        <v>350</v>
      </c>
      <c r="V248" s="201">
        <f t="shared" si="45"/>
        <v>709.92</v>
      </c>
      <c r="W248" s="201">
        <f t="shared" si="45"/>
        <v>983.38191200000006</v>
      </c>
      <c r="X248" s="201">
        <f t="shared" si="45"/>
        <v>328.27191199999999</v>
      </c>
      <c r="Y248" s="201">
        <f t="shared" si="45"/>
        <v>655.11</v>
      </c>
    </row>
    <row r="249" spans="1:25" s="169" customFormat="1" ht="13.8">
      <c r="A249" s="192"/>
      <c r="B249" s="170" t="s">
        <v>675</v>
      </c>
      <c r="C249" s="183" t="str">
        <f t="shared" si="40"/>
        <v/>
      </c>
      <c r="D249" s="182" t="s">
        <v>1464</v>
      </c>
      <c r="E249" s="206"/>
      <c r="F249" s="207">
        <v>412</v>
      </c>
      <c r="G249" s="207"/>
      <c r="H249" s="205"/>
      <c r="I249" s="205"/>
      <c r="J249" s="226">
        <v>350000000</v>
      </c>
      <c r="K249" s="166"/>
      <c r="L249" s="167">
        <v>350000000</v>
      </c>
      <c r="M249" s="171"/>
      <c r="N249" s="168">
        <f t="shared" si="41"/>
        <v>350000000</v>
      </c>
      <c r="O249" s="171"/>
      <c r="P249" s="167">
        <v>328271912</v>
      </c>
      <c r="Q249" s="167">
        <f t="shared" si="38"/>
        <v>328271912</v>
      </c>
      <c r="R249" s="171"/>
      <c r="T249" s="201">
        <f t="shared" si="42"/>
        <v>350</v>
      </c>
      <c r="U249" s="201">
        <f t="shared" si="45"/>
        <v>350</v>
      </c>
      <c r="V249" s="201">
        <f t="shared" si="45"/>
        <v>0</v>
      </c>
      <c r="W249" s="201">
        <f t="shared" si="45"/>
        <v>328.27191199999999</v>
      </c>
      <c r="X249" s="201">
        <f t="shared" si="45"/>
        <v>328.27191199999999</v>
      </c>
      <c r="Y249" s="201">
        <f t="shared" si="45"/>
        <v>0</v>
      </c>
    </row>
    <row r="250" spans="1:25" s="169" customFormat="1" ht="13.8">
      <c r="A250" s="193"/>
      <c r="B250" s="187"/>
      <c r="C250" s="183" t="str">
        <f t="shared" si="40"/>
        <v/>
      </c>
      <c r="D250" s="182" t="s">
        <v>1475</v>
      </c>
      <c r="E250" s="192" t="s">
        <v>681</v>
      </c>
      <c r="F250" s="192" t="s">
        <v>698</v>
      </c>
      <c r="G250" s="192" t="s">
        <v>727</v>
      </c>
      <c r="H250" s="210" t="s">
        <v>1459</v>
      </c>
      <c r="I250" s="210"/>
      <c r="J250" s="167">
        <v>162920000</v>
      </c>
      <c r="K250" s="167">
        <v>162920000</v>
      </c>
      <c r="L250" s="166"/>
      <c r="M250" s="171"/>
      <c r="N250" s="168">
        <f t="shared" si="41"/>
        <v>0</v>
      </c>
      <c r="O250" s="171">
        <f>J250</f>
        <v>162920000</v>
      </c>
      <c r="P250" s="167">
        <v>162920000</v>
      </c>
      <c r="Q250" s="167">
        <f t="shared" si="38"/>
        <v>0</v>
      </c>
      <c r="R250" s="171">
        <f>P250</f>
        <v>162920000</v>
      </c>
      <c r="T250" s="201">
        <f t="shared" si="42"/>
        <v>162.91999999999999</v>
      </c>
      <c r="U250" s="201">
        <f t="shared" si="45"/>
        <v>0</v>
      </c>
      <c r="V250" s="201">
        <f t="shared" si="45"/>
        <v>162.91999999999999</v>
      </c>
      <c r="W250" s="201">
        <f t="shared" si="45"/>
        <v>162.91999999999999</v>
      </c>
      <c r="X250" s="201">
        <f t="shared" si="45"/>
        <v>0</v>
      </c>
      <c r="Y250" s="201">
        <f t="shared" si="45"/>
        <v>162.91999999999999</v>
      </c>
    </row>
    <row r="251" spans="1:25" s="169" customFormat="1" ht="13.8">
      <c r="A251" s="195"/>
      <c r="B251" s="188"/>
      <c r="C251" s="183" t="str">
        <f t="shared" si="40"/>
        <v/>
      </c>
      <c r="D251" s="182" t="s">
        <v>1475</v>
      </c>
      <c r="E251" s="192" t="s">
        <v>681</v>
      </c>
      <c r="F251" s="192" t="s">
        <v>698</v>
      </c>
      <c r="G251" s="192" t="s">
        <v>727</v>
      </c>
      <c r="H251" s="210" t="s">
        <v>1454</v>
      </c>
      <c r="I251" s="210"/>
      <c r="J251" s="167">
        <v>547000000</v>
      </c>
      <c r="K251" s="166"/>
      <c r="L251" s="166"/>
      <c r="M251" s="168">
        <v>547000000</v>
      </c>
      <c r="N251" s="168">
        <f t="shared" si="41"/>
        <v>0</v>
      </c>
      <c r="O251" s="171">
        <f>J251</f>
        <v>547000000</v>
      </c>
      <c r="P251" s="167">
        <v>492190000</v>
      </c>
      <c r="Q251" s="167">
        <f t="shared" si="38"/>
        <v>0</v>
      </c>
      <c r="R251" s="171">
        <f>P251</f>
        <v>492190000</v>
      </c>
      <c r="T251" s="201">
        <f t="shared" si="42"/>
        <v>547</v>
      </c>
      <c r="U251" s="201">
        <f t="shared" si="45"/>
        <v>0</v>
      </c>
      <c r="V251" s="201">
        <f t="shared" si="45"/>
        <v>547</v>
      </c>
      <c r="W251" s="201">
        <f t="shared" si="45"/>
        <v>492.19</v>
      </c>
      <c r="X251" s="201">
        <f t="shared" si="45"/>
        <v>0</v>
      </c>
      <c r="Y251" s="201">
        <f t="shared" si="45"/>
        <v>492.19</v>
      </c>
    </row>
    <row r="252" spans="1:25" s="169" customFormat="1" ht="26.4">
      <c r="A252" s="192" t="s">
        <v>1417</v>
      </c>
      <c r="B252" s="165" t="s">
        <v>1418</v>
      </c>
      <c r="C252" s="183" t="str">
        <f t="shared" si="40"/>
        <v>3017052</v>
      </c>
      <c r="D252" s="182" t="str">
        <f t="shared" si="39"/>
        <v>Ban đại diện Hội người cao :uỗi tỉnh Kon Tum</v>
      </c>
      <c r="E252" s="206"/>
      <c r="F252" s="207">
        <v>533</v>
      </c>
      <c r="G252" s="207"/>
      <c r="H252" s="205"/>
      <c r="I252" s="205"/>
      <c r="J252" s="167">
        <v>729700000</v>
      </c>
      <c r="K252" s="166"/>
      <c r="L252" s="167">
        <v>632000000</v>
      </c>
      <c r="M252" s="168">
        <v>97700000</v>
      </c>
      <c r="N252" s="168">
        <f t="shared" si="41"/>
        <v>729700000</v>
      </c>
      <c r="O252" s="168"/>
      <c r="P252" s="167">
        <v>729700000</v>
      </c>
      <c r="Q252" s="167">
        <f t="shared" si="38"/>
        <v>729700000</v>
      </c>
      <c r="R252" s="168"/>
      <c r="T252" s="201">
        <f t="shared" si="42"/>
        <v>729.7</v>
      </c>
      <c r="U252" s="201">
        <f t="shared" si="45"/>
        <v>729.7</v>
      </c>
      <c r="V252" s="201">
        <f t="shared" si="45"/>
        <v>0</v>
      </c>
      <c r="W252" s="201">
        <f t="shared" si="45"/>
        <v>729.7</v>
      </c>
      <c r="X252" s="201">
        <f t="shared" si="45"/>
        <v>729.7</v>
      </c>
      <c r="Y252" s="201">
        <f t="shared" si="45"/>
        <v>0</v>
      </c>
    </row>
    <row r="253" spans="1:25" s="169" customFormat="1" ht="26.4">
      <c r="A253" s="192" t="s">
        <v>1421</v>
      </c>
      <c r="B253" s="165" t="s">
        <v>1422</v>
      </c>
      <c r="C253" s="183" t="str">
        <f t="shared" si="40"/>
        <v>3019708</v>
      </c>
      <c r="D253" s="182" t="str">
        <f t="shared" si="39"/>
        <v>Phòng công chứng sổ 2 tỉnh &lt;on Tum</v>
      </c>
      <c r="E253" s="206"/>
      <c r="F253" s="207">
        <v>414</v>
      </c>
      <c r="G253" s="207"/>
      <c r="H253" s="205"/>
      <c r="I253" s="205"/>
      <c r="J253" s="167">
        <v>330500000</v>
      </c>
      <c r="K253" s="166"/>
      <c r="L253" s="167">
        <v>330500000</v>
      </c>
      <c r="M253" s="171"/>
      <c r="N253" s="168">
        <f t="shared" si="41"/>
        <v>330500000</v>
      </c>
      <c r="O253" s="171"/>
      <c r="P253" s="167">
        <v>330500000</v>
      </c>
      <c r="Q253" s="167">
        <f t="shared" si="38"/>
        <v>330500000</v>
      </c>
      <c r="R253" s="171"/>
      <c r="T253" s="201">
        <f t="shared" si="42"/>
        <v>330.5</v>
      </c>
      <c r="U253" s="201">
        <f t="shared" si="45"/>
        <v>330.5</v>
      </c>
      <c r="V253" s="201">
        <f t="shared" si="45"/>
        <v>0</v>
      </c>
      <c r="W253" s="201">
        <f t="shared" si="45"/>
        <v>330.5</v>
      </c>
      <c r="X253" s="201">
        <f t="shared" si="45"/>
        <v>330.5</v>
      </c>
      <c r="Y253" s="201">
        <f t="shared" si="45"/>
        <v>0</v>
      </c>
    </row>
    <row r="254" spans="1:25" s="169" customFormat="1" ht="39.6">
      <c r="A254" s="192" t="s">
        <v>1424</v>
      </c>
      <c r="B254" s="165" t="s">
        <v>1425</v>
      </c>
      <c r="C254" s="183" t="str">
        <f t="shared" si="40"/>
        <v>3023385</v>
      </c>
      <c r="D254" s="182" t="str">
        <f t="shared" si="39"/>
        <v>Ban quản lý dự án "Chăm sốc sức khòe nhân dân các tỉnh Tây Nguyên giai đoạn 2" tỉnh Kon Tum.</v>
      </c>
      <c r="E254" s="206"/>
      <c r="F254" s="207">
        <v>423</v>
      </c>
      <c r="G254" s="207"/>
      <c r="H254" s="205"/>
      <c r="I254" s="205"/>
      <c r="J254" s="167">
        <v>700000000</v>
      </c>
      <c r="K254" s="166"/>
      <c r="L254" s="167">
        <v>700000000</v>
      </c>
      <c r="M254" s="171"/>
      <c r="N254" s="168">
        <f t="shared" si="41"/>
        <v>700000000</v>
      </c>
      <c r="O254" s="171"/>
      <c r="P254" s="167">
        <v>700000000</v>
      </c>
      <c r="Q254" s="167">
        <f t="shared" si="38"/>
        <v>700000000</v>
      </c>
      <c r="R254" s="171"/>
      <c r="T254" s="201">
        <f t="shared" si="42"/>
        <v>700</v>
      </c>
      <c r="U254" s="201">
        <f t="shared" si="45"/>
        <v>700</v>
      </c>
      <c r="V254" s="201">
        <f t="shared" si="45"/>
        <v>0</v>
      </c>
      <c r="W254" s="201">
        <f t="shared" si="45"/>
        <v>700</v>
      </c>
      <c r="X254" s="201">
        <f t="shared" si="45"/>
        <v>700</v>
      </c>
      <c r="Y254" s="201">
        <f t="shared" si="45"/>
        <v>0</v>
      </c>
    </row>
    <row r="255" spans="1:25" s="169" customFormat="1" ht="39.6">
      <c r="A255" s="192" t="s">
        <v>1427</v>
      </c>
      <c r="B255" s="165" t="s">
        <v>1428</v>
      </c>
      <c r="C255" s="183" t="str">
        <f t="shared" si="40"/>
        <v>3024159</v>
      </c>
      <c r="D255" s="182" t="str">
        <f t="shared" si="39"/>
        <v>Hội truyỄn thống Trường Sơn Đường HS Chí Minh tỉnh Kon Tum</v>
      </c>
      <c r="E255" s="206"/>
      <c r="F255" s="207">
        <v>599</v>
      </c>
      <c r="G255" s="207"/>
      <c r="H255" s="205"/>
      <c r="I255" s="205"/>
      <c r="J255" s="167">
        <v>20000000</v>
      </c>
      <c r="K255" s="166"/>
      <c r="L255" s="166"/>
      <c r="M255" s="168">
        <v>20000000</v>
      </c>
      <c r="N255" s="168">
        <f t="shared" si="41"/>
        <v>20000000</v>
      </c>
      <c r="O255" s="168"/>
      <c r="P255" s="167">
        <v>20000000</v>
      </c>
      <c r="Q255" s="167">
        <f t="shared" si="38"/>
        <v>20000000</v>
      </c>
      <c r="R255" s="168"/>
      <c r="T255" s="201">
        <f t="shared" si="42"/>
        <v>20</v>
      </c>
      <c r="U255" s="201">
        <f t="shared" si="45"/>
        <v>20</v>
      </c>
      <c r="V255" s="201">
        <f t="shared" si="45"/>
        <v>0</v>
      </c>
      <c r="W255" s="201">
        <f t="shared" si="45"/>
        <v>20</v>
      </c>
      <c r="X255" s="201">
        <f t="shared" si="45"/>
        <v>20</v>
      </c>
      <c r="Y255" s="201">
        <f t="shared" si="45"/>
        <v>0</v>
      </c>
    </row>
    <row r="256" spans="1:25" s="169" customFormat="1" ht="39.6">
      <c r="A256" s="192" t="s">
        <v>1430</v>
      </c>
      <c r="B256" s="165" t="s">
        <v>1431</v>
      </c>
      <c r="C256" s="183" t="str">
        <f t="shared" si="40"/>
        <v>3027473</v>
      </c>
      <c r="D256" s="182" t="str">
        <f t="shared" si="39"/>
        <v>Ban quản lý dự án "An ninh y tẽ khu vực tiều vùng Mê Công mở rộng" tỉnh Kon Tum</v>
      </c>
      <c r="E256" s="206"/>
      <c r="F256" s="207">
        <v>423</v>
      </c>
      <c r="G256" s="207"/>
      <c r="H256" s="205"/>
      <c r="I256" s="205"/>
      <c r="J256" s="167">
        <v>130000000</v>
      </c>
      <c r="K256" s="166"/>
      <c r="L256" s="167">
        <v>130000000</v>
      </c>
      <c r="M256" s="171"/>
      <c r="N256" s="168">
        <f t="shared" si="41"/>
        <v>130000000</v>
      </c>
      <c r="O256" s="171"/>
      <c r="P256" s="167">
        <v>130000000</v>
      </c>
      <c r="Q256" s="167">
        <f t="shared" si="38"/>
        <v>130000000</v>
      </c>
      <c r="R256" s="171"/>
      <c r="T256" s="201">
        <f t="shared" si="42"/>
        <v>130</v>
      </c>
      <c r="U256" s="201">
        <f t="shared" si="45"/>
        <v>130</v>
      </c>
      <c r="V256" s="201">
        <f t="shared" si="45"/>
        <v>0</v>
      </c>
      <c r="W256" s="201">
        <f t="shared" si="45"/>
        <v>130</v>
      </c>
      <c r="X256" s="201">
        <f t="shared" si="45"/>
        <v>130</v>
      </c>
      <c r="Y256" s="201">
        <f t="shared" si="45"/>
        <v>0</v>
      </c>
    </row>
  </sheetData>
  <mergeCells count="30">
    <mergeCell ref="Y15:Y17"/>
    <mergeCell ref="K16:K17"/>
    <mergeCell ref="L16:L17"/>
    <mergeCell ref="M16:M17"/>
    <mergeCell ref="N16:N17"/>
    <mergeCell ref="O16:O17"/>
    <mergeCell ref="U16:U17"/>
    <mergeCell ref="V16:V17"/>
    <mergeCell ref="W14:W17"/>
    <mergeCell ref="X14:Y14"/>
    <mergeCell ref="T15:T17"/>
    <mergeCell ref="U15:V15"/>
    <mergeCell ref="X15:X17"/>
    <mergeCell ref="T14:V14"/>
    <mergeCell ref="G14:G17"/>
    <mergeCell ref="H14:H17"/>
    <mergeCell ref="J14:O14"/>
    <mergeCell ref="P14:P17"/>
    <mergeCell ref="Q14:R14"/>
    <mergeCell ref="J15:J17"/>
    <mergeCell ref="K15:M15"/>
    <mergeCell ref="N15:O15"/>
    <mergeCell ref="Q15:Q17"/>
    <mergeCell ref="R15:R17"/>
    <mergeCell ref="F14:F17"/>
    <mergeCell ref="A14:A17"/>
    <mergeCell ref="B14:B17"/>
    <mergeCell ref="C14:C17"/>
    <mergeCell ref="D14:D17"/>
    <mergeCell ref="E14:E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688"/>
  <sheetViews>
    <sheetView topLeftCell="D13" workbookViewId="0">
      <selection activeCell="D38" sqref="D38"/>
    </sheetView>
  </sheetViews>
  <sheetFormatPr defaultColWidth="9.109375" defaultRowHeight="13.2" outlineLevelRow="1" outlineLevelCol="1"/>
  <cols>
    <col min="1" max="1" width="9.109375" style="190"/>
    <col min="2" max="2" width="31.33203125" style="149" hidden="1" customWidth="1" outlineLevel="1"/>
    <col min="3" max="3" width="10.33203125" style="149" hidden="1" customWidth="1" outlineLevel="1"/>
    <col min="4" max="4" width="46.6640625" style="149" customWidth="1" collapsed="1"/>
    <col min="5" max="7" width="9.109375" style="190"/>
    <col min="8" max="8" width="9.109375" style="208"/>
    <col min="9" max="9" width="18.5546875" style="149" customWidth="1"/>
    <col min="10" max="10" width="15" style="149" customWidth="1" outlineLevel="1"/>
    <col min="11" max="11" width="17.6640625" style="149" customWidth="1" outlineLevel="1"/>
    <col min="12" max="12" width="16" style="150" customWidth="1" outlineLevel="1"/>
    <col min="13" max="14" width="16" style="150" customWidth="1"/>
    <col min="15" max="17" width="17.6640625" style="149" customWidth="1"/>
    <col min="18" max="16384" width="9.109375" style="149"/>
  </cols>
  <sheetData>
    <row r="1" spans="1:24" hidden="1" outlineLevel="1">
      <c r="A1" s="189" t="s">
        <v>635</v>
      </c>
    </row>
    <row r="2" spans="1:24" hidden="1" outlineLevel="1">
      <c r="A2" s="189" t="s">
        <v>636</v>
      </c>
    </row>
    <row r="3" spans="1:24" hidden="1" outlineLevel="1"/>
    <row r="4" spans="1:24" hidden="1" outlineLevel="1">
      <c r="A4" s="189" t="s">
        <v>637</v>
      </c>
    </row>
    <row r="5" spans="1:24" hidden="1" outlineLevel="1">
      <c r="A5" s="189" t="s">
        <v>638</v>
      </c>
    </row>
    <row r="6" spans="1:24" hidden="1" outlineLevel="1">
      <c r="A6" s="189" t="s">
        <v>639</v>
      </c>
    </row>
    <row r="7" spans="1:24" hidden="1" outlineLevel="1">
      <c r="A7" s="189" t="s">
        <v>640</v>
      </c>
    </row>
    <row r="8" spans="1:24" hidden="1" outlineLevel="1"/>
    <row r="9" spans="1:24" hidden="1" outlineLevel="1">
      <c r="A9" s="189" t="s">
        <v>641</v>
      </c>
    </row>
    <row r="10" spans="1:24" hidden="1" outlineLevel="1">
      <c r="A10" s="189" t="s">
        <v>642</v>
      </c>
    </row>
    <row r="11" spans="1:24" hidden="1" outlineLevel="1"/>
    <row r="12" spans="1:24" hidden="1" outlineLevel="1">
      <c r="A12" s="189" t="s">
        <v>643</v>
      </c>
    </row>
    <row r="13" spans="1:24" ht="18.75" customHeight="1" collapsed="1">
      <c r="I13" s="225">
        <f>I22+I31+I42+I50+I54+I62+I67+I77+I87+I95+I105+I113+I120+I128+I137+I147+I154+I168+I175+I188+I198+I203+I209+I221+I232+I238+I242+I248+I258+I265+I274+I283+I291+I299+I303+I311+I320+I328+I338+I347+I354+I364+I373+I385+I395+I402+I412+I419+I427+I434+I443+I453+I463+I471+I479+I490+I502+I513+I518+I526+I541+I548+I555+I562+I568+I575+I586+I594+I605+I615+I620+I631+I652+I657+I662+I668+I677+I687+I693+I702+I708+I723+I732+I739+I752+I765+I779+I791+I803+I813+I821+I833+I842+I846+I854+I862+I869+I876+I884+I891+I904+I915+I925+I935+I944+I954+I963+I972+I984+I998+I1005+I1010+I1017+I1027+I1034+I1041+I1051+I1059+I1076+I1090+I1098+I1107+I1116+I1124+I1131+I1138+I1147+I1156+I1161+I1165+I1170+I1177+I1188+I1198+I1206+I1216+I1224+I1231+I1238+I1246+I1253+I1259+I1265+I1269+I1276+I1281+I1286+I1290+I1295+I1307+I1312+I1317+I1321+I1326+I1330+I1337+I1341+I1351+I1360+I1364+I1376+I1384+I1388+I1395+I1405+I1413+I1417+I1426+I1436+I1440+I1449+I1456+I1464+I1471+I1475+I1481+I1485+I1495+I1499+I1503+I1513+I1523+I1527+I1535+I1550+I1558+I1566+I1572+I1577+I1585+I1589+I1596+I1604+I1613+I1617+I1626+I1632+I1639+I1647+I1654+I1658+I1665+I1670+I1677+I1681+I1685</f>
        <v>1367116966973</v>
      </c>
      <c r="J13" s="225">
        <f t="shared" ref="J13:O13" si="0">J22+J31+J42+J50+J54+J62+J67+J77+J87+J95+J105+J113+J120+J128+J137+J147+J154+J168+J175+J188+J198+J203+J209+J221+J232+J238+J242+J248+J258+J265+J274+J283+J291+J299+J303+J311+J320+J328+J338+J347+J354+J364+J373+J385+J395+J402+J412+J419+J427+J434+J443+J453+J463+J471+J479+J490+J502+J513+J518+J526+J541+J548+J555+J562+J568+J575+J586+J594+J605+J615+J620+J631+J652+J657+J662+J668+J677+J687+J693+J702+J708+J723+J732+J739+J752+J765+J779+J791+J803+J813+J821+J833+J842+J846+J854+J862+J869+J876+J884+J891+J904+J915+J925+J935+J944+J954+J963+J972+J984+J998+J1005+J1010+J1017+J1027+J1034+J1041+J1051+J1059+J1076+J1090+J1098+J1107+J1116+J1124+J1131+J1138+J1147+J1156+J1161+J1165+J1170+J1177+J1188+J1198+J1206+J1216+J1224+J1231+J1238+J1246+J1253+J1259+J1265+J1269+J1276+J1281+J1286+J1290+J1295+J1307+J1312+J1317+J1321+J1326+J1330+J1337+J1341+J1351+J1360+J1364+J1376+J1384+J1388+J1395+J1405+J1413+J1417+J1426+J1436+J1440+J1449+J1456+J1464+J1471+J1475+J1481+J1485+J1495+J1499+J1503+J1513+J1523+J1527+J1535+J1550+J1558+J1566+J1572+J1577+J1585+J1589+J1596+J1604+J1613+J1617+J1626+J1632+J1639+J1647+J1654+J1658+J1665+J1670+J1677+J1681+J1685</f>
        <v>92332580561</v>
      </c>
      <c r="K13" s="225">
        <f t="shared" si="0"/>
        <v>1064982786772</v>
      </c>
      <c r="L13" s="225">
        <f t="shared" si="0"/>
        <v>209801599640</v>
      </c>
      <c r="M13" s="225">
        <f t="shared" si="0"/>
        <v>1367116966973</v>
      </c>
      <c r="N13" s="225">
        <f t="shared" si="0"/>
        <v>0</v>
      </c>
      <c r="O13" s="225">
        <f t="shared" si="0"/>
        <v>1245405587745</v>
      </c>
      <c r="W13" s="149" t="s">
        <v>1439</v>
      </c>
    </row>
    <row r="14" spans="1:24" s="197" customFormat="1" ht="15" customHeight="1">
      <c r="A14" s="846" t="s">
        <v>644</v>
      </c>
      <c r="B14" s="846" t="s">
        <v>645</v>
      </c>
      <c r="C14" s="848" t="s">
        <v>1433</v>
      </c>
      <c r="D14" s="847" t="s">
        <v>1434</v>
      </c>
      <c r="E14" s="840" t="s">
        <v>646</v>
      </c>
      <c r="F14" s="840" t="s">
        <v>647</v>
      </c>
      <c r="G14" s="840" t="s">
        <v>648</v>
      </c>
      <c r="H14" s="843" t="s">
        <v>649</v>
      </c>
      <c r="I14" s="854" t="s">
        <v>1438</v>
      </c>
      <c r="J14" s="854"/>
      <c r="K14" s="854"/>
      <c r="L14" s="854"/>
      <c r="M14" s="854"/>
      <c r="N14" s="854"/>
      <c r="O14" s="849" t="s">
        <v>1435</v>
      </c>
      <c r="P14" s="850" t="s">
        <v>162</v>
      </c>
      <c r="Q14" s="851"/>
      <c r="S14" s="854" t="s">
        <v>1438</v>
      </c>
      <c r="T14" s="854"/>
      <c r="U14" s="854"/>
      <c r="V14" s="849" t="s">
        <v>1435</v>
      </c>
      <c r="W14" s="850" t="s">
        <v>162</v>
      </c>
      <c r="X14" s="851"/>
    </row>
    <row r="15" spans="1:24" s="197" customFormat="1">
      <c r="A15" s="846"/>
      <c r="B15" s="846"/>
      <c r="C15" s="848"/>
      <c r="D15" s="847"/>
      <c r="E15" s="841"/>
      <c r="F15" s="841"/>
      <c r="G15" s="841"/>
      <c r="H15" s="844"/>
      <c r="I15" s="855" t="s">
        <v>650</v>
      </c>
      <c r="J15" s="855" t="s">
        <v>651</v>
      </c>
      <c r="K15" s="855"/>
      <c r="L15" s="855"/>
      <c r="M15" s="850" t="s">
        <v>162</v>
      </c>
      <c r="N15" s="851"/>
      <c r="O15" s="849"/>
      <c r="P15" s="852" t="s">
        <v>1436</v>
      </c>
      <c r="Q15" s="853" t="s">
        <v>1437</v>
      </c>
      <c r="S15" s="855" t="s">
        <v>650</v>
      </c>
      <c r="T15" s="850" t="s">
        <v>162</v>
      </c>
      <c r="U15" s="851"/>
      <c r="V15" s="849"/>
      <c r="W15" s="852" t="s">
        <v>1436</v>
      </c>
      <c r="X15" s="853" t="s">
        <v>1437</v>
      </c>
    </row>
    <row r="16" spans="1:24" s="197" customFormat="1" ht="12.75" customHeight="1">
      <c r="A16" s="846"/>
      <c r="B16" s="846"/>
      <c r="C16" s="848"/>
      <c r="D16" s="847"/>
      <c r="E16" s="841"/>
      <c r="F16" s="841"/>
      <c r="G16" s="841"/>
      <c r="H16" s="844"/>
      <c r="I16" s="846"/>
      <c r="J16" s="856" t="s">
        <v>652</v>
      </c>
      <c r="K16" s="856" t="s">
        <v>653</v>
      </c>
      <c r="L16" s="857" t="s">
        <v>654</v>
      </c>
      <c r="M16" s="843" t="s">
        <v>1436</v>
      </c>
      <c r="N16" s="843" t="s">
        <v>1437</v>
      </c>
      <c r="O16" s="849"/>
      <c r="P16" s="852"/>
      <c r="Q16" s="853"/>
      <c r="S16" s="846"/>
      <c r="T16" s="843" t="s">
        <v>1436</v>
      </c>
      <c r="U16" s="843" t="s">
        <v>1437</v>
      </c>
      <c r="V16" s="849"/>
      <c r="W16" s="852"/>
      <c r="X16" s="853"/>
    </row>
    <row r="17" spans="1:24" s="197" customFormat="1" ht="59.25" customHeight="1">
      <c r="A17" s="846"/>
      <c r="B17" s="846"/>
      <c r="C17" s="848"/>
      <c r="D17" s="847"/>
      <c r="E17" s="842"/>
      <c r="F17" s="842"/>
      <c r="G17" s="842"/>
      <c r="H17" s="845"/>
      <c r="I17" s="846"/>
      <c r="J17" s="856"/>
      <c r="K17" s="856"/>
      <c r="L17" s="857"/>
      <c r="M17" s="844"/>
      <c r="N17" s="845"/>
      <c r="O17" s="849"/>
      <c r="P17" s="852"/>
      <c r="Q17" s="853"/>
      <c r="S17" s="846"/>
      <c r="T17" s="844"/>
      <c r="U17" s="845"/>
      <c r="V17" s="849"/>
      <c r="W17" s="852"/>
      <c r="X17" s="853"/>
    </row>
    <row r="18" spans="1:24">
      <c r="A18" s="151" t="s">
        <v>655</v>
      </c>
      <c r="B18" s="151" t="s">
        <v>656</v>
      </c>
      <c r="C18" s="151"/>
      <c r="D18" s="151"/>
      <c r="E18" s="151" t="s">
        <v>657</v>
      </c>
      <c r="F18" s="151" t="s">
        <v>658</v>
      </c>
      <c r="G18" s="151" t="s">
        <v>659</v>
      </c>
      <c r="H18" s="209" t="s">
        <v>660</v>
      </c>
      <c r="I18" s="152" t="s">
        <v>661</v>
      </c>
      <c r="J18" s="151" t="s">
        <v>662</v>
      </c>
      <c r="K18" s="151" t="s">
        <v>663</v>
      </c>
      <c r="L18" s="198" t="s">
        <v>664</v>
      </c>
      <c r="M18" s="200"/>
      <c r="N18" s="200"/>
      <c r="O18" s="199" t="s">
        <v>665</v>
      </c>
      <c r="P18" s="151"/>
      <c r="Q18" s="151"/>
      <c r="S18" s="152" t="s">
        <v>661</v>
      </c>
      <c r="T18" s="200"/>
      <c r="U18" s="200"/>
      <c r="V18" s="199" t="s">
        <v>665</v>
      </c>
      <c r="W18" s="151"/>
      <c r="X18" s="151"/>
    </row>
    <row r="19" spans="1:24" s="153" customFormat="1">
      <c r="A19" s="104"/>
      <c r="B19" s="154" t="s">
        <v>148</v>
      </c>
      <c r="C19" s="181"/>
      <c r="D19" s="181"/>
      <c r="E19" s="202"/>
      <c r="F19" s="202"/>
      <c r="G19" s="202"/>
      <c r="H19" s="203"/>
      <c r="I19" s="155">
        <v>1367116966973</v>
      </c>
      <c r="J19" s="155">
        <v>92332580561</v>
      </c>
      <c r="K19" s="156">
        <v>1064982786772</v>
      </c>
      <c r="L19" s="157">
        <v>209801599640</v>
      </c>
      <c r="M19" s="157"/>
      <c r="N19" s="157"/>
      <c r="O19" s="158">
        <v>1245405587745</v>
      </c>
      <c r="P19" s="158"/>
      <c r="Q19" s="158"/>
    </row>
    <row r="20" spans="1:24" s="153" customFormat="1">
      <c r="A20" s="191"/>
      <c r="B20" s="159"/>
      <c r="C20" s="159"/>
      <c r="D20" s="185" t="s">
        <v>670</v>
      </c>
      <c r="E20" s="204"/>
      <c r="F20" s="204"/>
      <c r="G20" s="204"/>
      <c r="H20" s="205"/>
      <c r="I20" s="160">
        <v>1271860559373</v>
      </c>
      <c r="J20" s="160">
        <v>72903660561</v>
      </c>
      <c r="K20" s="161">
        <v>1064212496772</v>
      </c>
      <c r="L20" s="162">
        <v>134744402040</v>
      </c>
      <c r="M20" s="162"/>
      <c r="N20" s="162"/>
      <c r="O20" s="160">
        <v>1195665138417</v>
      </c>
      <c r="P20" s="160"/>
      <c r="Q20" s="160"/>
    </row>
    <row r="21" spans="1:24" s="153" customFormat="1">
      <c r="A21" s="191"/>
      <c r="B21" s="159"/>
      <c r="C21" s="159"/>
      <c r="D21" s="185" t="s">
        <v>671</v>
      </c>
      <c r="E21" s="204"/>
      <c r="F21" s="204"/>
      <c r="G21" s="204"/>
      <c r="H21" s="205"/>
      <c r="I21" s="163">
        <v>95256407600</v>
      </c>
      <c r="J21" s="160">
        <v>19428920000</v>
      </c>
      <c r="K21" s="160">
        <v>770290000</v>
      </c>
      <c r="L21" s="162">
        <v>75057197600</v>
      </c>
      <c r="M21" s="162"/>
      <c r="N21" s="162"/>
      <c r="O21" s="160">
        <v>49740449328</v>
      </c>
      <c r="P21" s="160"/>
      <c r="Q21" s="160"/>
    </row>
    <row r="22" spans="1:24" s="169" customFormat="1" ht="26.4">
      <c r="A22" s="192" t="s">
        <v>672</v>
      </c>
      <c r="B22" s="165" t="s">
        <v>673</v>
      </c>
      <c r="C22" s="183" t="str">
        <f t="shared" ref="C22:C85" si="1">IF(B22&lt;&gt;"",IF(AND(LEFT(B22,1)&gt;="0",LEFT(B22,1)&lt;="9"),LEFT(B22,7),""),"")</f>
        <v>002685-</v>
      </c>
      <c r="D22" s="182" t="str">
        <f>IF(C22&lt;&gt;"",RIGHT(B22,LEN(B22)-7),"")</f>
        <v>Trường Trung Học PhS thông rrân Quốc Tuẫn</v>
      </c>
      <c r="E22" s="206"/>
      <c r="F22" s="207"/>
      <c r="G22" s="207"/>
      <c r="H22" s="205"/>
      <c r="I22" s="166">
        <v>7921874000</v>
      </c>
      <c r="J22" s="166"/>
      <c r="K22" s="167">
        <v>7908434000</v>
      </c>
      <c r="L22" s="168">
        <v>13440000</v>
      </c>
      <c r="M22" s="168">
        <f>I22-N22</f>
        <v>7921874000</v>
      </c>
      <c r="N22" s="168"/>
      <c r="O22" s="167">
        <v>7921274000</v>
      </c>
      <c r="P22" s="167">
        <f>O22-Q22</f>
        <v>7921274000</v>
      </c>
      <c r="Q22" s="167"/>
      <c r="S22" s="201">
        <f>I22/1000000</f>
        <v>7921.8739999999998</v>
      </c>
      <c r="T22" s="201">
        <f>M22/1000000</f>
        <v>7921.8739999999998</v>
      </c>
      <c r="U22" s="201">
        <f>N22/1000000</f>
        <v>0</v>
      </c>
      <c r="V22" s="201">
        <f>O22/1000000</f>
        <v>7921.2740000000003</v>
      </c>
      <c r="W22" s="201">
        <f t="shared" ref="W22:X37" si="2">P22/1000000</f>
        <v>7921.2740000000003</v>
      </c>
      <c r="X22" s="201">
        <f t="shared" si="2"/>
        <v>0</v>
      </c>
    </row>
    <row r="23" spans="1:24" s="169" customFormat="1" ht="13.8">
      <c r="A23" s="192" t="s">
        <v>674</v>
      </c>
      <c r="B23" s="170" t="s">
        <v>675</v>
      </c>
      <c r="C23" s="183" t="str">
        <f t="shared" si="1"/>
        <v/>
      </c>
      <c r="D23" s="182" t="str">
        <f t="shared" ref="D23:D86" si="3">IF(C23&lt;&gt;"",RIGHT(B23,LEN(B23)-7),"")</f>
        <v/>
      </c>
      <c r="E23" s="206"/>
      <c r="F23" s="207"/>
      <c r="G23" s="207"/>
      <c r="H23" s="205"/>
      <c r="I23" s="166">
        <v>7921874000</v>
      </c>
      <c r="J23" s="166"/>
      <c r="K23" s="167">
        <v>7908434000</v>
      </c>
      <c r="L23" s="168">
        <v>13440000</v>
      </c>
      <c r="M23" s="168">
        <f t="shared" ref="M23:M86" si="4">I23-N23</f>
        <v>7921874000</v>
      </c>
      <c r="N23" s="168"/>
      <c r="O23" s="167">
        <v>7921274000</v>
      </c>
      <c r="P23" s="167">
        <f t="shared" ref="P23:P86" si="5">O23-Q23</f>
        <v>7921274000</v>
      </c>
      <c r="Q23" s="167"/>
      <c r="S23" s="201">
        <f t="shared" ref="S23:S86" si="6">I23/1000000</f>
        <v>7921.8739999999998</v>
      </c>
      <c r="T23" s="201">
        <f t="shared" ref="T23:X79" si="7">M23/1000000</f>
        <v>7921.8739999999998</v>
      </c>
      <c r="U23" s="201">
        <f t="shared" si="7"/>
        <v>0</v>
      </c>
      <c r="V23" s="201">
        <f t="shared" si="7"/>
        <v>7921.2740000000003</v>
      </c>
      <c r="W23" s="201">
        <f t="shared" si="2"/>
        <v>7921.2740000000003</v>
      </c>
      <c r="X23" s="201">
        <f t="shared" si="2"/>
        <v>0</v>
      </c>
    </row>
    <row r="24" spans="1:24" s="169" customFormat="1" ht="13.8">
      <c r="A24" s="192"/>
      <c r="B24" s="170" t="s">
        <v>676</v>
      </c>
      <c r="C24" s="183" t="str">
        <f t="shared" si="1"/>
        <v/>
      </c>
      <c r="D24" s="182" t="str">
        <f t="shared" si="3"/>
        <v/>
      </c>
      <c r="E24" s="206"/>
      <c r="F24" s="207"/>
      <c r="G24" s="207"/>
      <c r="H24" s="205"/>
      <c r="I24" s="166">
        <v>7499949326</v>
      </c>
      <c r="J24" s="166"/>
      <c r="K24" s="167">
        <v>7495509326</v>
      </c>
      <c r="L24" s="168">
        <v>4440000</v>
      </c>
      <c r="M24" s="168">
        <f t="shared" si="4"/>
        <v>7499949326</v>
      </c>
      <c r="N24" s="168"/>
      <c r="O24" s="167">
        <v>7499949326</v>
      </c>
      <c r="P24" s="167">
        <f t="shared" si="5"/>
        <v>7499949326</v>
      </c>
      <c r="Q24" s="167"/>
      <c r="S24" s="201">
        <f t="shared" si="6"/>
        <v>7499.9493259999999</v>
      </c>
      <c r="T24" s="201">
        <f t="shared" si="7"/>
        <v>7499.9493259999999</v>
      </c>
      <c r="U24" s="201">
        <f t="shared" si="7"/>
        <v>0</v>
      </c>
      <c r="V24" s="201">
        <f t="shared" si="7"/>
        <v>7499.9493259999999</v>
      </c>
      <c r="W24" s="201">
        <f t="shared" si="2"/>
        <v>7499.9493259999999</v>
      </c>
      <c r="X24" s="201">
        <f t="shared" si="2"/>
        <v>0</v>
      </c>
    </row>
    <row r="25" spans="1:24" s="169" customFormat="1" ht="13.8">
      <c r="A25" s="193"/>
      <c r="B25" s="187"/>
      <c r="C25" s="183" t="str">
        <f t="shared" si="1"/>
        <v/>
      </c>
      <c r="D25" s="182" t="str">
        <f t="shared" si="3"/>
        <v/>
      </c>
      <c r="E25" s="192" t="s">
        <v>666</v>
      </c>
      <c r="F25" s="192" t="s">
        <v>677</v>
      </c>
      <c r="G25" s="192" t="s">
        <v>678</v>
      </c>
      <c r="H25" s="210" t="s">
        <v>1440</v>
      </c>
      <c r="I25" s="166">
        <v>7402509326</v>
      </c>
      <c r="J25" s="166"/>
      <c r="K25" s="167">
        <v>7402509326</v>
      </c>
      <c r="L25" s="171"/>
      <c r="M25" s="168">
        <f t="shared" si="4"/>
        <v>7402509326</v>
      </c>
      <c r="N25" s="171"/>
      <c r="O25" s="167">
        <v>7402509326</v>
      </c>
      <c r="P25" s="167">
        <f t="shared" si="5"/>
        <v>7402509326</v>
      </c>
      <c r="Q25" s="167"/>
      <c r="S25" s="201">
        <f t="shared" si="6"/>
        <v>7402.5093260000003</v>
      </c>
      <c r="T25" s="201">
        <f t="shared" si="7"/>
        <v>7402.5093260000003</v>
      </c>
      <c r="U25" s="201">
        <f t="shared" si="7"/>
        <v>0</v>
      </c>
      <c r="V25" s="201">
        <f t="shared" si="7"/>
        <v>7402.5093260000003</v>
      </c>
      <c r="W25" s="201">
        <f t="shared" si="2"/>
        <v>7402.5093260000003</v>
      </c>
      <c r="X25" s="201">
        <f t="shared" si="2"/>
        <v>0</v>
      </c>
    </row>
    <row r="26" spans="1:24" s="169" customFormat="1" ht="13.8">
      <c r="A26" s="194"/>
      <c r="B26" s="184"/>
      <c r="C26" s="183" t="str">
        <f t="shared" si="1"/>
        <v/>
      </c>
      <c r="D26" s="182" t="str">
        <f t="shared" si="3"/>
        <v/>
      </c>
      <c r="E26" s="192" t="s">
        <v>679</v>
      </c>
      <c r="F26" s="192" t="s">
        <v>677</v>
      </c>
      <c r="G26" s="192" t="s">
        <v>678</v>
      </c>
      <c r="H26" s="210" t="s">
        <v>1440</v>
      </c>
      <c r="I26" s="167">
        <v>93000000</v>
      </c>
      <c r="J26" s="166"/>
      <c r="K26" s="167">
        <v>93000000</v>
      </c>
      <c r="L26" s="171"/>
      <c r="M26" s="168">
        <f t="shared" si="4"/>
        <v>93000000</v>
      </c>
      <c r="N26" s="171"/>
      <c r="O26" s="167">
        <v>93000000</v>
      </c>
      <c r="P26" s="167">
        <f t="shared" si="5"/>
        <v>93000000</v>
      </c>
      <c r="Q26" s="167"/>
      <c r="S26" s="201">
        <f t="shared" si="6"/>
        <v>93</v>
      </c>
      <c r="T26" s="201">
        <f t="shared" si="7"/>
        <v>93</v>
      </c>
      <c r="U26" s="201">
        <f t="shared" si="7"/>
        <v>0</v>
      </c>
      <c r="V26" s="201">
        <f t="shared" si="7"/>
        <v>93</v>
      </c>
      <c r="W26" s="201">
        <f t="shared" si="2"/>
        <v>93</v>
      </c>
      <c r="X26" s="201">
        <f t="shared" si="2"/>
        <v>0</v>
      </c>
    </row>
    <row r="27" spans="1:24" s="169" customFormat="1" ht="13.8">
      <c r="A27" s="195"/>
      <c r="B27" s="188"/>
      <c r="C27" s="183" t="str">
        <f t="shared" si="1"/>
        <v/>
      </c>
      <c r="D27" s="182" t="str">
        <f t="shared" si="3"/>
        <v/>
      </c>
      <c r="E27" s="192" t="s">
        <v>669</v>
      </c>
      <c r="F27" s="192" t="s">
        <v>677</v>
      </c>
      <c r="G27" s="192" t="s">
        <v>678</v>
      </c>
      <c r="H27" s="210" t="s">
        <v>1440</v>
      </c>
      <c r="I27" s="167">
        <v>4440000</v>
      </c>
      <c r="J27" s="166"/>
      <c r="K27" s="166"/>
      <c r="L27" s="168">
        <v>4440000</v>
      </c>
      <c r="M27" s="168">
        <f t="shared" si="4"/>
        <v>4440000</v>
      </c>
      <c r="N27" s="168"/>
      <c r="O27" s="167">
        <v>4440000</v>
      </c>
      <c r="P27" s="167">
        <f t="shared" si="5"/>
        <v>4440000</v>
      </c>
      <c r="Q27" s="167"/>
      <c r="S27" s="201">
        <f t="shared" si="6"/>
        <v>4.4400000000000004</v>
      </c>
      <c r="T27" s="201">
        <f t="shared" si="7"/>
        <v>4.4400000000000004</v>
      </c>
      <c r="U27" s="201">
        <f t="shared" si="7"/>
        <v>0</v>
      </c>
      <c r="V27" s="201">
        <f t="shared" si="7"/>
        <v>4.4400000000000004</v>
      </c>
      <c r="W27" s="201">
        <f t="shared" si="2"/>
        <v>4.4400000000000004</v>
      </c>
      <c r="X27" s="201">
        <f t="shared" si="2"/>
        <v>0</v>
      </c>
    </row>
    <row r="28" spans="1:24" s="169" customFormat="1" ht="13.8">
      <c r="A28" s="192"/>
      <c r="B28" s="170" t="s">
        <v>680</v>
      </c>
      <c r="C28" s="183" t="str">
        <f t="shared" si="1"/>
        <v/>
      </c>
      <c r="D28" s="182" t="str">
        <f t="shared" si="3"/>
        <v/>
      </c>
      <c r="E28" s="186"/>
      <c r="F28" s="186"/>
      <c r="G28" s="186"/>
      <c r="H28" s="211"/>
      <c r="I28" s="167">
        <v>421924674</v>
      </c>
      <c r="J28" s="166"/>
      <c r="K28" s="167">
        <v>412924674</v>
      </c>
      <c r="L28" s="168">
        <v>9000000</v>
      </c>
      <c r="M28" s="168">
        <f t="shared" si="4"/>
        <v>421924674</v>
      </c>
      <c r="N28" s="168"/>
      <c r="O28" s="167">
        <v>421324674</v>
      </c>
      <c r="P28" s="167">
        <f t="shared" si="5"/>
        <v>421324674</v>
      </c>
      <c r="Q28" s="167"/>
      <c r="S28" s="201">
        <f t="shared" si="6"/>
        <v>421.92467399999998</v>
      </c>
      <c r="T28" s="201">
        <f t="shared" si="7"/>
        <v>421.92467399999998</v>
      </c>
      <c r="U28" s="201">
        <f t="shared" si="7"/>
        <v>0</v>
      </c>
      <c r="V28" s="201">
        <f t="shared" si="7"/>
        <v>421.32467400000002</v>
      </c>
      <c r="W28" s="201">
        <f t="shared" si="2"/>
        <v>421.32467400000002</v>
      </c>
      <c r="X28" s="201">
        <f t="shared" si="2"/>
        <v>0</v>
      </c>
    </row>
    <row r="29" spans="1:24" s="169" customFormat="1" ht="13.8">
      <c r="A29" s="193"/>
      <c r="B29" s="187"/>
      <c r="C29" s="183" t="str">
        <f t="shared" si="1"/>
        <v/>
      </c>
      <c r="D29" s="182" t="str">
        <f t="shared" si="3"/>
        <v/>
      </c>
      <c r="E29" s="192" t="s">
        <v>681</v>
      </c>
      <c r="F29" s="192" t="s">
        <v>677</v>
      </c>
      <c r="G29" s="192" t="s">
        <v>678</v>
      </c>
      <c r="H29" s="210" t="s">
        <v>1440</v>
      </c>
      <c r="I29" s="167">
        <v>407479674</v>
      </c>
      <c r="J29" s="166"/>
      <c r="K29" s="167">
        <v>407479674</v>
      </c>
      <c r="L29" s="171"/>
      <c r="M29" s="168">
        <f t="shared" si="4"/>
        <v>407479674</v>
      </c>
      <c r="N29" s="171"/>
      <c r="O29" s="167">
        <v>407479674</v>
      </c>
      <c r="P29" s="167">
        <f t="shared" si="5"/>
        <v>407479674</v>
      </c>
      <c r="Q29" s="167"/>
      <c r="S29" s="201">
        <f t="shared" si="6"/>
        <v>407.47967399999999</v>
      </c>
      <c r="T29" s="201">
        <f t="shared" si="7"/>
        <v>407.47967399999999</v>
      </c>
      <c r="U29" s="201">
        <f t="shared" si="7"/>
        <v>0</v>
      </c>
      <c r="V29" s="201">
        <f t="shared" si="7"/>
        <v>407.47967399999999</v>
      </c>
      <c r="W29" s="201">
        <f t="shared" si="2"/>
        <v>407.47967399999999</v>
      </c>
      <c r="X29" s="201">
        <f t="shared" si="2"/>
        <v>0</v>
      </c>
    </row>
    <row r="30" spans="1:24" s="169" customFormat="1" ht="13.8">
      <c r="A30" s="195"/>
      <c r="B30" s="188"/>
      <c r="C30" s="183" t="str">
        <f t="shared" si="1"/>
        <v/>
      </c>
      <c r="D30" s="182" t="str">
        <f t="shared" si="3"/>
        <v/>
      </c>
      <c r="E30" s="192" t="s">
        <v>669</v>
      </c>
      <c r="F30" s="192" t="s">
        <v>677</v>
      </c>
      <c r="G30" s="192" t="s">
        <v>678</v>
      </c>
      <c r="H30" s="210" t="s">
        <v>1440</v>
      </c>
      <c r="I30" s="167">
        <v>14445000</v>
      </c>
      <c r="J30" s="166"/>
      <c r="K30" s="167">
        <v>5445000</v>
      </c>
      <c r="L30" s="168">
        <v>9000000</v>
      </c>
      <c r="M30" s="168">
        <f t="shared" si="4"/>
        <v>14445000</v>
      </c>
      <c r="N30" s="168"/>
      <c r="O30" s="167">
        <v>13845000</v>
      </c>
      <c r="P30" s="167">
        <f t="shared" si="5"/>
        <v>13845000</v>
      </c>
      <c r="Q30" s="167"/>
      <c r="S30" s="201">
        <f t="shared" si="6"/>
        <v>14.445</v>
      </c>
      <c r="T30" s="201">
        <f t="shared" si="7"/>
        <v>14.445</v>
      </c>
      <c r="U30" s="201">
        <f t="shared" si="7"/>
        <v>0</v>
      </c>
      <c r="V30" s="201">
        <f t="shared" si="7"/>
        <v>13.845000000000001</v>
      </c>
      <c r="W30" s="201">
        <f t="shared" si="2"/>
        <v>13.845000000000001</v>
      </c>
      <c r="X30" s="201">
        <f t="shared" si="2"/>
        <v>0</v>
      </c>
    </row>
    <row r="31" spans="1:24" s="169" customFormat="1" ht="39.6">
      <c r="A31" s="192" t="s">
        <v>682</v>
      </c>
      <c r="B31" s="165" t="s">
        <v>683</v>
      </c>
      <c r="C31" s="183" t="str">
        <f t="shared" si="1"/>
        <v>006948-</v>
      </c>
      <c r="D31" s="182" t="str">
        <f t="shared" si="3"/>
        <v>Trường Trung Học Cơ sờ -rhực Hành sư phạm Lý tự Trọng tỉnh &lt;ontum</v>
      </c>
      <c r="E31" s="206"/>
      <c r="F31" s="207"/>
      <c r="G31" s="207"/>
      <c r="H31" s="205"/>
      <c r="I31" s="166">
        <v>11338067000</v>
      </c>
      <c r="J31" s="167">
        <v>21000000</v>
      </c>
      <c r="K31" s="172">
        <v>10891513000</v>
      </c>
      <c r="L31" s="168">
        <v>425554000</v>
      </c>
      <c r="M31" s="168">
        <f t="shared" si="4"/>
        <v>11338067000</v>
      </c>
      <c r="N31" s="168"/>
      <c r="O31" s="167">
        <v>11037267000</v>
      </c>
      <c r="P31" s="167">
        <f t="shared" si="5"/>
        <v>11037267000</v>
      </c>
      <c r="Q31" s="167"/>
      <c r="S31" s="201">
        <f t="shared" si="6"/>
        <v>11338.066999999999</v>
      </c>
      <c r="T31" s="201">
        <f t="shared" si="7"/>
        <v>11338.066999999999</v>
      </c>
      <c r="U31" s="201">
        <f t="shared" si="7"/>
        <v>0</v>
      </c>
      <c r="V31" s="201">
        <f t="shared" si="7"/>
        <v>11037.267</v>
      </c>
      <c r="W31" s="201">
        <f t="shared" si="2"/>
        <v>11037.267</v>
      </c>
      <c r="X31" s="201">
        <f t="shared" si="2"/>
        <v>0</v>
      </c>
    </row>
    <row r="32" spans="1:24" s="169" customFormat="1" ht="13.8">
      <c r="A32" s="192" t="s">
        <v>684</v>
      </c>
      <c r="B32" s="170" t="s">
        <v>675</v>
      </c>
      <c r="C32" s="183" t="str">
        <f t="shared" si="1"/>
        <v/>
      </c>
      <c r="D32" s="182" t="str">
        <f t="shared" si="3"/>
        <v/>
      </c>
      <c r="E32" s="206"/>
      <c r="F32" s="207"/>
      <c r="G32" s="207"/>
      <c r="H32" s="205"/>
      <c r="I32" s="166">
        <v>11338067000</v>
      </c>
      <c r="J32" s="167">
        <v>21000000</v>
      </c>
      <c r="K32" s="172">
        <v>10891513000</v>
      </c>
      <c r="L32" s="168">
        <v>425554000</v>
      </c>
      <c r="M32" s="168">
        <f t="shared" si="4"/>
        <v>11338067000</v>
      </c>
      <c r="N32" s="168"/>
      <c r="O32" s="167">
        <v>11037267000</v>
      </c>
      <c r="P32" s="167">
        <f t="shared" si="5"/>
        <v>11037267000</v>
      </c>
      <c r="Q32" s="167"/>
      <c r="S32" s="201">
        <f t="shared" si="6"/>
        <v>11338.066999999999</v>
      </c>
      <c r="T32" s="201">
        <f t="shared" si="7"/>
        <v>11338.066999999999</v>
      </c>
      <c r="U32" s="201">
        <f t="shared" si="7"/>
        <v>0</v>
      </c>
      <c r="V32" s="201">
        <f t="shared" si="7"/>
        <v>11037.267</v>
      </c>
      <c r="W32" s="201">
        <f t="shared" si="2"/>
        <v>11037.267</v>
      </c>
      <c r="X32" s="201">
        <f t="shared" si="2"/>
        <v>0</v>
      </c>
    </row>
    <row r="33" spans="1:24" s="169" customFormat="1" ht="13.8">
      <c r="A33" s="192"/>
      <c r="B33" s="170" t="s">
        <v>676</v>
      </c>
      <c r="C33" s="183" t="str">
        <f t="shared" si="1"/>
        <v/>
      </c>
      <c r="D33" s="182" t="str">
        <f t="shared" si="3"/>
        <v/>
      </c>
      <c r="E33" s="206"/>
      <c r="F33" s="207"/>
      <c r="G33" s="207"/>
      <c r="H33" s="205"/>
      <c r="I33" s="166">
        <v>10708699000</v>
      </c>
      <c r="J33" s="167">
        <v>21000000</v>
      </c>
      <c r="K33" s="172">
        <v>10681833000</v>
      </c>
      <c r="L33" s="168">
        <v>5866000</v>
      </c>
      <c r="M33" s="168">
        <f t="shared" si="4"/>
        <v>10708699000</v>
      </c>
      <c r="N33" s="168"/>
      <c r="O33" s="167">
        <v>10708699000</v>
      </c>
      <c r="P33" s="167">
        <f t="shared" si="5"/>
        <v>10708699000</v>
      </c>
      <c r="Q33" s="167"/>
      <c r="S33" s="201">
        <f t="shared" si="6"/>
        <v>10708.699000000001</v>
      </c>
      <c r="T33" s="201">
        <f t="shared" si="7"/>
        <v>10708.699000000001</v>
      </c>
      <c r="U33" s="201">
        <f t="shared" si="7"/>
        <v>0</v>
      </c>
      <c r="V33" s="201">
        <f t="shared" si="7"/>
        <v>10708.699000000001</v>
      </c>
      <c r="W33" s="201">
        <f t="shared" si="2"/>
        <v>10708.699000000001</v>
      </c>
      <c r="X33" s="201">
        <f t="shared" si="2"/>
        <v>0</v>
      </c>
    </row>
    <row r="34" spans="1:24" s="169" customFormat="1" ht="13.8">
      <c r="A34" s="192"/>
      <c r="B34" s="173"/>
      <c r="C34" s="183" t="str">
        <f t="shared" si="1"/>
        <v/>
      </c>
      <c r="D34" s="182" t="str">
        <f t="shared" si="3"/>
        <v/>
      </c>
      <c r="E34" s="192"/>
      <c r="F34" s="192"/>
      <c r="G34" s="192"/>
      <c r="H34" s="210"/>
      <c r="I34" s="174"/>
      <c r="J34" s="174"/>
      <c r="K34" s="174"/>
      <c r="L34" s="175"/>
      <c r="M34" s="168">
        <f t="shared" si="4"/>
        <v>0</v>
      </c>
      <c r="N34" s="175"/>
      <c r="O34" s="174"/>
      <c r="P34" s="167">
        <f t="shared" si="5"/>
        <v>0</v>
      </c>
      <c r="Q34" s="174"/>
      <c r="S34" s="201">
        <f t="shared" si="6"/>
        <v>0</v>
      </c>
      <c r="T34" s="201">
        <f t="shared" si="7"/>
        <v>0</v>
      </c>
      <c r="U34" s="201">
        <f t="shared" si="7"/>
        <v>0</v>
      </c>
      <c r="V34" s="201">
        <f t="shared" si="7"/>
        <v>0</v>
      </c>
      <c r="W34" s="201">
        <f t="shared" si="2"/>
        <v>0</v>
      </c>
      <c r="X34" s="201">
        <f t="shared" si="2"/>
        <v>0</v>
      </c>
    </row>
    <row r="35" spans="1:24" s="169" customFormat="1" ht="13.8">
      <c r="A35" s="193"/>
      <c r="B35" s="187"/>
      <c r="C35" s="183" t="str">
        <f t="shared" si="1"/>
        <v/>
      </c>
      <c r="D35" s="182" t="str">
        <f t="shared" si="3"/>
        <v/>
      </c>
      <c r="E35" s="192" t="s">
        <v>666</v>
      </c>
      <c r="F35" s="192" t="s">
        <v>677</v>
      </c>
      <c r="G35" s="192" t="s">
        <v>685</v>
      </c>
      <c r="H35" s="210" t="s">
        <v>1440</v>
      </c>
      <c r="I35" s="167">
        <v>10681833000</v>
      </c>
      <c r="J35" s="166"/>
      <c r="K35" s="167">
        <v>10681833000</v>
      </c>
      <c r="L35" s="171"/>
      <c r="M35" s="168">
        <f t="shared" si="4"/>
        <v>10681833000</v>
      </c>
      <c r="N35" s="171"/>
      <c r="O35" s="167">
        <v>10681833000</v>
      </c>
      <c r="P35" s="167">
        <f t="shared" si="5"/>
        <v>10681833000</v>
      </c>
      <c r="Q35" s="167"/>
      <c r="S35" s="201">
        <f t="shared" si="6"/>
        <v>10681.833000000001</v>
      </c>
      <c r="T35" s="201">
        <f t="shared" si="7"/>
        <v>10681.833000000001</v>
      </c>
      <c r="U35" s="201">
        <f t="shared" si="7"/>
        <v>0</v>
      </c>
      <c r="V35" s="201">
        <f t="shared" si="7"/>
        <v>10681.833000000001</v>
      </c>
      <c r="W35" s="201">
        <f t="shared" si="2"/>
        <v>10681.833000000001</v>
      </c>
      <c r="X35" s="201">
        <f t="shared" si="2"/>
        <v>0</v>
      </c>
    </row>
    <row r="36" spans="1:24" s="169" customFormat="1" ht="13.8">
      <c r="A36" s="195"/>
      <c r="B36" s="188"/>
      <c r="C36" s="183" t="str">
        <f t="shared" si="1"/>
        <v/>
      </c>
      <c r="D36" s="182" t="str">
        <f t="shared" si="3"/>
        <v/>
      </c>
      <c r="E36" s="192" t="s">
        <v>669</v>
      </c>
      <c r="F36" s="192" t="s">
        <v>677</v>
      </c>
      <c r="G36" s="192" t="s">
        <v>685</v>
      </c>
      <c r="H36" s="210" t="s">
        <v>1440</v>
      </c>
      <c r="I36" s="167">
        <v>26866000</v>
      </c>
      <c r="J36" s="167">
        <v>21000000</v>
      </c>
      <c r="K36" s="166"/>
      <c r="L36" s="168">
        <v>5866000</v>
      </c>
      <c r="M36" s="168">
        <f t="shared" si="4"/>
        <v>26866000</v>
      </c>
      <c r="N36" s="168"/>
      <c r="O36" s="167">
        <v>26866000</v>
      </c>
      <c r="P36" s="167">
        <f t="shared" si="5"/>
        <v>26866000</v>
      </c>
      <c r="Q36" s="167"/>
      <c r="S36" s="201">
        <f t="shared" si="6"/>
        <v>26.866</v>
      </c>
      <c r="T36" s="201">
        <f t="shared" si="7"/>
        <v>26.866</v>
      </c>
      <c r="U36" s="201">
        <f t="shared" si="7"/>
        <v>0</v>
      </c>
      <c r="V36" s="201">
        <f t="shared" si="7"/>
        <v>26.866</v>
      </c>
      <c r="W36" s="201">
        <f t="shared" si="2"/>
        <v>26.866</v>
      </c>
      <c r="X36" s="201">
        <f t="shared" si="2"/>
        <v>0</v>
      </c>
    </row>
    <row r="37" spans="1:24" s="169" customFormat="1" ht="13.8">
      <c r="A37" s="192"/>
      <c r="B37" s="170" t="s">
        <v>686</v>
      </c>
      <c r="C37" s="183" t="str">
        <f t="shared" si="1"/>
        <v/>
      </c>
      <c r="D37" s="182" t="str">
        <f t="shared" si="3"/>
        <v/>
      </c>
      <c r="E37" s="206"/>
      <c r="F37" s="207"/>
      <c r="G37" s="207"/>
      <c r="H37" s="205"/>
      <c r="I37" s="167">
        <v>629368000</v>
      </c>
      <c r="J37" s="166"/>
      <c r="K37" s="167">
        <v>209680000</v>
      </c>
      <c r="L37" s="168">
        <v>419688000</v>
      </c>
      <c r="M37" s="168">
        <f t="shared" si="4"/>
        <v>629368000</v>
      </c>
      <c r="N37" s="168"/>
      <c r="O37" s="167">
        <v>328568000</v>
      </c>
      <c r="P37" s="167">
        <f t="shared" si="5"/>
        <v>328568000</v>
      </c>
      <c r="Q37" s="167"/>
      <c r="S37" s="201">
        <f t="shared" si="6"/>
        <v>629.36800000000005</v>
      </c>
      <c r="T37" s="201">
        <f t="shared" si="7"/>
        <v>629.36800000000005</v>
      </c>
      <c r="U37" s="201">
        <f t="shared" si="7"/>
        <v>0</v>
      </c>
      <c r="V37" s="201">
        <f t="shared" si="7"/>
        <v>328.56799999999998</v>
      </c>
      <c r="W37" s="201">
        <f t="shared" si="2"/>
        <v>328.56799999999998</v>
      </c>
      <c r="X37" s="201">
        <f t="shared" si="2"/>
        <v>0</v>
      </c>
    </row>
    <row r="38" spans="1:24" s="169" customFormat="1" ht="13.8">
      <c r="A38" s="193"/>
      <c r="B38" s="187"/>
      <c r="C38" s="183" t="str">
        <f t="shared" si="1"/>
        <v/>
      </c>
      <c r="D38" s="182" t="str">
        <f t="shared" si="3"/>
        <v/>
      </c>
      <c r="E38" s="192" t="s">
        <v>681</v>
      </c>
      <c r="F38" s="192" t="s">
        <v>677</v>
      </c>
      <c r="G38" s="192" t="s">
        <v>685</v>
      </c>
      <c r="H38" s="210" t="s">
        <v>1440</v>
      </c>
      <c r="I38" s="167">
        <v>307688000</v>
      </c>
      <c r="J38" s="166"/>
      <c r="K38" s="167">
        <v>200000000</v>
      </c>
      <c r="L38" s="168">
        <v>107688000</v>
      </c>
      <c r="M38" s="168">
        <f t="shared" si="4"/>
        <v>307688000</v>
      </c>
      <c r="N38" s="168"/>
      <c r="O38" s="167">
        <v>306888000</v>
      </c>
      <c r="P38" s="167">
        <f t="shared" si="5"/>
        <v>306888000</v>
      </c>
      <c r="Q38" s="167"/>
      <c r="S38" s="201">
        <f t="shared" si="6"/>
        <v>307.68799999999999</v>
      </c>
      <c r="T38" s="201">
        <f t="shared" si="7"/>
        <v>307.68799999999999</v>
      </c>
      <c r="U38" s="201">
        <f t="shared" si="7"/>
        <v>0</v>
      </c>
      <c r="V38" s="201">
        <f t="shared" si="7"/>
        <v>306.88799999999998</v>
      </c>
      <c r="W38" s="201">
        <f t="shared" si="7"/>
        <v>306.88799999999998</v>
      </c>
      <c r="X38" s="201">
        <f t="shared" si="7"/>
        <v>0</v>
      </c>
    </row>
    <row r="39" spans="1:24" s="169" customFormat="1" ht="13.8">
      <c r="A39" s="194"/>
      <c r="B39" s="184"/>
      <c r="C39" s="183" t="str">
        <f t="shared" si="1"/>
        <v/>
      </c>
      <c r="D39" s="182" t="str">
        <f t="shared" si="3"/>
        <v/>
      </c>
      <c r="E39" s="192" t="s">
        <v>679</v>
      </c>
      <c r="F39" s="192" t="s">
        <v>677</v>
      </c>
      <c r="G39" s="192" t="s">
        <v>685</v>
      </c>
      <c r="H39" s="210" t="s">
        <v>1440</v>
      </c>
      <c r="I39" s="167">
        <v>9680000</v>
      </c>
      <c r="J39" s="166"/>
      <c r="K39" s="167">
        <v>9680000</v>
      </c>
      <c r="L39" s="171"/>
      <c r="M39" s="168">
        <f t="shared" si="4"/>
        <v>9680000</v>
      </c>
      <c r="N39" s="171"/>
      <c r="O39" s="167">
        <v>9680000</v>
      </c>
      <c r="P39" s="167">
        <f t="shared" si="5"/>
        <v>9680000</v>
      </c>
      <c r="Q39" s="167"/>
      <c r="S39" s="201">
        <f t="shared" si="6"/>
        <v>9.68</v>
      </c>
      <c r="T39" s="201">
        <f t="shared" si="7"/>
        <v>9.68</v>
      </c>
      <c r="U39" s="201">
        <f t="shared" si="7"/>
        <v>0</v>
      </c>
      <c r="V39" s="201">
        <f t="shared" si="7"/>
        <v>9.68</v>
      </c>
      <c r="W39" s="201">
        <f t="shared" si="7"/>
        <v>9.68</v>
      </c>
      <c r="X39" s="201">
        <f t="shared" si="7"/>
        <v>0</v>
      </c>
    </row>
    <row r="40" spans="1:24" s="169" customFormat="1" ht="13.8">
      <c r="A40" s="194"/>
      <c r="B40" s="184"/>
      <c r="C40" s="183" t="str">
        <f t="shared" si="1"/>
        <v/>
      </c>
      <c r="D40" s="182" t="str">
        <f t="shared" si="3"/>
        <v/>
      </c>
      <c r="E40" s="192" t="s">
        <v>667</v>
      </c>
      <c r="F40" s="192" t="s">
        <v>677</v>
      </c>
      <c r="G40" s="192" t="s">
        <v>685</v>
      </c>
      <c r="H40" s="210" t="s">
        <v>1440</v>
      </c>
      <c r="I40" s="167">
        <v>300000000</v>
      </c>
      <c r="J40" s="166"/>
      <c r="K40" s="166"/>
      <c r="L40" s="168">
        <v>300000000</v>
      </c>
      <c r="M40" s="168">
        <f t="shared" si="4"/>
        <v>300000000</v>
      </c>
      <c r="N40" s="168"/>
      <c r="O40" s="166"/>
      <c r="P40" s="167">
        <f t="shared" si="5"/>
        <v>0</v>
      </c>
      <c r="Q40" s="166"/>
      <c r="S40" s="201">
        <f t="shared" si="6"/>
        <v>300</v>
      </c>
      <c r="T40" s="201">
        <f t="shared" si="7"/>
        <v>300</v>
      </c>
      <c r="U40" s="201">
        <f t="shared" si="7"/>
        <v>0</v>
      </c>
      <c r="V40" s="201">
        <f t="shared" si="7"/>
        <v>0</v>
      </c>
      <c r="W40" s="201">
        <f t="shared" si="7"/>
        <v>0</v>
      </c>
      <c r="X40" s="201">
        <f t="shared" si="7"/>
        <v>0</v>
      </c>
    </row>
    <row r="41" spans="1:24" s="169" customFormat="1" ht="13.8">
      <c r="A41" s="195"/>
      <c r="B41" s="188"/>
      <c r="C41" s="183" t="str">
        <f t="shared" si="1"/>
        <v/>
      </c>
      <c r="D41" s="182" t="str">
        <f t="shared" si="3"/>
        <v/>
      </c>
      <c r="E41" s="192" t="s">
        <v>669</v>
      </c>
      <c r="F41" s="192" t="s">
        <v>677</v>
      </c>
      <c r="G41" s="192" t="s">
        <v>685</v>
      </c>
      <c r="H41" s="210" t="s">
        <v>1440</v>
      </c>
      <c r="I41" s="167">
        <v>12000000</v>
      </c>
      <c r="J41" s="166"/>
      <c r="K41" s="166"/>
      <c r="L41" s="168">
        <v>12000000</v>
      </c>
      <c r="M41" s="168">
        <f t="shared" si="4"/>
        <v>12000000</v>
      </c>
      <c r="N41" s="168"/>
      <c r="O41" s="167">
        <v>12000000</v>
      </c>
      <c r="P41" s="167">
        <f t="shared" si="5"/>
        <v>12000000</v>
      </c>
      <c r="Q41" s="167"/>
      <c r="S41" s="201">
        <f t="shared" si="6"/>
        <v>12</v>
      </c>
      <c r="T41" s="201">
        <f t="shared" si="7"/>
        <v>12</v>
      </c>
      <c r="U41" s="201">
        <f t="shared" si="7"/>
        <v>0</v>
      </c>
      <c r="V41" s="201">
        <f t="shared" si="7"/>
        <v>12</v>
      </c>
      <c r="W41" s="201">
        <f t="shared" si="7"/>
        <v>12</v>
      </c>
      <c r="X41" s="201">
        <f t="shared" si="7"/>
        <v>0</v>
      </c>
    </row>
    <row r="42" spans="1:24" s="169" customFormat="1" ht="27.6">
      <c r="A42" s="192" t="s">
        <v>657</v>
      </c>
      <c r="B42" s="176" t="s">
        <v>687</v>
      </c>
      <c r="C42" s="183" t="str">
        <f t="shared" si="1"/>
        <v>1007205</v>
      </c>
      <c r="D42" s="182" t="str">
        <f t="shared" si="3"/>
        <v>-Trường Măm non Thực hành sư phạm tỉnh Kontum</v>
      </c>
      <c r="E42" s="206"/>
      <c r="F42" s="207"/>
      <c r="G42" s="207"/>
      <c r="H42" s="205"/>
      <c r="I42" s="167">
        <v>4048788000</v>
      </c>
      <c r="J42" s="167">
        <v>152420000</v>
      </c>
      <c r="K42" s="167">
        <v>3859368000</v>
      </c>
      <c r="L42" s="168">
        <v>37000000</v>
      </c>
      <c r="M42" s="168">
        <f t="shared" si="4"/>
        <v>4048788000</v>
      </c>
      <c r="N42" s="168"/>
      <c r="O42" s="167">
        <v>4042708000</v>
      </c>
      <c r="P42" s="167">
        <f t="shared" si="5"/>
        <v>4042708000</v>
      </c>
      <c r="Q42" s="167"/>
      <c r="S42" s="201">
        <f t="shared" si="6"/>
        <v>4048.788</v>
      </c>
      <c r="T42" s="201">
        <f t="shared" si="7"/>
        <v>4048.788</v>
      </c>
      <c r="U42" s="201">
        <f t="shared" si="7"/>
        <v>0</v>
      </c>
      <c r="V42" s="201">
        <f t="shared" si="7"/>
        <v>4042.7080000000001</v>
      </c>
      <c r="W42" s="201">
        <f t="shared" si="7"/>
        <v>4042.7080000000001</v>
      </c>
      <c r="X42" s="201">
        <f t="shared" si="7"/>
        <v>0</v>
      </c>
    </row>
    <row r="43" spans="1:24" s="169" customFormat="1" ht="13.8">
      <c r="A43" s="192" t="s">
        <v>688</v>
      </c>
      <c r="B43" s="170" t="s">
        <v>689</v>
      </c>
      <c r="C43" s="183" t="str">
        <f t="shared" si="1"/>
        <v/>
      </c>
      <c r="D43" s="182" t="str">
        <f t="shared" si="3"/>
        <v/>
      </c>
      <c r="E43" s="206"/>
      <c r="F43" s="207"/>
      <c r="G43" s="207"/>
      <c r="H43" s="205"/>
      <c r="I43" s="167">
        <v>4048788000</v>
      </c>
      <c r="J43" s="167">
        <v>152420000</v>
      </c>
      <c r="K43" s="167">
        <v>3859368000</v>
      </c>
      <c r="L43" s="168">
        <v>37000000</v>
      </c>
      <c r="M43" s="168">
        <f t="shared" si="4"/>
        <v>4048788000</v>
      </c>
      <c r="N43" s="168"/>
      <c r="O43" s="167">
        <v>4042708000</v>
      </c>
      <c r="P43" s="167">
        <f t="shared" si="5"/>
        <v>4042708000</v>
      </c>
      <c r="Q43" s="167"/>
      <c r="S43" s="201">
        <f t="shared" si="6"/>
        <v>4048.788</v>
      </c>
      <c r="T43" s="201">
        <f t="shared" si="7"/>
        <v>4048.788</v>
      </c>
      <c r="U43" s="201">
        <f t="shared" si="7"/>
        <v>0</v>
      </c>
      <c r="V43" s="201">
        <f t="shared" si="7"/>
        <v>4042.7080000000001</v>
      </c>
      <c r="W43" s="201">
        <f t="shared" si="7"/>
        <v>4042.7080000000001</v>
      </c>
      <c r="X43" s="201">
        <f t="shared" si="7"/>
        <v>0</v>
      </c>
    </row>
    <row r="44" spans="1:24" s="169" customFormat="1" ht="13.8">
      <c r="A44" s="192"/>
      <c r="B44" s="170" t="s">
        <v>690</v>
      </c>
      <c r="C44" s="183" t="str">
        <f t="shared" si="1"/>
        <v/>
      </c>
      <c r="D44" s="182" t="str">
        <f t="shared" si="3"/>
        <v/>
      </c>
      <c r="E44" s="206"/>
      <c r="F44" s="207"/>
      <c r="G44" s="207"/>
      <c r="H44" s="205"/>
      <c r="I44" s="167">
        <v>3805940000</v>
      </c>
      <c r="J44" s="167">
        <v>152420000</v>
      </c>
      <c r="K44" s="167">
        <v>3616520000</v>
      </c>
      <c r="L44" s="168">
        <v>37000000</v>
      </c>
      <c r="M44" s="168">
        <f t="shared" si="4"/>
        <v>3805940000</v>
      </c>
      <c r="N44" s="168"/>
      <c r="O44" s="167">
        <v>3805940000</v>
      </c>
      <c r="P44" s="167">
        <f t="shared" si="5"/>
        <v>3805940000</v>
      </c>
      <c r="Q44" s="167"/>
      <c r="S44" s="201">
        <f t="shared" si="6"/>
        <v>3805.94</v>
      </c>
      <c r="T44" s="201">
        <f t="shared" si="7"/>
        <v>3805.94</v>
      </c>
      <c r="U44" s="201">
        <f t="shared" si="7"/>
        <v>0</v>
      </c>
      <c r="V44" s="201">
        <f t="shared" si="7"/>
        <v>3805.94</v>
      </c>
      <c r="W44" s="201">
        <f t="shared" si="7"/>
        <v>3805.94</v>
      </c>
      <c r="X44" s="201">
        <f t="shared" si="7"/>
        <v>0</v>
      </c>
    </row>
    <row r="45" spans="1:24" s="169" customFormat="1" ht="13.8">
      <c r="A45" s="193"/>
      <c r="B45" s="187"/>
      <c r="C45" s="183" t="str">
        <f t="shared" si="1"/>
        <v/>
      </c>
      <c r="D45" s="182" t="str">
        <f t="shared" si="3"/>
        <v/>
      </c>
      <c r="E45" s="192" t="s">
        <v>666</v>
      </c>
      <c r="F45" s="192" t="s">
        <v>677</v>
      </c>
      <c r="G45" s="192" t="s">
        <v>691</v>
      </c>
      <c r="H45" s="210" t="s">
        <v>1440</v>
      </c>
      <c r="I45" s="167">
        <v>3768940000</v>
      </c>
      <c r="J45" s="167">
        <v>152420000</v>
      </c>
      <c r="K45" s="167">
        <v>3616520000</v>
      </c>
      <c r="L45" s="171"/>
      <c r="M45" s="168">
        <f t="shared" si="4"/>
        <v>3768940000</v>
      </c>
      <c r="N45" s="171"/>
      <c r="O45" s="167">
        <v>3768940000</v>
      </c>
      <c r="P45" s="167">
        <f t="shared" si="5"/>
        <v>3768940000</v>
      </c>
      <c r="Q45" s="167"/>
      <c r="S45" s="201">
        <f t="shared" si="6"/>
        <v>3768.94</v>
      </c>
      <c r="T45" s="201">
        <f t="shared" si="7"/>
        <v>3768.94</v>
      </c>
      <c r="U45" s="201">
        <f t="shared" si="7"/>
        <v>0</v>
      </c>
      <c r="V45" s="201">
        <f t="shared" si="7"/>
        <v>3768.94</v>
      </c>
      <c r="W45" s="201">
        <f t="shared" si="7"/>
        <v>3768.94</v>
      </c>
      <c r="X45" s="201">
        <f t="shared" si="7"/>
        <v>0</v>
      </c>
    </row>
    <row r="46" spans="1:24" s="169" customFormat="1" ht="13.8">
      <c r="A46" s="195"/>
      <c r="B46" s="188"/>
      <c r="C46" s="183" t="str">
        <f t="shared" si="1"/>
        <v/>
      </c>
      <c r="D46" s="182" t="str">
        <f t="shared" si="3"/>
        <v/>
      </c>
      <c r="E46" s="192" t="s">
        <v>679</v>
      </c>
      <c r="F46" s="192" t="s">
        <v>677</v>
      </c>
      <c r="G46" s="192" t="s">
        <v>691</v>
      </c>
      <c r="H46" s="210" t="s">
        <v>1440</v>
      </c>
      <c r="I46" s="167">
        <v>37000000</v>
      </c>
      <c r="J46" s="166"/>
      <c r="K46" s="166"/>
      <c r="L46" s="168">
        <v>37000000</v>
      </c>
      <c r="M46" s="168">
        <f t="shared" si="4"/>
        <v>37000000</v>
      </c>
      <c r="N46" s="168"/>
      <c r="O46" s="167">
        <v>37000000</v>
      </c>
      <c r="P46" s="167">
        <f t="shared" si="5"/>
        <v>37000000</v>
      </c>
      <c r="Q46" s="167"/>
      <c r="S46" s="201">
        <f t="shared" si="6"/>
        <v>37</v>
      </c>
      <c r="T46" s="201">
        <f t="shared" si="7"/>
        <v>37</v>
      </c>
      <c r="U46" s="201">
        <f t="shared" si="7"/>
        <v>0</v>
      </c>
      <c r="V46" s="201">
        <f t="shared" si="7"/>
        <v>37</v>
      </c>
      <c r="W46" s="201">
        <f t="shared" si="7"/>
        <v>37</v>
      </c>
      <c r="X46" s="201">
        <f t="shared" si="7"/>
        <v>0</v>
      </c>
    </row>
    <row r="47" spans="1:24" s="169" customFormat="1" ht="13.8">
      <c r="A47" s="192"/>
      <c r="B47" s="170" t="s">
        <v>686</v>
      </c>
      <c r="C47" s="183" t="str">
        <f t="shared" si="1"/>
        <v/>
      </c>
      <c r="D47" s="182" t="str">
        <f t="shared" si="3"/>
        <v/>
      </c>
      <c r="E47" s="206"/>
      <c r="F47" s="207"/>
      <c r="G47" s="207"/>
      <c r="H47" s="205"/>
      <c r="I47" s="167">
        <v>242848000</v>
      </c>
      <c r="J47" s="166"/>
      <c r="K47" s="167">
        <v>242848000</v>
      </c>
      <c r="L47" s="171"/>
      <c r="M47" s="168">
        <f t="shared" si="4"/>
        <v>242848000</v>
      </c>
      <c r="N47" s="171"/>
      <c r="O47" s="167">
        <v>236768000</v>
      </c>
      <c r="P47" s="167">
        <f t="shared" si="5"/>
        <v>236768000</v>
      </c>
      <c r="Q47" s="167"/>
      <c r="S47" s="201">
        <f t="shared" si="6"/>
        <v>242.84800000000001</v>
      </c>
      <c r="T47" s="201">
        <f t="shared" si="7"/>
        <v>242.84800000000001</v>
      </c>
      <c r="U47" s="201">
        <f t="shared" si="7"/>
        <v>0</v>
      </c>
      <c r="V47" s="201">
        <f t="shared" si="7"/>
        <v>236.768</v>
      </c>
      <c r="W47" s="201">
        <f t="shared" si="7"/>
        <v>236.768</v>
      </c>
      <c r="X47" s="201">
        <f t="shared" si="7"/>
        <v>0</v>
      </c>
    </row>
    <row r="48" spans="1:24" s="169" customFormat="1" ht="13.8">
      <c r="A48" s="193"/>
      <c r="B48" s="187"/>
      <c r="C48" s="183" t="str">
        <f t="shared" si="1"/>
        <v/>
      </c>
      <c r="D48" s="182" t="str">
        <f t="shared" si="3"/>
        <v/>
      </c>
      <c r="E48" s="192" t="s">
        <v>681</v>
      </c>
      <c r="F48" s="192" t="s">
        <v>677</v>
      </c>
      <c r="G48" s="192" t="s">
        <v>691</v>
      </c>
      <c r="H48" s="210" t="s">
        <v>1440</v>
      </c>
      <c r="I48" s="167">
        <v>211648000</v>
      </c>
      <c r="J48" s="166"/>
      <c r="K48" s="167">
        <v>211648000</v>
      </c>
      <c r="L48" s="171"/>
      <c r="M48" s="168">
        <f t="shared" si="4"/>
        <v>211648000</v>
      </c>
      <c r="N48" s="171"/>
      <c r="O48" s="167">
        <v>211448000</v>
      </c>
      <c r="P48" s="167">
        <f t="shared" si="5"/>
        <v>211448000</v>
      </c>
      <c r="Q48" s="167"/>
      <c r="S48" s="201">
        <f t="shared" si="6"/>
        <v>211.648</v>
      </c>
      <c r="T48" s="201">
        <f t="shared" si="7"/>
        <v>211.648</v>
      </c>
      <c r="U48" s="201">
        <f t="shared" si="7"/>
        <v>0</v>
      </c>
      <c r="V48" s="201">
        <f t="shared" si="7"/>
        <v>211.44800000000001</v>
      </c>
      <c r="W48" s="201">
        <f t="shared" si="7"/>
        <v>211.44800000000001</v>
      </c>
      <c r="X48" s="201">
        <f t="shared" si="7"/>
        <v>0</v>
      </c>
    </row>
    <row r="49" spans="1:24" s="169" customFormat="1" ht="13.8">
      <c r="A49" s="195"/>
      <c r="B49" s="188"/>
      <c r="C49" s="183" t="str">
        <f t="shared" si="1"/>
        <v/>
      </c>
      <c r="D49" s="182" t="str">
        <f t="shared" si="3"/>
        <v/>
      </c>
      <c r="E49" s="192" t="s">
        <v>669</v>
      </c>
      <c r="F49" s="192" t="s">
        <v>677</v>
      </c>
      <c r="G49" s="192" t="s">
        <v>691</v>
      </c>
      <c r="H49" s="210" t="s">
        <v>1440</v>
      </c>
      <c r="I49" s="167">
        <v>31200000</v>
      </c>
      <c r="J49" s="166"/>
      <c r="K49" s="167">
        <v>31200000</v>
      </c>
      <c r="L49" s="171"/>
      <c r="M49" s="168">
        <f t="shared" si="4"/>
        <v>31200000</v>
      </c>
      <c r="N49" s="171"/>
      <c r="O49" s="167">
        <v>25320000</v>
      </c>
      <c r="P49" s="167">
        <f t="shared" si="5"/>
        <v>25320000</v>
      </c>
      <c r="Q49" s="167"/>
      <c r="S49" s="201">
        <f t="shared" si="6"/>
        <v>31.2</v>
      </c>
      <c r="T49" s="201">
        <f t="shared" si="7"/>
        <v>31.2</v>
      </c>
      <c r="U49" s="201">
        <f t="shared" si="7"/>
        <v>0</v>
      </c>
      <c r="V49" s="201">
        <f t="shared" si="7"/>
        <v>25.32</v>
      </c>
      <c r="W49" s="201">
        <f t="shared" si="7"/>
        <v>25.32</v>
      </c>
      <c r="X49" s="201">
        <f t="shared" si="7"/>
        <v>0</v>
      </c>
    </row>
    <row r="50" spans="1:24" s="169" customFormat="1" ht="26.4">
      <c r="A50" s="192" t="s">
        <v>658</v>
      </c>
      <c r="B50" s="176" t="s">
        <v>692</v>
      </c>
      <c r="C50" s="183" t="str">
        <f t="shared" si="1"/>
        <v>1008744</v>
      </c>
      <c r="D50" s="182" t="str">
        <f t="shared" si="3"/>
        <v>-Đoàn Đại biều Quốc hội Tình Kon Tum</v>
      </c>
      <c r="E50" s="206"/>
      <c r="F50" s="207"/>
      <c r="G50" s="207"/>
      <c r="H50" s="205"/>
      <c r="I50" s="167">
        <v>270000000</v>
      </c>
      <c r="J50" s="166"/>
      <c r="K50" s="167">
        <v>270000000</v>
      </c>
      <c r="L50" s="171"/>
      <c r="M50" s="168">
        <f t="shared" si="4"/>
        <v>270000000</v>
      </c>
      <c r="N50" s="171"/>
      <c r="O50" s="167">
        <v>270000000</v>
      </c>
      <c r="P50" s="167">
        <f t="shared" si="5"/>
        <v>270000000</v>
      </c>
      <c r="Q50" s="167"/>
      <c r="S50" s="201">
        <f t="shared" si="6"/>
        <v>270</v>
      </c>
      <c r="T50" s="201">
        <f t="shared" si="7"/>
        <v>270</v>
      </c>
      <c r="U50" s="201">
        <f t="shared" si="7"/>
        <v>0</v>
      </c>
      <c r="V50" s="201">
        <f t="shared" si="7"/>
        <v>270</v>
      </c>
      <c r="W50" s="201">
        <f t="shared" si="7"/>
        <v>270</v>
      </c>
      <c r="X50" s="201">
        <f t="shared" si="7"/>
        <v>0</v>
      </c>
    </row>
    <row r="51" spans="1:24" s="169" customFormat="1" ht="13.8">
      <c r="A51" s="192" t="s">
        <v>693</v>
      </c>
      <c r="B51" s="170" t="s">
        <v>689</v>
      </c>
      <c r="C51" s="183" t="str">
        <f t="shared" si="1"/>
        <v/>
      </c>
      <c r="D51" s="182" t="str">
        <f t="shared" si="3"/>
        <v/>
      </c>
      <c r="E51" s="206"/>
      <c r="F51" s="207"/>
      <c r="G51" s="207"/>
      <c r="H51" s="205"/>
      <c r="I51" s="167">
        <v>270000000</v>
      </c>
      <c r="J51" s="166"/>
      <c r="K51" s="167">
        <v>270000000</v>
      </c>
      <c r="L51" s="171"/>
      <c r="M51" s="168">
        <f t="shared" si="4"/>
        <v>270000000</v>
      </c>
      <c r="N51" s="171"/>
      <c r="O51" s="167">
        <v>270000000</v>
      </c>
      <c r="P51" s="167">
        <f t="shared" si="5"/>
        <v>270000000</v>
      </c>
      <c r="Q51" s="167"/>
      <c r="S51" s="201">
        <f t="shared" si="6"/>
        <v>270</v>
      </c>
      <c r="T51" s="201">
        <f t="shared" si="7"/>
        <v>270</v>
      </c>
      <c r="U51" s="201">
        <f t="shared" si="7"/>
        <v>0</v>
      </c>
      <c r="V51" s="201">
        <f t="shared" si="7"/>
        <v>270</v>
      </c>
      <c r="W51" s="201">
        <f t="shared" si="7"/>
        <v>270</v>
      </c>
      <c r="X51" s="201">
        <f t="shared" si="7"/>
        <v>0</v>
      </c>
    </row>
    <row r="52" spans="1:24" s="169" customFormat="1" ht="13.8">
      <c r="A52" s="192"/>
      <c r="B52" s="170" t="s">
        <v>686</v>
      </c>
      <c r="C52" s="183" t="str">
        <f t="shared" si="1"/>
        <v/>
      </c>
      <c r="D52" s="182" t="str">
        <f t="shared" si="3"/>
        <v/>
      </c>
      <c r="E52" s="206"/>
      <c r="F52" s="207"/>
      <c r="G52" s="207"/>
      <c r="H52" s="205"/>
      <c r="I52" s="167">
        <v>270000000</v>
      </c>
      <c r="J52" s="166"/>
      <c r="K52" s="167">
        <v>270000000</v>
      </c>
      <c r="L52" s="171"/>
      <c r="M52" s="168">
        <f t="shared" si="4"/>
        <v>270000000</v>
      </c>
      <c r="N52" s="171"/>
      <c r="O52" s="167">
        <v>270000000</v>
      </c>
      <c r="P52" s="167">
        <f t="shared" si="5"/>
        <v>270000000</v>
      </c>
      <c r="Q52" s="167"/>
      <c r="S52" s="201">
        <f t="shared" si="6"/>
        <v>270</v>
      </c>
      <c r="T52" s="201">
        <f t="shared" si="7"/>
        <v>270</v>
      </c>
      <c r="U52" s="201">
        <f t="shared" si="7"/>
        <v>0</v>
      </c>
      <c r="V52" s="201">
        <f t="shared" si="7"/>
        <v>270</v>
      </c>
      <c r="W52" s="201">
        <f t="shared" si="7"/>
        <v>270</v>
      </c>
      <c r="X52" s="201">
        <f t="shared" si="7"/>
        <v>0</v>
      </c>
    </row>
    <row r="53" spans="1:24" s="169" customFormat="1" ht="13.8">
      <c r="A53" s="192"/>
      <c r="B53" s="164"/>
      <c r="C53" s="183" t="str">
        <f t="shared" si="1"/>
        <v/>
      </c>
      <c r="D53" s="182" t="str">
        <f t="shared" si="3"/>
        <v/>
      </c>
      <c r="E53" s="192" t="s">
        <v>681</v>
      </c>
      <c r="F53" s="192" t="s">
        <v>694</v>
      </c>
      <c r="G53" s="192" t="s">
        <v>695</v>
      </c>
      <c r="H53" s="210" t="s">
        <v>1440</v>
      </c>
      <c r="I53" s="167">
        <v>270000000</v>
      </c>
      <c r="J53" s="166"/>
      <c r="K53" s="167">
        <v>270000000</v>
      </c>
      <c r="L53" s="171"/>
      <c r="M53" s="168">
        <f t="shared" si="4"/>
        <v>270000000</v>
      </c>
      <c r="N53" s="171"/>
      <c r="O53" s="167">
        <v>270000000</v>
      </c>
      <c r="P53" s="167">
        <f t="shared" si="5"/>
        <v>270000000</v>
      </c>
      <c r="Q53" s="167"/>
      <c r="S53" s="201">
        <f t="shared" si="6"/>
        <v>270</v>
      </c>
      <c r="T53" s="201">
        <f t="shared" si="7"/>
        <v>270</v>
      </c>
      <c r="U53" s="201">
        <f t="shared" si="7"/>
        <v>0</v>
      </c>
      <c r="V53" s="201">
        <f t="shared" si="7"/>
        <v>270</v>
      </c>
      <c r="W53" s="201">
        <f t="shared" si="7"/>
        <v>270</v>
      </c>
      <c r="X53" s="201">
        <f t="shared" si="7"/>
        <v>0</v>
      </c>
    </row>
    <row r="54" spans="1:24" s="169" customFormat="1" ht="26.4">
      <c r="A54" s="192" t="s">
        <v>659</v>
      </c>
      <c r="B54" s="176" t="s">
        <v>696</v>
      </c>
      <c r="C54" s="183" t="str">
        <f t="shared" si="1"/>
        <v>1010558</v>
      </c>
      <c r="D54" s="182" t="str">
        <f t="shared" si="3"/>
        <v>-BQL Khu bảo tồn Thiên nhiên Ngọc Linh</v>
      </c>
      <c r="E54" s="206"/>
      <c r="F54" s="207"/>
      <c r="G54" s="207"/>
      <c r="H54" s="205"/>
      <c r="I54" s="167">
        <v>13708487000</v>
      </c>
      <c r="J54" s="167">
        <v>3787000000</v>
      </c>
      <c r="K54" s="167">
        <v>4813000000</v>
      </c>
      <c r="L54" s="168">
        <v>5108487000</v>
      </c>
      <c r="M54" s="168">
        <f t="shared" si="4"/>
        <v>13708487000</v>
      </c>
      <c r="N54" s="168"/>
      <c r="O54" s="167">
        <v>8889988150</v>
      </c>
      <c r="P54" s="167">
        <f t="shared" si="5"/>
        <v>8889988150</v>
      </c>
      <c r="Q54" s="167"/>
      <c r="S54" s="201">
        <f t="shared" si="6"/>
        <v>13708.486999999999</v>
      </c>
      <c r="T54" s="201">
        <f t="shared" si="7"/>
        <v>13708.486999999999</v>
      </c>
      <c r="U54" s="201">
        <f t="shared" si="7"/>
        <v>0</v>
      </c>
      <c r="V54" s="201">
        <f t="shared" si="7"/>
        <v>8889.9881499999992</v>
      </c>
      <c r="W54" s="201">
        <f t="shared" si="7"/>
        <v>8889.9881499999992</v>
      </c>
      <c r="X54" s="201">
        <f t="shared" si="7"/>
        <v>0</v>
      </c>
    </row>
    <row r="55" spans="1:24" s="169" customFormat="1" ht="13.8">
      <c r="A55" s="192" t="s">
        <v>697</v>
      </c>
      <c r="B55" s="164" t="s">
        <v>689</v>
      </c>
      <c r="C55" s="183" t="str">
        <f t="shared" si="1"/>
        <v/>
      </c>
      <c r="D55" s="182" t="str">
        <f t="shared" si="3"/>
        <v/>
      </c>
      <c r="E55" s="206"/>
      <c r="F55" s="207"/>
      <c r="G55" s="207"/>
      <c r="H55" s="205"/>
      <c r="I55" s="167">
        <v>5112887000</v>
      </c>
      <c r="J55" s="166"/>
      <c r="K55" s="167">
        <v>4813000000</v>
      </c>
      <c r="L55" s="168">
        <v>299887000</v>
      </c>
      <c r="M55" s="168">
        <f t="shared" si="4"/>
        <v>5112887000</v>
      </c>
      <c r="N55" s="168"/>
      <c r="O55" s="167">
        <v>5112887000</v>
      </c>
      <c r="P55" s="167">
        <f t="shared" si="5"/>
        <v>5112887000</v>
      </c>
      <c r="Q55" s="167"/>
      <c r="S55" s="201">
        <f t="shared" si="6"/>
        <v>5112.8869999999997</v>
      </c>
      <c r="T55" s="201">
        <f t="shared" si="7"/>
        <v>5112.8869999999997</v>
      </c>
      <c r="U55" s="201">
        <f t="shared" si="7"/>
        <v>0</v>
      </c>
      <c r="V55" s="201">
        <f t="shared" si="7"/>
        <v>5112.8869999999997</v>
      </c>
      <c r="W55" s="201">
        <f t="shared" si="7"/>
        <v>5112.8869999999997</v>
      </c>
      <c r="X55" s="201">
        <f t="shared" si="7"/>
        <v>0</v>
      </c>
    </row>
    <row r="56" spans="1:24" s="169" customFormat="1" ht="13.8">
      <c r="A56" s="192"/>
      <c r="B56" s="164" t="s">
        <v>686</v>
      </c>
      <c r="C56" s="183" t="str">
        <f t="shared" si="1"/>
        <v/>
      </c>
      <c r="D56" s="182" t="str">
        <f t="shared" si="3"/>
        <v/>
      </c>
      <c r="E56" s="206"/>
      <c r="F56" s="207"/>
      <c r="G56" s="207"/>
      <c r="H56" s="205"/>
      <c r="I56" s="167">
        <v>5112887000</v>
      </c>
      <c r="J56" s="166"/>
      <c r="K56" s="167">
        <v>4813000000</v>
      </c>
      <c r="L56" s="168">
        <v>299887000</v>
      </c>
      <c r="M56" s="168">
        <f t="shared" si="4"/>
        <v>5112887000</v>
      </c>
      <c r="N56" s="168"/>
      <c r="O56" s="167">
        <v>5112887000</v>
      </c>
      <c r="P56" s="167">
        <f t="shared" si="5"/>
        <v>5112887000</v>
      </c>
      <c r="Q56" s="167"/>
      <c r="S56" s="201">
        <f t="shared" si="6"/>
        <v>5112.8869999999997</v>
      </c>
      <c r="T56" s="201">
        <f t="shared" si="7"/>
        <v>5112.8869999999997</v>
      </c>
      <c r="U56" s="201">
        <f t="shared" si="7"/>
        <v>0</v>
      </c>
      <c r="V56" s="201">
        <f t="shared" si="7"/>
        <v>5112.8869999999997</v>
      </c>
      <c r="W56" s="201">
        <f t="shared" si="7"/>
        <v>5112.8869999999997</v>
      </c>
      <c r="X56" s="201">
        <f t="shared" si="7"/>
        <v>0</v>
      </c>
    </row>
    <row r="57" spans="1:24" s="169" customFormat="1" ht="13.8">
      <c r="A57" s="193"/>
      <c r="B57" s="187"/>
      <c r="C57" s="183" t="str">
        <f t="shared" si="1"/>
        <v/>
      </c>
      <c r="D57" s="182" t="str">
        <f t="shared" si="3"/>
        <v/>
      </c>
      <c r="E57" s="192" t="s">
        <v>681</v>
      </c>
      <c r="F57" s="192" t="s">
        <v>698</v>
      </c>
      <c r="G57" s="192" t="s">
        <v>699</v>
      </c>
      <c r="H57" s="210" t="s">
        <v>1440</v>
      </c>
      <c r="I57" s="167">
        <v>4985887000</v>
      </c>
      <c r="J57" s="166"/>
      <c r="K57" s="167">
        <v>4813000000</v>
      </c>
      <c r="L57" s="168">
        <v>172887000</v>
      </c>
      <c r="M57" s="168">
        <f t="shared" si="4"/>
        <v>4985887000</v>
      </c>
      <c r="N57" s="168"/>
      <c r="O57" s="167">
        <v>4985887000</v>
      </c>
      <c r="P57" s="167">
        <f t="shared" si="5"/>
        <v>4985887000</v>
      </c>
      <c r="Q57" s="167"/>
      <c r="S57" s="201">
        <f t="shared" si="6"/>
        <v>4985.8869999999997</v>
      </c>
      <c r="T57" s="201">
        <f t="shared" si="7"/>
        <v>4985.8869999999997</v>
      </c>
      <c r="U57" s="201">
        <f t="shared" si="7"/>
        <v>0</v>
      </c>
      <c r="V57" s="201">
        <f t="shared" si="7"/>
        <v>4985.8869999999997</v>
      </c>
      <c r="W57" s="201">
        <f t="shared" si="7"/>
        <v>4985.8869999999997</v>
      </c>
      <c r="X57" s="201">
        <f t="shared" si="7"/>
        <v>0</v>
      </c>
    </row>
    <row r="58" spans="1:24" s="169" customFormat="1" ht="13.8">
      <c r="A58" s="195"/>
      <c r="B58" s="188"/>
      <c r="C58" s="183" t="str">
        <f t="shared" si="1"/>
        <v/>
      </c>
      <c r="D58" s="182" t="str">
        <f t="shared" si="3"/>
        <v/>
      </c>
      <c r="E58" s="192" t="s">
        <v>679</v>
      </c>
      <c r="F58" s="192" t="s">
        <v>698</v>
      </c>
      <c r="G58" s="192" t="s">
        <v>699</v>
      </c>
      <c r="H58" s="210" t="s">
        <v>1440</v>
      </c>
      <c r="I58" s="167">
        <v>127000000</v>
      </c>
      <c r="J58" s="166"/>
      <c r="K58" s="166"/>
      <c r="L58" s="168">
        <v>127000000</v>
      </c>
      <c r="M58" s="168">
        <f t="shared" si="4"/>
        <v>127000000</v>
      </c>
      <c r="N58" s="168"/>
      <c r="O58" s="167">
        <v>127000000</v>
      </c>
      <c r="P58" s="167">
        <f t="shared" si="5"/>
        <v>127000000</v>
      </c>
      <c r="Q58" s="167"/>
      <c r="S58" s="201">
        <f t="shared" si="6"/>
        <v>127</v>
      </c>
      <c r="T58" s="201">
        <f t="shared" si="7"/>
        <v>127</v>
      </c>
      <c r="U58" s="201">
        <f t="shared" si="7"/>
        <v>0</v>
      </c>
      <c r="V58" s="201">
        <f t="shared" si="7"/>
        <v>127</v>
      </c>
      <c r="W58" s="201">
        <f t="shared" si="7"/>
        <v>127</v>
      </c>
      <c r="X58" s="201">
        <f t="shared" si="7"/>
        <v>0</v>
      </c>
    </row>
    <row r="59" spans="1:24" s="169" customFormat="1" ht="13.8">
      <c r="A59" s="192" t="s">
        <v>700</v>
      </c>
      <c r="B59" s="164" t="s">
        <v>701</v>
      </c>
      <c r="C59" s="183" t="str">
        <f t="shared" si="1"/>
        <v/>
      </c>
      <c r="D59" s="182" t="str">
        <f t="shared" si="3"/>
        <v/>
      </c>
      <c r="E59" s="206"/>
      <c r="F59" s="207"/>
      <c r="G59" s="207"/>
      <c r="H59" s="205"/>
      <c r="I59" s="167">
        <v>8595600000</v>
      </c>
      <c r="J59" s="167">
        <v>3787000000</v>
      </c>
      <c r="K59" s="166"/>
      <c r="L59" s="168">
        <v>4808600000</v>
      </c>
      <c r="M59" s="168">
        <f t="shared" si="4"/>
        <v>8595600000</v>
      </c>
      <c r="N59" s="168"/>
      <c r="O59" s="167">
        <v>3777101150</v>
      </c>
      <c r="P59" s="167">
        <f t="shared" si="5"/>
        <v>3777101150</v>
      </c>
      <c r="Q59" s="167"/>
      <c r="S59" s="201">
        <f t="shared" si="6"/>
        <v>8595.6</v>
      </c>
      <c r="T59" s="201">
        <f t="shared" si="7"/>
        <v>8595.6</v>
      </c>
      <c r="U59" s="201">
        <f t="shared" si="7"/>
        <v>0</v>
      </c>
      <c r="V59" s="201">
        <f t="shared" si="7"/>
        <v>3777.10115</v>
      </c>
      <c r="W59" s="201">
        <f t="shared" si="7"/>
        <v>3777.10115</v>
      </c>
      <c r="X59" s="201">
        <f t="shared" si="7"/>
        <v>0</v>
      </c>
    </row>
    <row r="60" spans="1:24" s="169" customFormat="1" ht="13.8">
      <c r="A60" s="193"/>
      <c r="B60" s="187"/>
      <c r="C60" s="183" t="str">
        <f t="shared" si="1"/>
        <v/>
      </c>
      <c r="D60" s="182" t="str">
        <f t="shared" si="3"/>
        <v/>
      </c>
      <c r="E60" s="192" t="s">
        <v>681</v>
      </c>
      <c r="F60" s="192" t="s">
        <v>698</v>
      </c>
      <c r="G60" s="192" t="s">
        <v>699</v>
      </c>
      <c r="H60" s="210" t="s">
        <v>1441</v>
      </c>
      <c r="I60" s="167">
        <v>3787000000</v>
      </c>
      <c r="J60" s="167">
        <v>3787000000</v>
      </c>
      <c r="K60" s="166"/>
      <c r="L60" s="171"/>
      <c r="M60" s="168">
        <f t="shared" si="4"/>
        <v>3787000000</v>
      </c>
      <c r="N60" s="171"/>
      <c r="O60" s="167">
        <v>3777101150</v>
      </c>
      <c r="P60" s="167">
        <f t="shared" si="5"/>
        <v>3777101150</v>
      </c>
      <c r="Q60" s="167"/>
      <c r="S60" s="201">
        <f t="shared" si="6"/>
        <v>3787</v>
      </c>
      <c r="T60" s="201">
        <f t="shared" si="7"/>
        <v>3787</v>
      </c>
      <c r="U60" s="201">
        <f t="shared" si="7"/>
        <v>0</v>
      </c>
      <c r="V60" s="201">
        <f t="shared" si="7"/>
        <v>3777.10115</v>
      </c>
      <c r="W60" s="201">
        <f t="shared" si="7"/>
        <v>3777.10115</v>
      </c>
      <c r="X60" s="201">
        <f t="shared" si="7"/>
        <v>0</v>
      </c>
    </row>
    <row r="61" spans="1:24" s="169" customFormat="1" ht="13.8">
      <c r="A61" s="195"/>
      <c r="B61" s="188"/>
      <c r="C61" s="183" t="str">
        <f t="shared" si="1"/>
        <v/>
      </c>
      <c r="D61" s="182" t="str">
        <f t="shared" si="3"/>
        <v/>
      </c>
      <c r="E61" s="192" t="s">
        <v>667</v>
      </c>
      <c r="F61" s="192" t="s">
        <v>698</v>
      </c>
      <c r="G61" s="192" t="s">
        <v>699</v>
      </c>
      <c r="H61" s="210" t="s">
        <v>1441</v>
      </c>
      <c r="I61" s="167">
        <v>4808600000</v>
      </c>
      <c r="J61" s="166"/>
      <c r="K61" s="166"/>
      <c r="L61" s="168">
        <v>4808600000</v>
      </c>
      <c r="M61" s="168">
        <f t="shared" si="4"/>
        <v>4808600000</v>
      </c>
      <c r="N61" s="168"/>
      <c r="O61" s="166"/>
      <c r="P61" s="167">
        <f t="shared" si="5"/>
        <v>0</v>
      </c>
      <c r="Q61" s="166"/>
      <c r="S61" s="201">
        <f t="shared" si="6"/>
        <v>4808.6000000000004</v>
      </c>
      <c r="T61" s="201">
        <f t="shared" si="7"/>
        <v>4808.6000000000004</v>
      </c>
      <c r="U61" s="201">
        <f t="shared" si="7"/>
        <v>0</v>
      </c>
      <c r="V61" s="201">
        <f t="shared" si="7"/>
        <v>0</v>
      </c>
      <c r="W61" s="201">
        <f t="shared" si="7"/>
        <v>0</v>
      </c>
      <c r="X61" s="201">
        <f t="shared" si="7"/>
        <v>0</v>
      </c>
    </row>
    <row r="62" spans="1:24" s="169" customFormat="1" ht="26.4">
      <c r="A62" s="192" t="s">
        <v>702</v>
      </c>
      <c r="B62" s="176" t="s">
        <v>703</v>
      </c>
      <c r="C62" s="183" t="str">
        <f t="shared" si="1"/>
        <v>1010559</v>
      </c>
      <c r="D62" s="182" t="str">
        <f t="shared" si="3"/>
        <v>-BQL Quỹ khâm chữa bệnh cho người nghèo</v>
      </c>
      <c r="E62" s="206"/>
      <c r="F62" s="207"/>
      <c r="G62" s="207"/>
      <c r="H62" s="205"/>
      <c r="I62" s="167">
        <v>174000000</v>
      </c>
      <c r="J62" s="166"/>
      <c r="K62" s="167">
        <v>174000000</v>
      </c>
      <c r="L62" s="171"/>
      <c r="M62" s="168">
        <f t="shared" si="4"/>
        <v>174000000</v>
      </c>
      <c r="N62" s="171"/>
      <c r="O62" s="167">
        <v>174000000</v>
      </c>
      <c r="P62" s="167">
        <f t="shared" si="5"/>
        <v>174000000</v>
      </c>
      <c r="Q62" s="167"/>
      <c r="S62" s="201">
        <f t="shared" si="6"/>
        <v>174</v>
      </c>
      <c r="T62" s="201">
        <f t="shared" si="7"/>
        <v>174</v>
      </c>
      <c r="U62" s="201">
        <f t="shared" si="7"/>
        <v>0</v>
      </c>
      <c r="V62" s="201">
        <f t="shared" si="7"/>
        <v>174</v>
      </c>
      <c r="W62" s="201">
        <f t="shared" si="7"/>
        <v>174</v>
      </c>
      <c r="X62" s="201">
        <f t="shared" si="7"/>
        <v>0</v>
      </c>
    </row>
    <row r="63" spans="1:24" s="169" customFormat="1" ht="13.8">
      <c r="A63" s="192" t="s">
        <v>704</v>
      </c>
      <c r="B63" s="164" t="s">
        <v>689</v>
      </c>
      <c r="C63" s="183" t="str">
        <f t="shared" si="1"/>
        <v/>
      </c>
      <c r="D63" s="182" t="str">
        <f t="shared" si="3"/>
        <v/>
      </c>
      <c r="E63" s="206"/>
      <c r="F63" s="207"/>
      <c r="G63" s="207"/>
      <c r="H63" s="205"/>
      <c r="I63" s="167">
        <v>174000000</v>
      </c>
      <c r="J63" s="166"/>
      <c r="K63" s="167">
        <v>174000000</v>
      </c>
      <c r="L63" s="171"/>
      <c r="M63" s="168">
        <f t="shared" si="4"/>
        <v>174000000</v>
      </c>
      <c r="N63" s="171"/>
      <c r="O63" s="167">
        <v>174000000</v>
      </c>
      <c r="P63" s="167">
        <f t="shared" si="5"/>
        <v>174000000</v>
      </c>
      <c r="Q63" s="167"/>
      <c r="S63" s="201">
        <f t="shared" si="6"/>
        <v>174</v>
      </c>
      <c r="T63" s="201">
        <f t="shared" si="7"/>
        <v>174</v>
      </c>
      <c r="U63" s="201">
        <f t="shared" si="7"/>
        <v>0</v>
      </c>
      <c r="V63" s="201">
        <f t="shared" si="7"/>
        <v>174</v>
      </c>
      <c r="W63" s="201">
        <f t="shared" si="7"/>
        <v>174</v>
      </c>
      <c r="X63" s="201">
        <f t="shared" si="7"/>
        <v>0</v>
      </c>
    </row>
    <row r="64" spans="1:24" s="169" customFormat="1" ht="13.8">
      <c r="A64" s="192"/>
      <c r="B64" s="164" t="s">
        <v>686</v>
      </c>
      <c r="C64" s="183" t="str">
        <f t="shared" si="1"/>
        <v/>
      </c>
      <c r="D64" s="182" t="str">
        <f t="shared" si="3"/>
        <v/>
      </c>
      <c r="E64" s="206"/>
      <c r="F64" s="207"/>
      <c r="G64" s="207"/>
      <c r="H64" s="205"/>
      <c r="I64" s="167">
        <v>174000000</v>
      </c>
      <c r="J64" s="166"/>
      <c r="K64" s="167">
        <v>174000000</v>
      </c>
      <c r="L64" s="171"/>
      <c r="M64" s="168">
        <f t="shared" si="4"/>
        <v>174000000</v>
      </c>
      <c r="N64" s="171"/>
      <c r="O64" s="167">
        <v>174000000</v>
      </c>
      <c r="P64" s="167">
        <f t="shared" si="5"/>
        <v>174000000</v>
      </c>
      <c r="Q64" s="167"/>
      <c r="S64" s="201">
        <f t="shared" si="6"/>
        <v>174</v>
      </c>
      <c r="T64" s="201">
        <f t="shared" si="7"/>
        <v>174</v>
      </c>
      <c r="U64" s="201">
        <f t="shared" si="7"/>
        <v>0</v>
      </c>
      <c r="V64" s="201">
        <f t="shared" si="7"/>
        <v>174</v>
      </c>
      <c r="W64" s="201">
        <f t="shared" si="7"/>
        <v>174</v>
      </c>
      <c r="X64" s="201">
        <f t="shared" si="7"/>
        <v>0</v>
      </c>
    </row>
    <row r="65" spans="1:24" s="169" customFormat="1" ht="13.8">
      <c r="A65" s="192"/>
      <c r="B65" s="173"/>
      <c r="C65" s="183" t="str">
        <f t="shared" si="1"/>
        <v/>
      </c>
      <c r="D65" s="182" t="str">
        <f t="shared" si="3"/>
        <v/>
      </c>
      <c r="E65" s="192"/>
      <c r="F65" s="192"/>
      <c r="G65" s="192"/>
      <c r="H65" s="210"/>
      <c r="I65" s="174"/>
      <c r="J65" s="174"/>
      <c r="K65" s="174"/>
      <c r="L65" s="175"/>
      <c r="M65" s="168">
        <f t="shared" si="4"/>
        <v>0</v>
      </c>
      <c r="N65" s="175"/>
      <c r="O65" s="174"/>
      <c r="P65" s="167">
        <f t="shared" si="5"/>
        <v>0</v>
      </c>
      <c r="Q65" s="174"/>
      <c r="S65" s="201">
        <f t="shared" si="6"/>
        <v>0</v>
      </c>
      <c r="T65" s="201">
        <f t="shared" si="7"/>
        <v>0</v>
      </c>
      <c r="U65" s="201">
        <f t="shared" si="7"/>
        <v>0</v>
      </c>
      <c r="V65" s="201">
        <f t="shared" si="7"/>
        <v>0</v>
      </c>
      <c r="W65" s="201">
        <f t="shared" si="7"/>
        <v>0</v>
      </c>
      <c r="X65" s="201">
        <f t="shared" si="7"/>
        <v>0</v>
      </c>
    </row>
    <row r="66" spans="1:24" s="169" customFormat="1" ht="13.8">
      <c r="A66" s="192"/>
      <c r="B66" s="164"/>
      <c r="C66" s="183" t="str">
        <f t="shared" si="1"/>
        <v/>
      </c>
      <c r="D66" s="182" t="str">
        <f t="shared" si="3"/>
        <v/>
      </c>
      <c r="E66" s="192" t="s">
        <v>681</v>
      </c>
      <c r="F66" s="192" t="s">
        <v>705</v>
      </c>
      <c r="G66" s="192" t="s">
        <v>706</v>
      </c>
      <c r="H66" s="210" t="s">
        <v>1440</v>
      </c>
      <c r="I66" s="167">
        <v>174000000</v>
      </c>
      <c r="J66" s="166"/>
      <c r="K66" s="167">
        <v>174000000</v>
      </c>
      <c r="L66" s="171"/>
      <c r="M66" s="168">
        <f t="shared" si="4"/>
        <v>174000000</v>
      </c>
      <c r="N66" s="171"/>
      <c r="O66" s="167">
        <v>174000000</v>
      </c>
      <c r="P66" s="167">
        <f t="shared" si="5"/>
        <v>174000000</v>
      </c>
      <c r="Q66" s="167"/>
      <c r="S66" s="201">
        <f t="shared" si="6"/>
        <v>174</v>
      </c>
      <c r="T66" s="201">
        <f t="shared" si="7"/>
        <v>174</v>
      </c>
      <c r="U66" s="201">
        <f t="shared" si="7"/>
        <v>0</v>
      </c>
      <c r="V66" s="201">
        <f t="shared" si="7"/>
        <v>174</v>
      </c>
      <c r="W66" s="201">
        <f t="shared" si="7"/>
        <v>174</v>
      </c>
      <c r="X66" s="201">
        <f t="shared" si="7"/>
        <v>0</v>
      </c>
    </row>
    <row r="67" spans="1:24" s="169" customFormat="1" ht="26.4">
      <c r="A67" s="192" t="s">
        <v>707</v>
      </c>
      <c r="B67" s="165" t="s">
        <v>708</v>
      </c>
      <c r="C67" s="183" t="str">
        <f t="shared" si="1"/>
        <v>1012069</v>
      </c>
      <c r="D67" s="182" t="str">
        <f t="shared" si="3"/>
        <v>-Trường PT Dân tộc Nội trú luyện KonPlong</v>
      </c>
      <c r="E67" s="206"/>
      <c r="F67" s="207"/>
      <c r="G67" s="207"/>
      <c r="H67" s="205"/>
      <c r="I67" s="167">
        <v>11893387000</v>
      </c>
      <c r="J67" s="166"/>
      <c r="K67" s="167">
        <v>10733687000</v>
      </c>
      <c r="L67" s="168">
        <v>1159700000</v>
      </c>
      <c r="M67" s="168">
        <f t="shared" si="4"/>
        <v>11893387000</v>
      </c>
      <c r="N67" s="168"/>
      <c r="O67" s="167">
        <v>10761596900</v>
      </c>
      <c r="P67" s="167">
        <f t="shared" si="5"/>
        <v>10761596900</v>
      </c>
      <c r="Q67" s="167"/>
      <c r="S67" s="201">
        <f t="shared" si="6"/>
        <v>11893.387000000001</v>
      </c>
      <c r="T67" s="201">
        <f t="shared" si="7"/>
        <v>11893.387000000001</v>
      </c>
      <c r="U67" s="201">
        <f t="shared" si="7"/>
        <v>0</v>
      </c>
      <c r="V67" s="201">
        <f t="shared" si="7"/>
        <v>10761.5969</v>
      </c>
      <c r="W67" s="201">
        <f t="shared" si="7"/>
        <v>10761.5969</v>
      </c>
      <c r="X67" s="201">
        <f t="shared" si="7"/>
        <v>0</v>
      </c>
    </row>
    <row r="68" spans="1:24" s="169" customFormat="1" ht="13.8">
      <c r="A68" s="192" t="s">
        <v>709</v>
      </c>
      <c r="B68" s="170" t="s">
        <v>689</v>
      </c>
      <c r="C68" s="183" t="str">
        <f t="shared" si="1"/>
        <v/>
      </c>
      <c r="D68" s="182" t="str">
        <f t="shared" si="3"/>
        <v/>
      </c>
      <c r="E68" s="206"/>
      <c r="F68" s="207"/>
      <c r="G68" s="207"/>
      <c r="H68" s="205"/>
      <c r="I68" s="167">
        <v>11893387000</v>
      </c>
      <c r="J68" s="166"/>
      <c r="K68" s="167">
        <v>10733687000</v>
      </c>
      <c r="L68" s="168">
        <v>1159700000</v>
      </c>
      <c r="M68" s="168">
        <f t="shared" si="4"/>
        <v>11893387000</v>
      </c>
      <c r="N68" s="168"/>
      <c r="O68" s="167">
        <v>10761596900</v>
      </c>
      <c r="P68" s="167">
        <f t="shared" si="5"/>
        <v>10761596900</v>
      </c>
      <c r="Q68" s="167"/>
      <c r="S68" s="201">
        <f t="shared" si="6"/>
        <v>11893.387000000001</v>
      </c>
      <c r="T68" s="201">
        <f t="shared" si="7"/>
        <v>11893.387000000001</v>
      </c>
      <c r="U68" s="201">
        <f t="shared" si="7"/>
        <v>0</v>
      </c>
      <c r="V68" s="201">
        <f t="shared" si="7"/>
        <v>10761.5969</v>
      </c>
      <c r="W68" s="201">
        <f t="shared" si="7"/>
        <v>10761.5969</v>
      </c>
      <c r="X68" s="201">
        <f t="shared" si="7"/>
        <v>0</v>
      </c>
    </row>
    <row r="69" spans="1:24" s="169" customFormat="1" ht="13.8">
      <c r="A69" s="192"/>
      <c r="B69" s="170" t="s">
        <v>690</v>
      </c>
      <c r="C69" s="183" t="str">
        <f t="shared" si="1"/>
        <v/>
      </c>
      <c r="D69" s="182" t="str">
        <f t="shared" si="3"/>
        <v/>
      </c>
      <c r="E69" s="206"/>
      <c r="F69" s="207"/>
      <c r="G69" s="207"/>
      <c r="H69" s="205"/>
      <c r="I69" s="167">
        <v>7094753000</v>
      </c>
      <c r="J69" s="166"/>
      <c r="K69" s="167">
        <v>6675753000</v>
      </c>
      <c r="L69" s="168">
        <v>419000000</v>
      </c>
      <c r="M69" s="168">
        <f t="shared" si="4"/>
        <v>7094753000</v>
      </c>
      <c r="N69" s="168"/>
      <c r="O69" s="167">
        <v>7094753000</v>
      </c>
      <c r="P69" s="167">
        <f t="shared" si="5"/>
        <v>7094753000</v>
      </c>
      <c r="Q69" s="167"/>
      <c r="S69" s="201">
        <f t="shared" si="6"/>
        <v>7094.7529999999997</v>
      </c>
      <c r="T69" s="201">
        <f t="shared" si="7"/>
        <v>7094.7529999999997</v>
      </c>
      <c r="U69" s="201">
        <f t="shared" si="7"/>
        <v>0</v>
      </c>
      <c r="V69" s="201">
        <f t="shared" si="7"/>
        <v>7094.7529999999997</v>
      </c>
      <c r="W69" s="201">
        <f t="shared" si="7"/>
        <v>7094.7529999999997</v>
      </c>
      <c r="X69" s="201">
        <f t="shared" si="7"/>
        <v>0</v>
      </c>
    </row>
    <row r="70" spans="1:24" s="169" customFormat="1" ht="13.8">
      <c r="A70" s="193"/>
      <c r="B70" s="187"/>
      <c r="C70" s="183" t="str">
        <f t="shared" si="1"/>
        <v/>
      </c>
      <c r="D70" s="182" t="str">
        <f t="shared" si="3"/>
        <v/>
      </c>
      <c r="E70" s="192" t="s">
        <v>666</v>
      </c>
      <c r="F70" s="192" t="s">
        <v>677</v>
      </c>
      <c r="G70" s="192" t="s">
        <v>685</v>
      </c>
      <c r="H70" s="210" t="s">
        <v>1440</v>
      </c>
      <c r="I70" s="167">
        <v>6902753000</v>
      </c>
      <c r="J70" s="166"/>
      <c r="K70" s="167">
        <v>6675753000</v>
      </c>
      <c r="L70" s="168">
        <v>227000000</v>
      </c>
      <c r="M70" s="168">
        <f t="shared" si="4"/>
        <v>6902753000</v>
      </c>
      <c r="N70" s="168"/>
      <c r="O70" s="167">
        <v>6902753000</v>
      </c>
      <c r="P70" s="167">
        <f t="shared" si="5"/>
        <v>6902753000</v>
      </c>
      <c r="Q70" s="167"/>
      <c r="S70" s="201">
        <f t="shared" si="6"/>
        <v>6902.7529999999997</v>
      </c>
      <c r="T70" s="201">
        <f t="shared" si="7"/>
        <v>6902.7529999999997</v>
      </c>
      <c r="U70" s="201">
        <f t="shared" si="7"/>
        <v>0</v>
      </c>
      <c r="V70" s="201">
        <f t="shared" si="7"/>
        <v>6902.7529999999997</v>
      </c>
      <c r="W70" s="201">
        <f t="shared" si="7"/>
        <v>6902.7529999999997</v>
      </c>
      <c r="X70" s="201">
        <f t="shared" si="7"/>
        <v>0</v>
      </c>
    </row>
    <row r="71" spans="1:24" s="169" customFormat="1" ht="13.8">
      <c r="A71" s="195"/>
      <c r="B71" s="188"/>
      <c r="C71" s="183" t="str">
        <f t="shared" si="1"/>
        <v/>
      </c>
      <c r="D71" s="182" t="str">
        <f t="shared" si="3"/>
        <v/>
      </c>
      <c r="E71" s="192" t="s">
        <v>679</v>
      </c>
      <c r="F71" s="192" t="s">
        <v>677</v>
      </c>
      <c r="G71" s="192" t="s">
        <v>685</v>
      </c>
      <c r="H71" s="210" t="s">
        <v>1440</v>
      </c>
      <c r="I71" s="167">
        <v>192000000</v>
      </c>
      <c r="J71" s="166"/>
      <c r="K71" s="166"/>
      <c r="L71" s="168">
        <v>192000000</v>
      </c>
      <c r="M71" s="168">
        <f t="shared" si="4"/>
        <v>192000000</v>
      </c>
      <c r="N71" s="168"/>
      <c r="O71" s="167">
        <v>192000000</v>
      </c>
      <c r="P71" s="167">
        <f t="shared" si="5"/>
        <v>192000000</v>
      </c>
      <c r="Q71" s="167"/>
      <c r="S71" s="201">
        <f t="shared" si="6"/>
        <v>192</v>
      </c>
      <c r="T71" s="201">
        <f t="shared" si="7"/>
        <v>192</v>
      </c>
      <c r="U71" s="201">
        <f t="shared" si="7"/>
        <v>0</v>
      </c>
      <c r="V71" s="201">
        <f t="shared" si="7"/>
        <v>192</v>
      </c>
      <c r="W71" s="201">
        <f t="shared" si="7"/>
        <v>192</v>
      </c>
      <c r="X71" s="201">
        <f t="shared" si="7"/>
        <v>0</v>
      </c>
    </row>
    <row r="72" spans="1:24" s="169" customFormat="1" ht="13.8">
      <c r="A72" s="192"/>
      <c r="B72" s="170" t="s">
        <v>686</v>
      </c>
      <c r="C72" s="183" t="str">
        <f t="shared" si="1"/>
        <v/>
      </c>
      <c r="D72" s="182" t="str">
        <f t="shared" si="3"/>
        <v/>
      </c>
      <c r="E72" s="206"/>
      <c r="F72" s="207"/>
      <c r="G72" s="207"/>
      <c r="H72" s="205"/>
      <c r="I72" s="167">
        <v>4798634000</v>
      </c>
      <c r="J72" s="166"/>
      <c r="K72" s="167">
        <v>4057934000</v>
      </c>
      <c r="L72" s="168">
        <v>740700000</v>
      </c>
      <c r="M72" s="168">
        <f t="shared" si="4"/>
        <v>4798634000</v>
      </c>
      <c r="N72" s="168"/>
      <c r="O72" s="167">
        <v>3666843900</v>
      </c>
      <c r="P72" s="167">
        <f t="shared" si="5"/>
        <v>3666843900</v>
      </c>
      <c r="Q72" s="167"/>
      <c r="S72" s="201">
        <f t="shared" si="6"/>
        <v>4798.634</v>
      </c>
      <c r="T72" s="201">
        <f t="shared" si="7"/>
        <v>4798.634</v>
      </c>
      <c r="U72" s="201">
        <f t="shared" si="7"/>
        <v>0</v>
      </c>
      <c r="V72" s="201">
        <f t="shared" si="7"/>
        <v>3666.8438999999998</v>
      </c>
      <c r="W72" s="201">
        <f t="shared" si="7"/>
        <v>3666.8438999999998</v>
      </c>
      <c r="X72" s="201">
        <f t="shared" si="7"/>
        <v>0</v>
      </c>
    </row>
    <row r="73" spans="1:24" s="169" customFormat="1" ht="13.8">
      <c r="A73" s="193"/>
      <c r="B73" s="187"/>
      <c r="C73" s="183" t="str">
        <f t="shared" si="1"/>
        <v/>
      </c>
      <c r="D73" s="182" t="str">
        <f t="shared" si="3"/>
        <v/>
      </c>
      <c r="E73" s="192" t="s">
        <v>681</v>
      </c>
      <c r="F73" s="192" t="s">
        <v>677</v>
      </c>
      <c r="G73" s="192" t="s">
        <v>685</v>
      </c>
      <c r="H73" s="210" t="s">
        <v>1440</v>
      </c>
      <c r="I73" s="167">
        <v>439410000</v>
      </c>
      <c r="J73" s="166"/>
      <c r="K73" s="167">
        <v>439410000</v>
      </c>
      <c r="L73" s="171"/>
      <c r="M73" s="168">
        <f t="shared" si="4"/>
        <v>439410000</v>
      </c>
      <c r="N73" s="171"/>
      <c r="O73" s="167">
        <v>437455900</v>
      </c>
      <c r="P73" s="167">
        <f t="shared" si="5"/>
        <v>437455900</v>
      </c>
      <c r="Q73" s="167"/>
      <c r="S73" s="201">
        <f t="shared" si="6"/>
        <v>439.41</v>
      </c>
      <c r="T73" s="201">
        <f t="shared" si="7"/>
        <v>439.41</v>
      </c>
      <c r="U73" s="201">
        <f t="shared" si="7"/>
        <v>0</v>
      </c>
      <c r="V73" s="201">
        <f t="shared" si="7"/>
        <v>437.45589999999999</v>
      </c>
      <c r="W73" s="201">
        <f t="shared" si="7"/>
        <v>437.45589999999999</v>
      </c>
      <c r="X73" s="201">
        <f t="shared" si="7"/>
        <v>0</v>
      </c>
    </row>
    <row r="74" spans="1:24" s="169" customFormat="1" ht="13.8">
      <c r="A74" s="194"/>
      <c r="B74" s="184"/>
      <c r="C74" s="183" t="str">
        <f t="shared" si="1"/>
        <v/>
      </c>
      <c r="D74" s="182" t="str">
        <f t="shared" si="3"/>
        <v/>
      </c>
      <c r="E74" s="192" t="s">
        <v>679</v>
      </c>
      <c r="F74" s="192" t="s">
        <v>677</v>
      </c>
      <c r="G74" s="192" t="s">
        <v>685</v>
      </c>
      <c r="H74" s="210" t="s">
        <v>1440</v>
      </c>
      <c r="I74" s="167">
        <v>3511312000</v>
      </c>
      <c r="J74" s="166"/>
      <c r="K74" s="167">
        <v>3511312000</v>
      </c>
      <c r="L74" s="171"/>
      <c r="M74" s="168">
        <f t="shared" si="4"/>
        <v>3511312000</v>
      </c>
      <c r="N74" s="171"/>
      <c r="O74" s="167">
        <v>2937456000</v>
      </c>
      <c r="P74" s="167">
        <f t="shared" si="5"/>
        <v>2937456000</v>
      </c>
      <c r="Q74" s="167"/>
      <c r="S74" s="201">
        <f t="shared" si="6"/>
        <v>3511.3119999999999</v>
      </c>
      <c r="T74" s="201">
        <f t="shared" si="7"/>
        <v>3511.3119999999999</v>
      </c>
      <c r="U74" s="201">
        <f t="shared" si="7"/>
        <v>0</v>
      </c>
      <c r="V74" s="201">
        <f t="shared" si="7"/>
        <v>2937.4560000000001</v>
      </c>
      <c r="W74" s="201">
        <f t="shared" si="7"/>
        <v>2937.4560000000001</v>
      </c>
      <c r="X74" s="201">
        <f t="shared" si="7"/>
        <v>0</v>
      </c>
    </row>
    <row r="75" spans="1:24" s="169" customFormat="1" ht="13.8">
      <c r="A75" s="194"/>
      <c r="B75" s="184"/>
      <c r="C75" s="183" t="str">
        <f t="shared" si="1"/>
        <v/>
      </c>
      <c r="D75" s="182" t="str">
        <f t="shared" si="3"/>
        <v/>
      </c>
      <c r="E75" s="192" t="s">
        <v>667</v>
      </c>
      <c r="F75" s="192" t="s">
        <v>677</v>
      </c>
      <c r="G75" s="192" t="s">
        <v>685</v>
      </c>
      <c r="H75" s="210" t="s">
        <v>1440</v>
      </c>
      <c r="I75" s="167">
        <v>737500000</v>
      </c>
      <c r="J75" s="166"/>
      <c r="K75" s="166"/>
      <c r="L75" s="168">
        <v>737500000</v>
      </c>
      <c r="M75" s="168">
        <f t="shared" si="4"/>
        <v>737500000</v>
      </c>
      <c r="N75" s="168"/>
      <c r="O75" s="167">
        <v>237500000</v>
      </c>
      <c r="P75" s="167">
        <f t="shared" si="5"/>
        <v>237500000</v>
      </c>
      <c r="Q75" s="167"/>
      <c r="S75" s="201">
        <f t="shared" si="6"/>
        <v>737.5</v>
      </c>
      <c r="T75" s="201">
        <f t="shared" si="7"/>
        <v>737.5</v>
      </c>
      <c r="U75" s="201">
        <f t="shared" si="7"/>
        <v>0</v>
      </c>
      <c r="V75" s="201">
        <f t="shared" si="7"/>
        <v>237.5</v>
      </c>
      <c r="W75" s="201">
        <f t="shared" si="7"/>
        <v>237.5</v>
      </c>
      <c r="X75" s="201">
        <f t="shared" si="7"/>
        <v>0</v>
      </c>
    </row>
    <row r="76" spans="1:24" s="169" customFormat="1" ht="13.8">
      <c r="A76" s="195"/>
      <c r="B76" s="188"/>
      <c r="C76" s="183" t="str">
        <f t="shared" si="1"/>
        <v/>
      </c>
      <c r="D76" s="182" t="str">
        <f t="shared" si="3"/>
        <v/>
      </c>
      <c r="E76" s="192" t="s">
        <v>669</v>
      </c>
      <c r="F76" s="192" t="s">
        <v>677</v>
      </c>
      <c r="G76" s="192" t="s">
        <v>685</v>
      </c>
      <c r="H76" s="210" t="s">
        <v>1440</v>
      </c>
      <c r="I76" s="167">
        <v>110412000</v>
      </c>
      <c r="J76" s="166"/>
      <c r="K76" s="167">
        <v>107212000</v>
      </c>
      <c r="L76" s="168">
        <v>3200000</v>
      </c>
      <c r="M76" s="168">
        <f t="shared" si="4"/>
        <v>110412000</v>
      </c>
      <c r="N76" s="168"/>
      <c r="O76" s="167">
        <v>54432000</v>
      </c>
      <c r="P76" s="167">
        <f t="shared" si="5"/>
        <v>54432000</v>
      </c>
      <c r="Q76" s="167"/>
      <c r="S76" s="201">
        <f t="shared" si="6"/>
        <v>110.41200000000001</v>
      </c>
      <c r="T76" s="201">
        <f t="shared" si="7"/>
        <v>110.41200000000001</v>
      </c>
      <c r="U76" s="201">
        <f t="shared" si="7"/>
        <v>0</v>
      </c>
      <c r="V76" s="201">
        <f t="shared" si="7"/>
        <v>54.432000000000002</v>
      </c>
      <c r="W76" s="201">
        <f t="shared" si="7"/>
        <v>54.432000000000002</v>
      </c>
      <c r="X76" s="201">
        <f t="shared" si="7"/>
        <v>0</v>
      </c>
    </row>
    <row r="77" spans="1:24" s="169" customFormat="1" ht="26.4">
      <c r="A77" s="192" t="s">
        <v>710</v>
      </c>
      <c r="B77" s="165" t="s">
        <v>711</v>
      </c>
      <c r="C77" s="183" t="str">
        <f t="shared" si="1"/>
        <v>1012070</v>
      </c>
      <c r="D77" s="182" t="str">
        <f t="shared" si="3"/>
        <v>-Trường PT Dân tộc Nội trú luyện Đak tô</v>
      </c>
      <c r="E77" s="206"/>
      <c r="F77" s="207"/>
      <c r="G77" s="207"/>
      <c r="H77" s="205"/>
      <c r="I77" s="167">
        <v>9183011000</v>
      </c>
      <c r="J77" s="166"/>
      <c r="K77" s="167">
        <v>8920897000</v>
      </c>
      <c r="L77" s="168">
        <v>262114000</v>
      </c>
      <c r="M77" s="168">
        <f t="shared" si="4"/>
        <v>9183011000</v>
      </c>
      <c r="N77" s="168"/>
      <c r="O77" s="167">
        <v>8355089456</v>
      </c>
      <c r="P77" s="167">
        <f t="shared" si="5"/>
        <v>8355089456</v>
      </c>
      <c r="Q77" s="167"/>
      <c r="S77" s="201">
        <f t="shared" si="6"/>
        <v>9183.0110000000004</v>
      </c>
      <c r="T77" s="201">
        <f t="shared" si="7"/>
        <v>9183.0110000000004</v>
      </c>
      <c r="U77" s="201">
        <f t="shared" si="7"/>
        <v>0</v>
      </c>
      <c r="V77" s="201">
        <f t="shared" si="7"/>
        <v>8355.0894559999997</v>
      </c>
      <c r="W77" s="201">
        <f t="shared" si="7"/>
        <v>8355.0894559999997</v>
      </c>
      <c r="X77" s="201">
        <f t="shared" si="7"/>
        <v>0</v>
      </c>
    </row>
    <row r="78" spans="1:24" s="169" customFormat="1" ht="13.8">
      <c r="A78" s="192" t="s">
        <v>712</v>
      </c>
      <c r="B78" s="170" t="s">
        <v>689</v>
      </c>
      <c r="C78" s="183" t="str">
        <f t="shared" si="1"/>
        <v/>
      </c>
      <c r="D78" s="182" t="str">
        <f t="shared" si="3"/>
        <v/>
      </c>
      <c r="E78" s="206"/>
      <c r="F78" s="207"/>
      <c r="G78" s="207"/>
      <c r="H78" s="205"/>
      <c r="I78" s="167">
        <v>9183011000</v>
      </c>
      <c r="J78" s="166"/>
      <c r="K78" s="167">
        <v>8920897000</v>
      </c>
      <c r="L78" s="168">
        <v>262114000</v>
      </c>
      <c r="M78" s="168">
        <f t="shared" si="4"/>
        <v>9183011000</v>
      </c>
      <c r="N78" s="168"/>
      <c r="O78" s="167">
        <v>8355089456</v>
      </c>
      <c r="P78" s="167">
        <f t="shared" si="5"/>
        <v>8355089456</v>
      </c>
      <c r="Q78" s="167"/>
      <c r="S78" s="201">
        <f t="shared" si="6"/>
        <v>9183.0110000000004</v>
      </c>
      <c r="T78" s="201">
        <f t="shared" si="7"/>
        <v>9183.0110000000004</v>
      </c>
      <c r="U78" s="201">
        <f t="shared" si="7"/>
        <v>0</v>
      </c>
      <c r="V78" s="201">
        <f t="shared" si="7"/>
        <v>8355.0894559999997</v>
      </c>
      <c r="W78" s="201">
        <f t="shared" si="7"/>
        <v>8355.0894559999997</v>
      </c>
      <c r="X78" s="201">
        <f t="shared" si="7"/>
        <v>0</v>
      </c>
    </row>
    <row r="79" spans="1:24" s="169" customFormat="1" ht="13.8">
      <c r="A79" s="192"/>
      <c r="B79" s="170" t="s">
        <v>690</v>
      </c>
      <c r="C79" s="183" t="str">
        <f t="shared" si="1"/>
        <v/>
      </c>
      <c r="D79" s="182" t="str">
        <f t="shared" si="3"/>
        <v/>
      </c>
      <c r="E79" s="206"/>
      <c r="F79" s="207"/>
      <c r="G79" s="207"/>
      <c r="H79" s="205"/>
      <c r="I79" s="167">
        <v>5448288000</v>
      </c>
      <c r="J79" s="166"/>
      <c r="K79" s="167">
        <v>5280585000</v>
      </c>
      <c r="L79" s="168">
        <v>167703000</v>
      </c>
      <c r="M79" s="168">
        <f t="shared" si="4"/>
        <v>5448288000</v>
      </c>
      <c r="N79" s="168"/>
      <c r="O79" s="167">
        <v>5448286456</v>
      </c>
      <c r="P79" s="167">
        <f t="shared" si="5"/>
        <v>5448286456</v>
      </c>
      <c r="Q79" s="167"/>
      <c r="S79" s="201">
        <f t="shared" si="6"/>
        <v>5448.2879999999996</v>
      </c>
      <c r="T79" s="201">
        <f t="shared" si="7"/>
        <v>5448.2879999999996</v>
      </c>
      <c r="U79" s="201">
        <f t="shared" si="7"/>
        <v>0</v>
      </c>
      <c r="V79" s="201">
        <f t="shared" si="7"/>
        <v>5448.2864559999998</v>
      </c>
      <c r="W79" s="201">
        <f t="shared" si="7"/>
        <v>5448.2864559999998</v>
      </c>
      <c r="X79" s="201">
        <f t="shared" si="7"/>
        <v>0</v>
      </c>
    </row>
    <row r="80" spans="1:24" s="169" customFormat="1" ht="13.8">
      <c r="A80" s="193"/>
      <c r="B80" s="187"/>
      <c r="C80" s="183" t="str">
        <f t="shared" si="1"/>
        <v/>
      </c>
      <c r="D80" s="182" t="str">
        <f t="shared" si="3"/>
        <v/>
      </c>
      <c r="E80" s="192" t="s">
        <v>666</v>
      </c>
      <c r="F80" s="192" t="s">
        <v>677</v>
      </c>
      <c r="G80" s="192" t="s">
        <v>685</v>
      </c>
      <c r="H80" s="210" t="s">
        <v>1440</v>
      </c>
      <c r="I80" s="167">
        <v>5280585000</v>
      </c>
      <c r="J80" s="166"/>
      <c r="K80" s="167">
        <v>5280585000</v>
      </c>
      <c r="L80" s="171"/>
      <c r="M80" s="168">
        <f t="shared" si="4"/>
        <v>5280585000</v>
      </c>
      <c r="N80" s="171"/>
      <c r="O80" s="167">
        <v>5280583456</v>
      </c>
      <c r="P80" s="167">
        <f t="shared" si="5"/>
        <v>5280583456</v>
      </c>
      <c r="Q80" s="167"/>
      <c r="S80" s="201">
        <f t="shared" si="6"/>
        <v>5280.585</v>
      </c>
      <c r="T80" s="201">
        <f t="shared" ref="T80:X130" si="8">M80/1000000</f>
        <v>5280.585</v>
      </c>
      <c r="U80" s="201">
        <f t="shared" si="8"/>
        <v>0</v>
      </c>
      <c r="V80" s="201">
        <f t="shared" si="8"/>
        <v>5280.5834560000003</v>
      </c>
      <c r="W80" s="201">
        <f t="shared" si="8"/>
        <v>5280.5834560000003</v>
      </c>
      <c r="X80" s="201">
        <f t="shared" si="8"/>
        <v>0</v>
      </c>
    </row>
    <row r="81" spans="1:24" s="169" customFormat="1" ht="13.8">
      <c r="A81" s="194"/>
      <c r="B81" s="184"/>
      <c r="C81" s="183" t="str">
        <f t="shared" si="1"/>
        <v/>
      </c>
      <c r="D81" s="182" t="str">
        <f t="shared" si="3"/>
        <v/>
      </c>
      <c r="E81" s="192" t="s">
        <v>679</v>
      </c>
      <c r="F81" s="192" t="s">
        <v>677</v>
      </c>
      <c r="G81" s="192" t="s">
        <v>685</v>
      </c>
      <c r="H81" s="210" t="s">
        <v>1440</v>
      </c>
      <c r="I81" s="167">
        <v>158000000</v>
      </c>
      <c r="J81" s="166"/>
      <c r="K81" s="166"/>
      <c r="L81" s="168">
        <v>158000000</v>
      </c>
      <c r="M81" s="168">
        <f t="shared" si="4"/>
        <v>158000000</v>
      </c>
      <c r="N81" s="168"/>
      <c r="O81" s="167">
        <v>158000000</v>
      </c>
      <c r="P81" s="167">
        <f t="shared" si="5"/>
        <v>158000000</v>
      </c>
      <c r="Q81" s="167"/>
      <c r="S81" s="201">
        <f t="shared" si="6"/>
        <v>158</v>
      </c>
      <c r="T81" s="201">
        <f t="shared" si="8"/>
        <v>158</v>
      </c>
      <c r="U81" s="201">
        <f t="shared" si="8"/>
        <v>0</v>
      </c>
      <c r="V81" s="201">
        <f t="shared" si="8"/>
        <v>158</v>
      </c>
      <c r="W81" s="201">
        <f t="shared" si="8"/>
        <v>158</v>
      </c>
      <c r="X81" s="201">
        <f t="shared" si="8"/>
        <v>0</v>
      </c>
    </row>
    <row r="82" spans="1:24" s="169" customFormat="1" ht="13.8">
      <c r="A82" s="195"/>
      <c r="B82" s="188"/>
      <c r="C82" s="183" t="str">
        <f t="shared" si="1"/>
        <v/>
      </c>
      <c r="D82" s="182" t="str">
        <f t="shared" si="3"/>
        <v/>
      </c>
      <c r="E82" s="192" t="s">
        <v>669</v>
      </c>
      <c r="F82" s="192" t="s">
        <v>677</v>
      </c>
      <c r="G82" s="192" t="s">
        <v>685</v>
      </c>
      <c r="H82" s="210" t="s">
        <v>1440</v>
      </c>
      <c r="I82" s="167">
        <v>9703000</v>
      </c>
      <c r="J82" s="166"/>
      <c r="K82" s="166"/>
      <c r="L82" s="168">
        <v>9703000</v>
      </c>
      <c r="M82" s="168">
        <f t="shared" si="4"/>
        <v>9703000</v>
      </c>
      <c r="N82" s="168"/>
      <c r="O82" s="167">
        <v>9703000</v>
      </c>
      <c r="P82" s="167">
        <f t="shared" si="5"/>
        <v>9703000</v>
      </c>
      <c r="Q82" s="167"/>
      <c r="S82" s="201">
        <f t="shared" si="6"/>
        <v>9.7029999999999994</v>
      </c>
      <c r="T82" s="201">
        <f t="shared" si="8"/>
        <v>9.7029999999999994</v>
      </c>
      <c r="U82" s="201">
        <f t="shared" si="8"/>
        <v>0</v>
      </c>
      <c r="V82" s="201">
        <f t="shared" si="8"/>
        <v>9.7029999999999994</v>
      </c>
      <c r="W82" s="201">
        <f t="shared" si="8"/>
        <v>9.7029999999999994</v>
      </c>
      <c r="X82" s="201">
        <f t="shared" si="8"/>
        <v>0</v>
      </c>
    </row>
    <row r="83" spans="1:24" s="169" customFormat="1" ht="13.8">
      <c r="A83" s="192"/>
      <c r="B83" s="170" t="s">
        <v>686</v>
      </c>
      <c r="C83" s="183" t="str">
        <f t="shared" si="1"/>
        <v/>
      </c>
      <c r="D83" s="182" t="str">
        <f t="shared" si="3"/>
        <v/>
      </c>
      <c r="E83" s="206"/>
      <c r="F83" s="207"/>
      <c r="G83" s="207"/>
      <c r="H83" s="205"/>
      <c r="I83" s="167">
        <v>3734723000</v>
      </c>
      <c r="J83" s="166"/>
      <c r="K83" s="167">
        <v>3640312000</v>
      </c>
      <c r="L83" s="168">
        <v>94411000</v>
      </c>
      <c r="M83" s="168">
        <f t="shared" si="4"/>
        <v>3734723000</v>
      </c>
      <c r="N83" s="168"/>
      <c r="O83" s="167">
        <v>2906803000</v>
      </c>
      <c r="P83" s="167">
        <f t="shared" si="5"/>
        <v>2906803000</v>
      </c>
      <c r="Q83" s="167"/>
      <c r="S83" s="201">
        <f t="shared" si="6"/>
        <v>3734.723</v>
      </c>
      <c r="T83" s="201">
        <f t="shared" si="8"/>
        <v>3734.723</v>
      </c>
      <c r="U83" s="201">
        <f t="shared" si="8"/>
        <v>0</v>
      </c>
      <c r="V83" s="201">
        <f t="shared" si="8"/>
        <v>2906.8029999999999</v>
      </c>
      <c r="W83" s="201">
        <f t="shared" si="8"/>
        <v>2906.8029999999999</v>
      </c>
      <c r="X83" s="201">
        <f t="shared" si="8"/>
        <v>0</v>
      </c>
    </row>
    <row r="84" spans="1:24" s="169" customFormat="1" ht="13.8">
      <c r="A84" s="193"/>
      <c r="B84" s="187"/>
      <c r="C84" s="183" t="str">
        <f t="shared" si="1"/>
        <v/>
      </c>
      <c r="D84" s="182" t="str">
        <f t="shared" si="3"/>
        <v/>
      </c>
      <c r="E84" s="192" t="s">
        <v>681</v>
      </c>
      <c r="F84" s="192" t="s">
        <v>677</v>
      </c>
      <c r="G84" s="192" t="s">
        <v>685</v>
      </c>
      <c r="H84" s="210" t="s">
        <v>1440</v>
      </c>
      <c r="I84" s="167">
        <v>722711000</v>
      </c>
      <c r="J84" s="166"/>
      <c r="K84" s="167">
        <v>654700000</v>
      </c>
      <c r="L84" s="168">
        <v>68011000</v>
      </c>
      <c r="M84" s="168">
        <f t="shared" si="4"/>
        <v>722711000</v>
      </c>
      <c r="N84" s="168"/>
      <c r="O84" s="167">
        <v>697353000</v>
      </c>
      <c r="P84" s="167">
        <f t="shared" si="5"/>
        <v>697353000</v>
      </c>
      <c r="Q84" s="167"/>
      <c r="S84" s="201">
        <f t="shared" si="6"/>
        <v>722.71100000000001</v>
      </c>
      <c r="T84" s="201">
        <f t="shared" si="8"/>
        <v>722.71100000000001</v>
      </c>
      <c r="U84" s="201">
        <f t="shared" si="8"/>
        <v>0</v>
      </c>
      <c r="V84" s="201">
        <f t="shared" si="8"/>
        <v>697.35299999999995</v>
      </c>
      <c r="W84" s="201">
        <f t="shared" si="8"/>
        <v>697.35299999999995</v>
      </c>
      <c r="X84" s="201">
        <f t="shared" si="8"/>
        <v>0</v>
      </c>
    </row>
    <row r="85" spans="1:24" s="169" customFormat="1" ht="13.8">
      <c r="A85" s="194"/>
      <c r="B85" s="184"/>
      <c r="C85" s="183" t="str">
        <f t="shared" si="1"/>
        <v/>
      </c>
      <c r="D85" s="182" t="str">
        <f t="shared" si="3"/>
        <v/>
      </c>
      <c r="E85" s="192" t="s">
        <v>679</v>
      </c>
      <c r="F85" s="192" t="s">
        <v>677</v>
      </c>
      <c r="G85" s="192" t="s">
        <v>685</v>
      </c>
      <c r="H85" s="210" t="s">
        <v>1440</v>
      </c>
      <c r="I85" s="167">
        <v>2571360000</v>
      </c>
      <c r="J85" s="166"/>
      <c r="K85" s="167">
        <v>2571360000</v>
      </c>
      <c r="L85" s="171"/>
      <c r="M85" s="168">
        <f t="shared" si="4"/>
        <v>2571360000</v>
      </c>
      <c r="N85" s="171"/>
      <c r="O85" s="167">
        <v>1788168000</v>
      </c>
      <c r="P85" s="167">
        <f t="shared" si="5"/>
        <v>1788168000</v>
      </c>
      <c r="Q85" s="167"/>
      <c r="S85" s="201">
        <f t="shared" si="6"/>
        <v>2571.36</v>
      </c>
      <c r="T85" s="201">
        <f t="shared" si="8"/>
        <v>2571.36</v>
      </c>
      <c r="U85" s="201">
        <f t="shared" si="8"/>
        <v>0</v>
      </c>
      <c r="V85" s="201">
        <f t="shared" si="8"/>
        <v>1788.1679999999999</v>
      </c>
      <c r="W85" s="201">
        <f t="shared" si="8"/>
        <v>1788.1679999999999</v>
      </c>
      <c r="X85" s="201">
        <f t="shared" si="8"/>
        <v>0</v>
      </c>
    </row>
    <row r="86" spans="1:24" s="169" customFormat="1" ht="13.8">
      <c r="A86" s="195"/>
      <c r="B86" s="188"/>
      <c r="C86" s="183" t="str">
        <f t="shared" ref="C86:C149" si="9">IF(B86&lt;&gt;"",IF(AND(LEFT(B86,1)&gt;="0",LEFT(B86,1)&lt;="9"),LEFT(B86,7),""),"")</f>
        <v/>
      </c>
      <c r="D86" s="182" t="str">
        <f t="shared" si="3"/>
        <v/>
      </c>
      <c r="E86" s="192" t="s">
        <v>669</v>
      </c>
      <c r="F86" s="192" t="s">
        <v>677</v>
      </c>
      <c r="G86" s="192" t="s">
        <v>685</v>
      </c>
      <c r="H86" s="210" t="s">
        <v>1440</v>
      </c>
      <c r="I86" s="167">
        <v>440652000</v>
      </c>
      <c r="J86" s="166"/>
      <c r="K86" s="167">
        <v>414252000</v>
      </c>
      <c r="L86" s="168">
        <v>26400000</v>
      </c>
      <c r="M86" s="168">
        <f t="shared" si="4"/>
        <v>440652000</v>
      </c>
      <c r="N86" s="168"/>
      <c r="O86" s="167">
        <v>421282000</v>
      </c>
      <c r="P86" s="167">
        <f t="shared" si="5"/>
        <v>421282000</v>
      </c>
      <c r="Q86" s="167"/>
      <c r="S86" s="201">
        <f t="shared" si="6"/>
        <v>440.65199999999999</v>
      </c>
      <c r="T86" s="201">
        <f t="shared" si="8"/>
        <v>440.65199999999999</v>
      </c>
      <c r="U86" s="201">
        <f t="shared" si="8"/>
        <v>0</v>
      </c>
      <c r="V86" s="201">
        <f t="shared" si="8"/>
        <v>421.28199999999998</v>
      </c>
      <c r="W86" s="201">
        <f t="shared" si="8"/>
        <v>421.28199999999998</v>
      </c>
      <c r="X86" s="201">
        <f t="shared" si="8"/>
        <v>0</v>
      </c>
    </row>
    <row r="87" spans="1:24" s="169" customFormat="1" ht="26.4">
      <c r="A87" s="192" t="s">
        <v>663</v>
      </c>
      <c r="B87" s="165" t="s">
        <v>713</v>
      </c>
      <c r="C87" s="183" t="str">
        <f t="shared" si="9"/>
        <v>1012071</v>
      </c>
      <c r="D87" s="182" t="str">
        <f t="shared" ref="D87:D150" si="10">IF(C87&lt;&gt;"",RIGHT(B87,LEN(B87)-7),"")</f>
        <v>-Trường Trung học phS thông Duy Tân</v>
      </c>
      <c r="E87" s="206"/>
      <c r="F87" s="207"/>
      <c r="G87" s="207"/>
      <c r="H87" s="205"/>
      <c r="I87" s="167">
        <v>9478749099</v>
      </c>
      <c r="J87" s="167">
        <v>316922099</v>
      </c>
      <c r="K87" s="167">
        <v>9082855000</v>
      </c>
      <c r="L87" s="168">
        <v>78972000</v>
      </c>
      <c r="M87" s="168">
        <f t="shared" ref="M87:M150" si="11">I87-N87</f>
        <v>9478749099</v>
      </c>
      <c r="N87" s="168"/>
      <c r="O87" s="167">
        <v>9381982810</v>
      </c>
      <c r="P87" s="167">
        <f t="shared" ref="P87:P150" si="12">O87-Q87</f>
        <v>9381982810</v>
      </c>
      <c r="Q87" s="167"/>
      <c r="S87" s="201">
        <f t="shared" ref="S87:S150" si="13">I87/1000000</f>
        <v>9478.7490990000006</v>
      </c>
      <c r="T87" s="201">
        <f t="shared" si="8"/>
        <v>9478.7490990000006</v>
      </c>
      <c r="U87" s="201">
        <f t="shared" si="8"/>
        <v>0</v>
      </c>
      <c r="V87" s="201">
        <f t="shared" si="8"/>
        <v>9381.9828099999995</v>
      </c>
      <c r="W87" s="201">
        <f t="shared" si="8"/>
        <v>9381.9828099999995</v>
      </c>
      <c r="X87" s="201">
        <f t="shared" si="8"/>
        <v>0</v>
      </c>
    </row>
    <row r="88" spans="1:24" s="169" customFormat="1" ht="13.8">
      <c r="A88" s="192" t="s">
        <v>714</v>
      </c>
      <c r="B88" s="170" t="s">
        <v>689</v>
      </c>
      <c r="C88" s="183" t="str">
        <f t="shared" si="9"/>
        <v/>
      </c>
      <c r="D88" s="182" t="str">
        <f t="shared" si="10"/>
        <v/>
      </c>
      <c r="E88" s="206"/>
      <c r="F88" s="207"/>
      <c r="G88" s="207"/>
      <c r="H88" s="205"/>
      <c r="I88" s="167">
        <v>9478749099</v>
      </c>
      <c r="J88" s="167">
        <v>316922099</v>
      </c>
      <c r="K88" s="167">
        <v>9082855000</v>
      </c>
      <c r="L88" s="168">
        <v>78972000</v>
      </c>
      <c r="M88" s="168">
        <f t="shared" si="11"/>
        <v>9478749099</v>
      </c>
      <c r="N88" s="168"/>
      <c r="O88" s="167">
        <v>9381982810</v>
      </c>
      <c r="P88" s="167">
        <f t="shared" si="12"/>
        <v>9381982810</v>
      </c>
      <c r="Q88" s="167"/>
      <c r="S88" s="201">
        <f t="shared" si="13"/>
        <v>9478.7490990000006</v>
      </c>
      <c r="T88" s="201">
        <f t="shared" si="8"/>
        <v>9478.7490990000006</v>
      </c>
      <c r="U88" s="201">
        <f t="shared" si="8"/>
        <v>0</v>
      </c>
      <c r="V88" s="201">
        <f t="shared" si="8"/>
        <v>9381.9828099999995</v>
      </c>
      <c r="W88" s="201">
        <f t="shared" si="8"/>
        <v>9381.9828099999995</v>
      </c>
      <c r="X88" s="201">
        <f t="shared" si="8"/>
        <v>0</v>
      </c>
    </row>
    <row r="89" spans="1:24" s="169" customFormat="1" ht="13.8">
      <c r="A89" s="192"/>
      <c r="B89" s="170" t="s">
        <v>690</v>
      </c>
      <c r="C89" s="183" t="str">
        <f t="shared" si="9"/>
        <v/>
      </c>
      <c r="D89" s="182" t="str">
        <f t="shared" si="10"/>
        <v/>
      </c>
      <c r="E89" s="206"/>
      <c r="F89" s="207"/>
      <c r="G89" s="207"/>
      <c r="H89" s="205"/>
      <c r="I89" s="167">
        <v>9221149099</v>
      </c>
      <c r="J89" s="167">
        <v>316922099</v>
      </c>
      <c r="K89" s="167">
        <v>8882855000</v>
      </c>
      <c r="L89" s="168">
        <v>21372000</v>
      </c>
      <c r="M89" s="168">
        <f t="shared" si="11"/>
        <v>9221149099</v>
      </c>
      <c r="N89" s="168"/>
      <c r="O89" s="167">
        <v>9125382810</v>
      </c>
      <c r="P89" s="167">
        <f t="shared" si="12"/>
        <v>9125382810</v>
      </c>
      <c r="Q89" s="167"/>
      <c r="S89" s="201">
        <f t="shared" si="13"/>
        <v>9221.1490990000002</v>
      </c>
      <c r="T89" s="201">
        <f t="shared" si="8"/>
        <v>9221.1490990000002</v>
      </c>
      <c r="U89" s="201">
        <f t="shared" si="8"/>
        <v>0</v>
      </c>
      <c r="V89" s="201">
        <f t="shared" si="8"/>
        <v>9125.3828099999992</v>
      </c>
      <c r="W89" s="201">
        <f t="shared" si="8"/>
        <v>9125.3828099999992</v>
      </c>
      <c r="X89" s="201">
        <f t="shared" si="8"/>
        <v>0</v>
      </c>
    </row>
    <row r="90" spans="1:24" s="169" customFormat="1" ht="13.8">
      <c r="A90" s="193"/>
      <c r="B90" s="187"/>
      <c r="C90" s="183" t="str">
        <f t="shared" si="9"/>
        <v/>
      </c>
      <c r="D90" s="182" t="str">
        <f t="shared" si="10"/>
        <v/>
      </c>
      <c r="E90" s="192" t="s">
        <v>666</v>
      </c>
      <c r="F90" s="192" t="s">
        <v>677</v>
      </c>
      <c r="G90" s="192" t="s">
        <v>678</v>
      </c>
      <c r="H90" s="210" t="s">
        <v>1440</v>
      </c>
      <c r="I90" s="167">
        <v>9199777099</v>
      </c>
      <c r="J90" s="167">
        <v>316922099</v>
      </c>
      <c r="K90" s="167">
        <v>8882855000</v>
      </c>
      <c r="L90" s="171"/>
      <c r="M90" s="168">
        <f t="shared" si="11"/>
        <v>9199777099</v>
      </c>
      <c r="N90" s="171"/>
      <c r="O90" s="167">
        <v>9104010810</v>
      </c>
      <c r="P90" s="167">
        <f t="shared" si="12"/>
        <v>9104010810</v>
      </c>
      <c r="Q90" s="167"/>
      <c r="S90" s="201">
        <f t="shared" si="13"/>
        <v>9199.7770990000008</v>
      </c>
      <c r="T90" s="201">
        <f t="shared" si="8"/>
        <v>9199.7770990000008</v>
      </c>
      <c r="U90" s="201">
        <f t="shared" si="8"/>
        <v>0</v>
      </c>
      <c r="V90" s="201">
        <f t="shared" si="8"/>
        <v>9104.0108099999998</v>
      </c>
      <c r="W90" s="201">
        <f t="shared" si="8"/>
        <v>9104.0108099999998</v>
      </c>
      <c r="X90" s="201">
        <f t="shared" si="8"/>
        <v>0</v>
      </c>
    </row>
    <row r="91" spans="1:24" s="169" customFormat="1" ht="13.8">
      <c r="A91" s="195"/>
      <c r="B91" s="188"/>
      <c r="C91" s="183" t="str">
        <f t="shared" si="9"/>
        <v/>
      </c>
      <c r="D91" s="182" t="str">
        <f t="shared" si="10"/>
        <v/>
      </c>
      <c r="E91" s="192" t="s">
        <v>669</v>
      </c>
      <c r="F91" s="192" t="s">
        <v>677</v>
      </c>
      <c r="G91" s="192" t="s">
        <v>678</v>
      </c>
      <c r="H91" s="210" t="s">
        <v>1440</v>
      </c>
      <c r="I91" s="167">
        <v>21372000</v>
      </c>
      <c r="J91" s="166"/>
      <c r="K91" s="166"/>
      <c r="L91" s="168">
        <v>21372000</v>
      </c>
      <c r="M91" s="168">
        <f t="shared" si="11"/>
        <v>21372000</v>
      </c>
      <c r="N91" s="168"/>
      <c r="O91" s="167">
        <v>21372000</v>
      </c>
      <c r="P91" s="167">
        <f t="shared" si="12"/>
        <v>21372000</v>
      </c>
      <c r="Q91" s="167"/>
      <c r="S91" s="201">
        <f t="shared" si="13"/>
        <v>21.372</v>
      </c>
      <c r="T91" s="201">
        <f t="shared" si="8"/>
        <v>21.372</v>
      </c>
      <c r="U91" s="201">
        <f t="shared" si="8"/>
        <v>0</v>
      </c>
      <c r="V91" s="201">
        <f t="shared" si="8"/>
        <v>21.372</v>
      </c>
      <c r="W91" s="201">
        <f t="shared" si="8"/>
        <v>21.372</v>
      </c>
      <c r="X91" s="201">
        <f t="shared" si="8"/>
        <v>0</v>
      </c>
    </row>
    <row r="92" spans="1:24" s="169" customFormat="1" ht="13.8">
      <c r="A92" s="192"/>
      <c r="B92" s="170" t="s">
        <v>686</v>
      </c>
      <c r="C92" s="183" t="str">
        <f t="shared" si="9"/>
        <v/>
      </c>
      <c r="D92" s="182" t="str">
        <f t="shared" si="10"/>
        <v/>
      </c>
      <c r="E92" s="206"/>
      <c r="F92" s="207"/>
      <c r="G92" s="207"/>
      <c r="H92" s="205"/>
      <c r="I92" s="167">
        <v>257600000</v>
      </c>
      <c r="J92" s="166"/>
      <c r="K92" s="167">
        <v>200000000</v>
      </c>
      <c r="L92" s="168">
        <v>57600000</v>
      </c>
      <c r="M92" s="168">
        <f t="shared" si="11"/>
        <v>257600000</v>
      </c>
      <c r="N92" s="168"/>
      <c r="O92" s="167">
        <v>256600000</v>
      </c>
      <c r="P92" s="167">
        <f t="shared" si="12"/>
        <v>256600000</v>
      </c>
      <c r="Q92" s="167"/>
      <c r="S92" s="201">
        <f t="shared" si="13"/>
        <v>257.60000000000002</v>
      </c>
      <c r="T92" s="201">
        <f t="shared" si="8"/>
        <v>257.60000000000002</v>
      </c>
      <c r="U92" s="201">
        <f t="shared" si="8"/>
        <v>0</v>
      </c>
      <c r="V92" s="201">
        <f t="shared" si="8"/>
        <v>256.60000000000002</v>
      </c>
      <c r="W92" s="201">
        <f t="shared" si="8"/>
        <v>256.60000000000002</v>
      </c>
      <c r="X92" s="201">
        <f t="shared" si="8"/>
        <v>0</v>
      </c>
    </row>
    <row r="93" spans="1:24" s="169" customFormat="1" ht="13.8">
      <c r="A93" s="193"/>
      <c r="B93" s="187"/>
      <c r="C93" s="183" t="str">
        <f t="shared" si="9"/>
        <v/>
      </c>
      <c r="D93" s="182" t="str">
        <f t="shared" si="10"/>
        <v/>
      </c>
      <c r="E93" s="192" t="s">
        <v>681</v>
      </c>
      <c r="F93" s="192" t="s">
        <v>677</v>
      </c>
      <c r="G93" s="192" t="s">
        <v>678</v>
      </c>
      <c r="H93" s="210" t="s">
        <v>1440</v>
      </c>
      <c r="I93" s="167">
        <v>200000000</v>
      </c>
      <c r="J93" s="166"/>
      <c r="K93" s="167">
        <v>200000000</v>
      </c>
      <c r="L93" s="171"/>
      <c r="M93" s="168">
        <f t="shared" si="11"/>
        <v>200000000</v>
      </c>
      <c r="N93" s="171"/>
      <c r="O93" s="167">
        <v>199000000</v>
      </c>
      <c r="P93" s="167">
        <f t="shared" si="12"/>
        <v>199000000</v>
      </c>
      <c r="Q93" s="167"/>
      <c r="S93" s="201">
        <f t="shared" si="13"/>
        <v>200</v>
      </c>
      <c r="T93" s="201">
        <f t="shared" si="8"/>
        <v>200</v>
      </c>
      <c r="U93" s="201">
        <f t="shared" si="8"/>
        <v>0</v>
      </c>
      <c r="V93" s="201">
        <f t="shared" si="8"/>
        <v>199</v>
      </c>
      <c r="W93" s="201">
        <f t="shared" si="8"/>
        <v>199</v>
      </c>
      <c r="X93" s="201">
        <f t="shared" si="8"/>
        <v>0</v>
      </c>
    </row>
    <row r="94" spans="1:24" s="169" customFormat="1" ht="13.8">
      <c r="A94" s="195"/>
      <c r="B94" s="188"/>
      <c r="C94" s="183" t="str">
        <f t="shared" si="9"/>
        <v/>
      </c>
      <c r="D94" s="182" t="str">
        <f t="shared" si="10"/>
        <v/>
      </c>
      <c r="E94" s="192" t="s">
        <v>669</v>
      </c>
      <c r="F94" s="192" t="s">
        <v>677</v>
      </c>
      <c r="G94" s="192" t="s">
        <v>678</v>
      </c>
      <c r="H94" s="210" t="s">
        <v>1440</v>
      </c>
      <c r="I94" s="167">
        <v>57600000</v>
      </c>
      <c r="J94" s="166"/>
      <c r="K94" s="166"/>
      <c r="L94" s="168">
        <v>57600000</v>
      </c>
      <c r="M94" s="168">
        <f t="shared" si="11"/>
        <v>57600000</v>
      </c>
      <c r="N94" s="168"/>
      <c r="O94" s="167">
        <v>57600000</v>
      </c>
      <c r="P94" s="167">
        <f t="shared" si="12"/>
        <v>57600000</v>
      </c>
      <c r="Q94" s="167"/>
      <c r="S94" s="201">
        <f t="shared" si="13"/>
        <v>57.6</v>
      </c>
      <c r="T94" s="201">
        <f t="shared" si="8"/>
        <v>57.6</v>
      </c>
      <c r="U94" s="201">
        <f t="shared" si="8"/>
        <v>0</v>
      </c>
      <c r="V94" s="201">
        <f t="shared" si="8"/>
        <v>57.6</v>
      </c>
      <c r="W94" s="201">
        <f t="shared" si="8"/>
        <v>57.6</v>
      </c>
      <c r="X94" s="201">
        <f t="shared" si="8"/>
        <v>0</v>
      </c>
    </row>
    <row r="95" spans="1:24" s="169" customFormat="1" ht="26.4">
      <c r="A95" s="192" t="s">
        <v>715</v>
      </c>
      <c r="B95" s="165" t="s">
        <v>716</v>
      </c>
      <c r="C95" s="183" t="str">
        <f t="shared" si="9"/>
        <v>1012077</v>
      </c>
      <c r="D95" s="182" t="str">
        <f t="shared" si="10"/>
        <v>-Trung tâm Giáo dục Thường xuyên Kontum</v>
      </c>
      <c r="E95" s="206"/>
      <c r="F95" s="207"/>
      <c r="G95" s="207"/>
      <c r="H95" s="205"/>
      <c r="I95" s="167">
        <v>4857048174</v>
      </c>
      <c r="J95" s="167">
        <v>56000174</v>
      </c>
      <c r="K95" s="167">
        <v>4651911000</v>
      </c>
      <c r="L95" s="168">
        <v>149137000</v>
      </c>
      <c r="M95" s="168">
        <f t="shared" si="11"/>
        <v>4857048174</v>
      </c>
      <c r="N95" s="168"/>
      <c r="O95" s="167">
        <v>4810916674</v>
      </c>
      <c r="P95" s="167">
        <f t="shared" si="12"/>
        <v>4810916674</v>
      </c>
      <c r="Q95" s="167"/>
      <c r="S95" s="201">
        <f t="shared" si="13"/>
        <v>4857.0481739999996</v>
      </c>
      <c r="T95" s="201">
        <f t="shared" si="8"/>
        <v>4857.0481739999996</v>
      </c>
      <c r="U95" s="201">
        <f t="shared" si="8"/>
        <v>0</v>
      </c>
      <c r="V95" s="201">
        <f t="shared" si="8"/>
        <v>4810.9166740000001</v>
      </c>
      <c r="W95" s="201">
        <f t="shared" si="8"/>
        <v>4810.9166740000001</v>
      </c>
      <c r="X95" s="201">
        <f t="shared" si="8"/>
        <v>0</v>
      </c>
    </row>
    <row r="96" spans="1:24" s="169" customFormat="1" ht="13.8">
      <c r="A96" s="192"/>
      <c r="B96" s="173"/>
      <c r="C96" s="183" t="str">
        <f t="shared" si="9"/>
        <v/>
      </c>
      <c r="D96" s="182" t="str">
        <f t="shared" si="10"/>
        <v/>
      </c>
      <c r="E96" s="192"/>
      <c r="F96" s="192"/>
      <c r="G96" s="192"/>
      <c r="H96" s="210"/>
      <c r="I96" s="174"/>
      <c r="J96" s="174"/>
      <c r="K96" s="174"/>
      <c r="L96" s="175"/>
      <c r="M96" s="168">
        <f t="shared" si="11"/>
        <v>0</v>
      </c>
      <c r="N96" s="175"/>
      <c r="O96" s="174"/>
      <c r="P96" s="167">
        <f t="shared" si="12"/>
        <v>0</v>
      </c>
      <c r="Q96" s="174"/>
      <c r="S96" s="201">
        <f t="shared" si="13"/>
        <v>0</v>
      </c>
      <c r="T96" s="201">
        <f t="shared" si="8"/>
        <v>0</v>
      </c>
      <c r="U96" s="201">
        <f t="shared" si="8"/>
        <v>0</v>
      </c>
      <c r="V96" s="201">
        <f t="shared" si="8"/>
        <v>0</v>
      </c>
      <c r="W96" s="201">
        <f t="shared" si="8"/>
        <v>0</v>
      </c>
      <c r="X96" s="201">
        <f t="shared" si="8"/>
        <v>0</v>
      </c>
    </row>
    <row r="97" spans="1:24" s="169" customFormat="1" ht="13.8">
      <c r="A97" s="192" t="s">
        <v>717</v>
      </c>
      <c r="B97" s="170" t="s">
        <v>689</v>
      </c>
      <c r="C97" s="183" t="str">
        <f t="shared" si="9"/>
        <v/>
      </c>
      <c r="D97" s="182" t="str">
        <f t="shared" si="10"/>
        <v/>
      </c>
      <c r="E97" s="206"/>
      <c r="F97" s="207"/>
      <c r="G97" s="207"/>
      <c r="H97" s="205"/>
      <c r="I97" s="167">
        <v>4857048174</v>
      </c>
      <c r="J97" s="167">
        <v>56000174</v>
      </c>
      <c r="K97" s="167">
        <v>4651911000</v>
      </c>
      <c r="L97" s="168">
        <v>149137000</v>
      </c>
      <c r="M97" s="168">
        <f t="shared" si="11"/>
        <v>4857048174</v>
      </c>
      <c r="N97" s="168"/>
      <c r="O97" s="167">
        <v>4810916674</v>
      </c>
      <c r="P97" s="167">
        <f t="shared" si="12"/>
        <v>4810916674</v>
      </c>
      <c r="Q97" s="167"/>
      <c r="S97" s="201">
        <f t="shared" si="13"/>
        <v>4857.0481739999996</v>
      </c>
      <c r="T97" s="201">
        <f t="shared" si="8"/>
        <v>4857.0481739999996</v>
      </c>
      <c r="U97" s="201">
        <f t="shared" si="8"/>
        <v>0</v>
      </c>
      <c r="V97" s="201">
        <f t="shared" si="8"/>
        <v>4810.9166740000001</v>
      </c>
      <c r="W97" s="201">
        <f t="shared" si="8"/>
        <v>4810.9166740000001</v>
      </c>
      <c r="X97" s="201">
        <f t="shared" si="8"/>
        <v>0</v>
      </c>
    </row>
    <row r="98" spans="1:24" s="169" customFormat="1" ht="13.8">
      <c r="A98" s="192"/>
      <c r="B98" s="170" t="s">
        <v>690</v>
      </c>
      <c r="C98" s="183" t="str">
        <f t="shared" si="9"/>
        <v/>
      </c>
      <c r="D98" s="182" t="str">
        <f t="shared" si="10"/>
        <v/>
      </c>
      <c r="E98" s="206"/>
      <c r="F98" s="207"/>
      <c r="G98" s="207"/>
      <c r="H98" s="205"/>
      <c r="I98" s="167">
        <v>4302448174</v>
      </c>
      <c r="J98" s="167">
        <v>56000174</v>
      </c>
      <c r="K98" s="167">
        <v>4181911000</v>
      </c>
      <c r="L98" s="168">
        <v>64537000</v>
      </c>
      <c r="M98" s="168">
        <f t="shared" si="11"/>
        <v>4302448174</v>
      </c>
      <c r="N98" s="168"/>
      <c r="O98" s="167">
        <v>4285132374</v>
      </c>
      <c r="P98" s="167">
        <f t="shared" si="12"/>
        <v>4285132374</v>
      </c>
      <c r="Q98" s="167"/>
      <c r="S98" s="201">
        <f t="shared" si="13"/>
        <v>4302.4481740000001</v>
      </c>
      <c r="T98" s="201">
        <f t="shared" si="8"/>
        <v>4302.4481740000001</v>
      </c>
      <c r="U98" s="201">
        <f t="shared" si="8"/>
        <v>0</v>
      </c>
      <c r="V98" s="201">
        <f t="shared" si="8"/>
        <v>4285.1323739999998</v>
      </c>
      <c r="W98" s="201">
        <f t="shared" si="8"/>
        <v>4285.1323739999998</v>
      </c>
      <c r="X98" s="201">
        <f t="shared" si="8"/>
        <v>0</v>
      </c>
    </row>
    <row r="99" spans="1:24" s="169" customFormat="1" ht="13.8">
      <c r="A99" s="193"/>
      <c r="B99" s="187"/>
      <c r="C99" s="183" t="str">
        <f t="shared" si="9"/>
        <v/>
      </c>
      <c r="D99" s="182" t="str">
        <f t="shared" si="10"/>
        <v/>
      </c>
      <c r="E99" s="192" t="s">
        <v>666</v>
      </c>
      <c r="F99" s="192" t="s">
        <v>677</v>
      </c>
      <c r="G99" s="192" t="s">
        <v>718</v>
      </c>
      <c r="H99" s="210" t="s">
        <v>1440</v>
      </c>
      <c r="I99" s="167">
        <v>4099911174</v>
      </c>
      <c r="J99" s="167">
        <v>56000174</v>
      </c>
      <c r="K99" s="167">
        <v>4043911000</v>
      </c>
      <c r="L99" s="171"/>
      <c r="M99" s="168">
        <f t="shared" si="11"/>
        <v>4099911174</v>
      </c>
      <c r="N99" s="171"/>
      <c r="O99" s="167">
        <v>4099911174</v>
      </c>
      <c r="P99" s="167">
        <f t="shared" si="12"/>
        <v>4099911174</v>
      </c>
      <c r="Q99" s="167"/>
      <c r="S99" s="201">
        <f t="shared" si="13"/>
        <v>4099.9111739999998</v>
      </c>
      <c r="T99" s="201">
        <f t="shared" si="8"/>
        <v>4099.9111739999998</v>
      </c>
      <c r="U99" s="201">
        <f t="shared" si="8"/>
        <v>0</v>
      </c>
      <c r="V99" s="201">
        <f t="shared" si="8"/>
        <v>4099.9111739999998</v>
      </c>
      <c r="W99" s="201">
        <f t="shared" si="8"/>
        <v>4099.9111739999998</v>
      </c>
      <c r="X99" s="201">
        <f t="shared" si="8"/>
        <v>0</v>
      </c>
    </row>
    <row r="100" spans="1:24" s="169" customFormat="1" ht="13.8">
      <c r="A100" s="194"/>
      <c r="B100" s="184"/>
      <c r="C100" s="183" t="str">
        <f t="shared" si="9"/>
        <v/>
      </c>
      <c r="D100" s="182" t="str">
        <f t="shared" si="10"/>
        <v/>
      </c>
      <c r="E100" s="192" t="s">
        <v>679</v>
      </c>
      <c r="F100" s="192" t="s">
        <v>677</v>
      </c>
      <c r="G100" s="192" t="s">
        <v>718</v>
      </c>
      <c r="H100" s="210" t="s">
        <v>1440</v>
      </c>
      <c r="I100" s="167">
        <v>138000000</v>
      </c>
      <c r="J100" s="166"/>
      <c r="K100" s="167">
        <v>138000000</v>
      </c>
      <c r="L100" s="171"/>
      <c r="M100" s="168">
        <f t="shared" si="11"/>
        <v>138000000</v>
      </c>
      <c r="N100" s="171"/>
      <c r="O100" s="167">
        <v>138000000</v>
      </c>
      <c r="P100" s="167">
        <f t="shared" si="12"/>
        <v>138000000</v>
      </c>
      <c r="Q100" s="167"/>
      <c r="S100" s="201">
        <f t="shared" si="13"/>
        <v>138</v>
      </c>
      <c r="T100" s="201">
        <f t="shared" si="8"/>
        <v>138</v>
      </c>
      <c r="U100" s="201">
        <f t="shared" si="8"/>
        <v>0</v>
      </c>
      <c r="V100" s="201">
        <f t="shared" si="8"/>
        <v>138</v>
      </c>
      <c r="W100" s="201">
        <f t="shared" si="8"/>
        <v>138</v>
      </c>
      <c r="X100" s="201">
        <f t="shared" si="8"/>
        <v>0</v>
      </c>
    </row>
    <row r="101" spans="1:24" s="169" customFormat="1" ht="13.8">
      <c r="A101" s="195"/>
      <c r="B101" s="188"/>
      <c r="C101" s="183" t="str">
        <f t="shared" si="9"/>
        <v/>
      </c>
      <c r="D101" s="182" t="str">
        <f t="shared" si="10"/>
        <v/>
      </c>
      <c r="E101" s="192" t="s">
        <v>669</v>
      </c>
      <c r="F101" s="192" t="s">
        <v>677</v>
      </c>
      <c r="G101" s="192" t="s">
        <v>718</v>
      </c>
      <c r="H101" s="210" t="s">
        <v>1440</v>
      </c>
      <c r="I101" s="167">
        <v>64537000</v>
      </c>
      <c r="J101" s="166"/>
      <c r="K101" s="166"/>
      <c r="L101" s="168">
        <v>64537000</v>
      </c>
      <c r="M101" s="168">
        <f t="shared" si="11"/>
        <v>64537000</v>
      </c>
      <c r="N101" s="168"/>
      <c r="O101" s="167">
        <v>47221200</v>
      </c>
      <c r="P101" s="167">
        <f t="shared" si="12"/>
        <v>47221200</v>
      </c>
      <c r="Q101" s="167"/>
      <c r="S101" s="201">
        <f t="shared" si="13"/>
        <v>64.537000000000006</v>
      </c>
      <c r="T101" s="201">
        <f t="shared" si="8"/>
        <v>64.537000000000006</v>
      </c>
      <c r="U101" s="201">
        <f t="shared" si="8"/>
        <v>0</v>
      </c>
      <c r="V101" s="201">
        <f t="shared" si="8"/>
        <v>47.221200000000003</v>
      </c>
      <c r="W101" s="201">
        <f t="shared" si="8"/>
        <v>47.221200000000003</v>
      </c>
      <c r="X101" s="201">
        <f t="shared" si="8"/>
        <v>0</v>
      </c>
    </row>
    <row r="102" spans="1:24" s="169" customFormat="1" ht="13.8">
      <c r="A102" s="192"/>
      <c r="B102" s="170" t="s">
        <v>686</v>
      </c>
      <c r="C102" s="183" t="str">
        <f t="shared" si="9"/>
        <v/>
      </c>
      <c r="D102" s="182" t="str">
        <f t="shared" si="10"/>
        <v/>
      </c>
      <c r="E102" s="206"/>
      <c r="F102" s="207"/>
      <c r="G102" s="207"/>
      <c r="H102" s="205"/>
      <c r="I102" s="167">
        <v>554600000</v>
      </c>
      <c r="J102" s="166"/>
      <c r="K102" s="167">
        <v>470000000</v>
      </c>
      <c r="L102" s="168">
        <v>84600000</v>
      </c>
      <c r="M102" s="168">
        <f t="shared" si="11"/>
        <v>554600000</v>
      </c>
      <c r="N102" s="168"/>
      <c r="O102" s="167">
        <v>525784300</v>
      </c>
      <c r="P102" s="167">
        <f t="shared" si="12"/>
        <v>525784300</v>
      </c>
      <c r="Q102" s="167"/>
      <c r="S102" s="201">
        <f t="shared" si="13"/>
        <v>554.6</v>
      </c>
      <c r="T102" s="201">
        <f t="shared" si="8"/>
        <v>554.6</v>
      </c>
      <c r="U102" s="201">
        <f t="shared" si="8"/>
        <v>0</v>
      </c>
      <c r="V102" s="201">
        <f t="shared" si="8"/>
        <v>525.78430000000003</v>
      </c>
      <c r="W102" s="201">
        <f t="shared" si="8"/>
        <v>525.78430000000003</v>
      </c>
      <c r="X102" s="201">
        <f t="shared" si="8"/>
        <v>0</v>
      </c>
    </row>
    <row r="103" spans="1:24" s="169" customFormat="1" ht="13.8">
      <c r="A103" s="193"/>
      <c r="B103" s="187"/>
      <c r="C103" s="183" t="str">
        <f t="shared" si="9"/>
        <v/>
      </c>
      <c r="D103" s="182" t="str">
        <f t="shared" si="10"/>
        <v/>
      </c>
      <c r="E103" s="192" t="s">
        <v>681</v>
      </c>
      <c r="F103" s="192" t="s">
        <v>677</v>
      </c>
      <c r="G103" s="192" t="s">
        <v>718</v>
      </c>
      <c r="H103" s="210" t="s">
        <v>1440</v>
      </c>
      <c r="I103" s="167">
        <v>470000000</v>
      </c>
      <c r="J103" s="166"/>
      <c r="K103" s="167">
        <v>470000000</v>
      </c>
      <c r="L103" s="171"/>
      <c r="M103" s="168">
        <f t="shared" si="11"/>
        <v>470000000</v>
      </c>
      <c r="N103" s="171"/>
      <c r="O103" s="167">
        <v>458284300</v>
      </c>
      <c r="P103" s="167">
        <f t="shared" si="12"/>
        <v>458284300</v>
      </c>
      <c r="Q103" s="167"/>
      <c r="S103" s="201">
        <f t="shared" si="13"/>
        <v>470</v>
      </c>
      <c r="T103" s="201">
        <f t="shared" si="8"/>
        <v>470</v>
      </c>
      <c r="U103" s="201">
        <f t="shared" si="8"/>
        <v>0</v>
      </c>
      <c r="V103" s="201">
        <f t="shared" si="8"/>
        <v>458.28429999999997</v>
      </c>
      <c r="W103" s="201">
        <f t="shared" si="8"/>
        <v>458.28429999999997</v>
      </c>
      <c r="X103" s="201">
        <f t="shared" si="8"/>
        <v>0</v>
      </c>
    </row>
    <row r="104" spans="1:24" s="169" customFormat="1" ht="13.8">
      <c r="A104" s="195"/>
      <c r="B104" s="188"/>
      <c r="C104" s="183" t="str">
        <f t="shared" si="9"/>
        <v/>
      </c>
      <c r="D104" s="182" t="str">
        <f t="shared" si="10"/>
        <v/>
      </c>
      <c r="E104" s="192" t="s">
        <v>669</v>
      </c>
      <c r="F104" s="192" t="s">
        <v>677</v>
      </c>
      <c r="G104" s="192" t="s">
        <v>718</v>
      </c>
      <c r="H104" s="210" t="s">
        <v>1440</v>
      </c>
      <c r="I104" s="167">
        <v>84600000</v>
      </c>
      <c r="J104" s="166"/>
      <c r="K104" s="166"/>
      <c r="L104" s="168">
        <v>84600000</v>
      </c>
      <c r="M104" s="168">
        <f t="shared" si="11"/>
        <v>84600000</v>
      </c>
      <c r="N104" s="168"/>
      <c r="O104" s="167">
        <v>67500000</v>
      </c>
      <c r="P104" s="167">
        <f t="shared" si="12"/>
        <v>67500000</v>
      </c>
      <c r="Q104" s="167"/>
      <c r="S104" s="201">
        <f t="shared" si="13"/>
        <v>84.6</v>
      </c>
      <c r="T104" s="201">
        <f t="shared" si="8"/>
        <v>84.6</v>
      </c>
      <c r="U104" s="201">
        <f t="shared" si="8"/>
        <v>0</v>
      </c>
      <c r="V104" s="201">
        <f t="shared" si="8"/>
        <v>67.5</v>
      </c>
      <c r="W104" s="201">
        <f t="shared" si="8"/>
        <v>67.5</v>
      </c>
      <c r="X104" s="201">
        <f t="shared" si="8"/>
        <v>0</v>
      </c>
    </row>
    <row r="105" spans="1:24" s="169" customFormat="1" ht="26.4">
      <c r="A105" s="192" t="s">
        <v>719</v>
      </c>
      <c r="B105" s="165" t="s">
        <v>720</v>
      </c>
      <c r="C105" s="183" t="str">
        <f t="shared" si="9"/>
        <v>1012078</v>
      </c>
      <c r="D105" s="182" t="str">
        <f t="shared" si="10"/>
        <v>-Văn phòng ủy ban Nhân dân tỉnh</v>
      </c>
      <c r="E105" s="206"/>
      <c r="F105" s="207"/>
      <c r="G105" s="207"/>
      <c r="H105" s="205"/>
      <c r="I105" s="167">
        <v>17689258000</v>
      </c>
      <c r="J105" s="166"/>
      <c r="K105" s="167">
        <v>16584000000</v>
      </c>
      <c r="L105" s="168">
        <v>1105258000</v>
      </c>
      <c r="M105" s="168">
        <f t="shared" si="11"/>
        <v>17689258000</v>
      </c>
      <c r="N105" s="168"/>
      <c r="O105" s="167">
        <v>17148632375</v>
      </c>
      <c r="P105" s="167">
        <f t="shared" si="12"/>
        <v>17148632375</v>
      </c>
      <c r="Q105" s="167"/>
      <c r="S105" s="201">
        <f t="shared" si="13"/>
        <v>17689.258000000002</v>
      </c>
      <c r="T105" s="201">
        <f t="shared" si="8"/>
        <v>17689.258000000002</v>
      </c>
      <c r="U105" s="201">
        <f t="shared" si="8"/>
        <v>0</v>
      </c>
      <c r="V105" s="201">
        <f t="shared" si="8"/>
        <v>17148.632375000001</v>
      </c>
      <c r="W105" s="201">
        <f t="shared" si="8"/>
        <v>17148.632375000001</v>
      </c>
      <c r="X105" s="201">
        <f t="shared" si="8"/>
        <v>0</v>
      </c>
    </row>
    <row r="106" spans="1:24" s="169" customFormat="1" ht="13.8">
      <c r="A106" s="192" t="s">
        <v>721</v>
      </c>
      <c r="B106" s="170" t="s">
        <v>689</v>
      </c>
      <c r="C106" s="183" t="str">
        <f t="shared" si="9"/>
        <v/>
      </c>
      <c r="D106" s="182" t="str">
        <f t="shared" si="10"/>
        <v/>
      </c>
      <c r="E106" s="206"/>
      <c r="F106" s="207"/>
      <c r="G106" s="207"/>
      <c r="H106" s="205"/>
      <c r="I106" s="167">
        <v>17689258000</v>
      </c>
      <c r="J106" s="166"/>
      <c r="K106" s="167">
        <v>16584000000</v>
      </c>
      <c r="L106" s="168">
        <v>1105258000</v>
      </c>
      <c r="M106" s="168">
        <f t="shared" si="11"/>
        <v>17689258000</v>
      </c>
      <c r="N106" s="168"/>
      <c r="O106" s="167">
        <v>17148632375</v>
      </c>
      <c r="P106" s="167">
        <f t="shared" si="12"/>
        <v>17148632375</v>
      </c>
      <c r="Q106" s="167"/>
      <c r="S106" s="201">
        <f t="shared" si="13"/>
        <v>17689.258000000002</v>
      </c>
      <c r="T106" s="201">
        <f t="shared" si="8"/>
        <v>17689.258000000002</v>
      </c>
      <c r="U106" s="201">
        <f t="shared" si="8"/>
        <v>0</v>
      </c>
      <c r="V106" s="201">
        <f t="shared" si="8"/>
        <v>17148.632375000001</v>
      </c>
      <c r="W106" s="201">
        <f t="shared" si="8"/>
        <v>17148.632375000001</v>
      </c>
      <c r="X106" s="201">
        <f t="shared" si="8"/>
        <v>0</v>
      </c>
    </row>
    <row r="107" spans="1:24" s="169" customFormat="1" ht="13.8">
      <c r="A107" s="192"/>
      <c r="B107" s="170" t="s">
        <v>690</v>
      </c>
      <c r="C107" s="183" t="str">
        <f t="shared" si="9"/>
        <v/>
      </c>
      <c r="D107" s="182" t="str">
        <f t="shared" si="10"/>
        <v/>
      </c>
      <c r="E107" s="206"/>
      <c r="F107" s="207"/>
      <c r="G107" s="207"/>
      <c r="H107" s="205"/>
      <c r="I107" s="167">
        <v>8989590000</v>
      </c>
      <c r="J107" s="166"/>
      <c r="K107" s="167">
        <v>8376000000</v>
      </c>
      <c r="L107" s="168">
        <v>613590000</v>
      </c>
      <c r="M107" s="168">
        <f t="shared" si="11"/>
        <v>8989590000</v>
      </c>
      <c r="N107" s="168"/>
      <c r="O107" s="167">
        <v>8989590000</v>
      </c>
      <c r="P107" s="167">
        <f t="shared" si="12"/>
        <v>8989590000</v>
      </c>
      <c r="Q107" s="167"/>
      <c r="S107" s="201">
        <f t="shared" si="13"/>
        <v>8989.59</v>
      </c>
      <c r="T107" s="201">
        <f t="shared" si="8"/>
        <v>8989.59</v>
      </c>
      <c r="U107" s="201">
        <f t="shared" si="8"/>
        <v>0</v>
      </c>
      <c r="V107" s="201">
        <f t="shared" si="8"/>
        <v>8989.59</v>
      </c>
      <c r="W107" s="201">
        <f t="shared" si="8"/>
        <v>8989.59</v>
      </c>
      <c r="X107" s="201">
        <f t="shared" si="8"/>
        <v>0</v>
      </c>
    </row>
    <row r="108" spans="1:24" s="169" customFormat="1" ht="13.8">
      <c r="A108" s="193"/>
      <c r="B108" s="187"/>
      <c r="C108" s="183" t="str">
        <f t="shared" si="9"/>
        <v/>
      </c>
      <c r="D108" s="182" t="str">
        <f t="shared" si="10"/>
        <v/>
      </c>
      <c r="E108" s="192" t="s">
        <v>666</v>
      </c>
      <c r="F108" s="192" t="s">
        <v>722</v>
      </c>
      <c r="G108" s="192" t="s">
        <v>695</v>
      </c>
      <c r="H108" s="210" t="s">
        <v>1440</v>
      </c>
      <c r="I108" s="167">
        <v>8783490000</v>
      </c>
      <c r="J108" s="166"/>
      <c r="K108" s="167">
        <v>8376000000</v>
      </c>
      <c r="L108" s="168">
        <v>407490000</v>
      </c>
      <c r="M108" s="168">
        <f t="shared" si="11"/>
        <v>8783490000</v>
      </c>
      <c r="N108" s="168"/>
      <c r="O108" s="167">
        <v>8783490000</v>
      </c>
      <c r="P108" s="167">
        <f t="shared" si="12"/>
        <v>8783490000</v>
      </c>
      <c r="Q108" s="167"/>
      <c r="S108" s="201">
        <f t="shared" si="13"/>
        <v>8783.49</v>
      </c>
      <c r="T108" s="201">
        <f t="shared" si="8"/>
        <v>8783.49</v>
      </c>
      <c r="U108" s="201">
        <f t="shared" si="8"/>
        <v>0</v>
      </c>
      <c r="V108" s="201">
        <f t="shared" si="8"/>
        <v>8783.49</v>
      </c>
      <c r="W108" s="201">
        <f t="shared" si="8"/>
        <v>8783.49</v>
      </c>
      <c r="X108" s="201">
        <f t="shared" si="8"/>
        <v>0</v>
      </c>
    </row>
    <row r="109" spans="1:24" s="169" customFormat="1" ht="13.8">
      <c r="A109" s="195"/>
      <c r="B109" s="188"/>
      <c r="C109" s="183" t="str">
        <f t="shared" si="9"/>
        <v/>
      </c>
      <c r="D109" s="182" t="str">
        <f t="shared" si="10"/>
        <v/>
      </c>
      <c r="E109" s="192" t="s">
        <v>679</v>
      </c>
      <c r="F109" s="192" t="s">
        <v>722</v>
      </c>
      <c r="G109" s="192" t="s">
        <v>695</v>
      </c>
      <c r="H109" s="210" t="s">
        <v>1440</v>
      </c>
      <c r="I109" s="167">
        <v>206100000</v>
      </c>
      <c r="J109" s="166"/>
      <c r="K109" s="166"/>
      <c r="L109" s="168">
        <v>206100000</v>
      </c>
      <c r="M109" s="168">
        <f t="shared" si="11"/>
        <v>206100000</v>
      </c>
      <c r="N109" s="168"/>
      <c r="O109" s="167">
        <v>206100000</v>
      </c>
      <c r="P109" s="167">
        <f t="shared" si="12"/>
        <v>206100000</v>
      </c>
      <c r="Q109" s="167"/>
      <c r="S109" s="201">
        <f t="shared" si="13"/>
        <v>206.1</v>
      </c>
      <c r="T109" s="201">
        <f t="shared" si="8"/>
        <v>206.1</v>
      </c>
      <c r="U109" s="201">
        <f t="shared" si="8"/>
        <v>0</v>
      </c>
      <c r="V109" s="201">
        <f t="shared" si="8"/>
        <v>206.1</v>
      </c>
      <c r="W109" s="201">
        <f t="shared" si="8"/>
        <v>206.1</v>
      </c>
      <c r="X109" s="201">
        <f t="shared" si="8"/>
        <v>0</v>
      </c>
    </row>
    <row r="110" spans="1:24" s="169" customFormat="1" ht="13.8">
      <c r="A110" s="192"/>
      <c r="B110" s="170" t="s">
        <v>686</v>
      </c>
      <c r="C110" s="183" t="str">
        <f t="shared" si="9"/>
        <v/>
      </c>
      <c r="D110" s="182" t="str">
        <f t="shared" si="10"/>
        <v/>
      </c>
      <c r="E110" s="206"/>
      <c r="F110" s="207"/>
      <c r="G110" s="207"/>
      <c r="H110" s="205"/>
      <c r="I110" s="167">
        <v>8699668000</v>
      </c>
      <c r="J110" s="166"/>
      <c r="K110" s="167">
        <v>8208000000</v>
      </c>
      <c r="L110" s="168">
        <v>491668000</v>
      </c>
      <c r="M110" s="168">
        <f t="shared" si="11"/>
        <v>8699668000</v>
      </c>
      <c r="N110" s="168"/>
      <c r="O110" s="167">
        <v>8159042375</v>
      </c>
      <c r="P110" s="167">
        <f t="shared" si="12"/>
        <v>8159042375</v>
      </c>
      <c r="Q110" s="167"/>
      <c r="S110" s="201">
        <f t="shared" si="13"/>
        <v>8699.6679999999997</v>
      </c>
      <c r="T110" s="201">
        <f t="shared" si="8"/>
        <v>8699.6679999999997</v>
      </c>
      <c r="U110" s="201">
        <f t="shared" si="8"/>
        <v>0</v>
      </c>
      <c r="V110" s="201">
        <f t="shared" si="8"/>
        <v>8159.042375</v>
      </c>
      <c r="W110" s="201">
        <f t="shared" si="8"/>
        <v>8159.042375</v>
      </c>
      <c r="X110" s="201">
        <f t="shared" si="8"/>
        <v>0</v>
      </c>
    </row>
    <row r="111" spans="1:24" s="169" customFormat="1" ht="13.8">
      <c r="A111" s="193"/>
      <c r="B111" s="187"/>
      <c r="C111" s="183" t="str">
        <f t="shared" si="9"/>
        <v/>
      </c>
      <c r="D111" s="182" t="str">
        <f t="shared" si="10"/>
        <v/>
      </c>
      <c r="E111" s="192" t="s">
        <v>681</v>
      </c>
      <c r="F111" s="192" t="s">
        <v>722</v>
      </c>
      <c r="G111" s="192" t="s">
        <v>695</v>
      </c>
      <c r="H111" s="210" t="s">
        <v>1440</v>
      </c>
      <c r="I111" s="167">
        <v>8586000000</v>
      </c>
      <c r="J111" s="166"/>
      <c r="K111" s="167">
        <v>8208000000</v>
      </c>
      <c r="L111" s="168">
        <v>378000000</v>
      </c>
      <c r="M111" s="168">
        <f t="shared" si="11"/>
        <v>8586000000</v>
      </c>
      <c r="N111" s="168"/>
      <c r="O111" s="167">
        <v>8045374375</v>
      </c>
      <c r="P111" s="167">
        <f t="shared" si="12"/>
        <v>8045374375</v>
      </c>
      <c r="Q111" s="167"/>
      <c r="S111" s="201">
        <f t="shared" si="13"/>
        <v>8586</v>
      </c>
      <c r="T111" s="201">
        <f t="shared" si="8"/>
        <v>8586</v>
      </c>
      <c r="U111" s="201">
        <f t="shared" si="8"/>
        <v>0</v>
      </c>
      <c r="V111" s="201">
        <f t="shared" si="8"/>
        <v>8045.3743750000003</v>
      </c>
      <c r="W111" s="201">
        <f t="shared" si="8"/>
        <v>8045.3743750000003</v>
      </c>
      <c r="X111" s="201">
        <f t="shared" si="8"/>
        <v>0</v>
      </c>
    </row>
    <row r="112" spans="1:24" s="169" customFormat="1" ht="13.8">
      <c r="A112" s="195"/>
      <c r="B112" s="188"/>
      <c r="C112" s="183" t="str">
        <f t="shared" si="9"/>
        <v/>
      </c>
      <c r="D112" s="182" t="str">
        <f t="shared" si="10"/>
        <v/>
      </c>
      <c r="E112" s="192" t="s">
        <v>667</v>
      </c>
      <c r="F112" s="192" t="s">
        <v>722</v>
      </c>
      <c r="G112" s="192" t="s">
        <v>695</v>
      </c>
      <c r="H112" s="210" t="s">
        <v>1440</v>
      </c>
      <c r="I112" s="167">
        <v>113668000</v>
      </c>
      <c r="J112" s="166"/>
      <c r="K112" s="166"/>
      <c r="L112" s="168">
        <v>113668000</v>
      </c>
      <c r="M112" s="168">
        <f t="shared" si="11"/>
        <v>113668000</v>
      </c>
      <c r="N112" s="168"/>
      <c r="O112" s="167">
        <v>113668000</v>
      </c>
      <c r="P112" s="167">
        <f t="shared" si="12"/>
        <v>113668000</v>
      </c>
      <c r="Q112" s="167"/>
      <c r="S112" s="201">
        <f t="shared" si="13"/>
        <v>113.66800000000001</v>
      </c>
      <c r="T112" s="201">
        <f t="shared" si="8"/>
        <v>113.66800000000001</v>
      </c>
      <c r="U112" s="201">
        <f t="shared" si="8"/>
        <v>0</v>
      </c>
      <c r="V112" s="201">
        <f t="shared" si="8"/>
        <v>113.66800000000001</v>
      </c>
      <c r="W112" s="201">
        <f t="shared" si="8"/>
        <v>113.66800000000001</v>
      </c>
      <c r="X112" s="201">
        <f t="shared" si="8"/>
        <v>0</v>
      </c>
    </row>
    <row r="113" spans="1:24" s="169" customFormat="1" ht="26.4">
      <c r="A113" s="192" t="s">
        <v>681</v>
      </c>
      <c r="B113" s="165" t="s">
        <v>723</v>
      </c>
      <c r="C113" s="183" t="str">
        <f t="shared" si="9"/>
        <v>1012444</v>
      </c>
      <c r="D113" s="182" t="str">
        <f t="shared" si="10"/>
        <v>-Văn phòng Hội đồng Nhân dân tỉnh Kontum</v>
      </c>
      <c r="E113" s="206"/>
      <c r="F113" s="207"/>
      <c r="G113" s="207"/>
      <c r="H113" s="205"/>
      <c r="I113" s="167">
        <v>6363445518</v>
      </c>
      <c r="J113" s="167">
        <v>69785318</v>
      </c>
      <c r="K113" s="167">
        <v>5759000000</v>
      </c>
      <c r="L113" s="168">
        <v>534660200</v>
      </c>
      <c r="M113" s="168">
        <f t="shared" si="11"/>
        <v>6363445518</v>
      </c>
      <c r="N113" s="168"/>
      <c r="O113" s="167">
        <v>6294910105</v>
      </c>
      <c r="P113" s="167">
        <f t="shared" si="12"/>
        <v>6294910105</v>
      </c>
      <c r="Q113" s="167"/>
      <c r="S113" s="201">
        <f t="shared" si="13"/>
        <v>6363.4455180000004</v>
      </c>
      <c r="T113" s="201">
        <f t="shared" si="8"/>
        <v>6363.4455180000004</v>
      </c>
      <c r="U113" s="201">
        <f t="shared" si="8"/>
        <v>0</v>
      </c>
      <c r="V113" s="201">
        <f t="shared" si="8"/>
        <v>6294.9101049999999</v>
      </c>
      <c r="W113" s="201">
        <f t="shared" si="8"/>
        <v>6294.9101049999999</v>
      </c>
      <c r="X113" s="201">
        <f t="shared" si="8"/>
        <v>0</v>
      </c>
    </row>
    <row r="114" spans="1:24" s="169" customFormat="1" ht="13.8">
      <c r="A114" s="192" t="s">
        <v>724</v>
      </c>
      <c r="B114" s="170" t="s">
        <v>689</v>
      </c>
      <c r="C114" s="183" t="str">
        <f t="shared" si="9"/>
        <v/>
      </c>
      <c r="D114" s="182" t="str">
        <f t="shared" si="10"/>
        <v/>
      </c>
      <c r="E114" s="206"/>
      <c r="F114" s="207"/>
      <c r="G114" s="207"/>
      <c r="H114" s="205"/>
      <c r="I114" s="167">
        <v>6363445518</v>
      </c>
      <c r="J114" s="167">
        <v>69785318</v>
      </c>
      <c r="K114" s="167">
        <v>5759000000</v>
      </c>
      <c r="L114" s="168">
        <v>534660200</v>
      </c>
      <c r="M114" s="168">
        <f t="shared" si="11"/>
        <v>6363445518</v>
      </c>
      <c r="N114" s="168"/>
      <c r="O114" s="167">
        <v>6294910105</v>
      </c>
      <c r="P114" s="167">
        <f t="shared" si="12"/>
        <v>6294910105</v>
      </c>
      <c r="Q114" s="167"/>
      <c r="S114" s="201">
        <f t="shared" si="13"/>
        <v>6363.4455180000004</v>
      </c>
      <c r="T114" s="201">
        <f t="shared" si="8"/>
        <v>6363.4455180000004</v>
      </c>
      <c r="U114" s="201">
        <f t="shared" si="8"/>
        <v>0</v>
      </c>
      <c r="V114" s="201">
        <f t="shared" si="8"/>
        <v>6294.9101049999999</v>
      </c>
      <c r="W114" s="201">
        <f t="shared" si="8"/>
        <v>6294.9101049999999</v>
      </c>
      <c r="X114" s="201">
        <f t="shared" si="8"/>
        <v>0</v>
      </c>
    </row>
    <row r="115" spans="1:24" s="169" customFormat="1" ht="13.8">
      <c r="A115" s="192"/>
      <c r="B115" s="170" t="s">
        <v>690</v>
      </c>
      <c r="C115" s="183" t="str">
        <f t="shared" si="9"/>
        <v/>
      </c>
      <c r="D115" s="182" t="str">
        <f t="shared" si="10"/>
        <v/>
      </c>
      <c r="E115" s="206"/>
      <c r="F115" s="207"/>
      <c r="G115" s="207"/>
      <c r="H115" s="205"/>
      <c r="I115" s="167">
        <v>5543324518</v>
      </c>
      <c r="J115" s="167">
        <v>69785318</v>
      </c>
      <c r="K115" s="167">
        <v>5264000000</v>
      </c>
      <c r="L115" s="168">
        <v>209539200</v>
      </c>
      <c r="M115" s="168">
        <f t="shared" si="11"/>
        <v>5543324518</v>
      </c>
      <c r="N115" s="168"/>
      <c r="O115" s="167">
        <v>5474966805</v>
      </c>
      <c r="P115" s="167">
        <f t="shared" si="12"/>
        <v>5474966805</v>
      </c>
      <c r="Q115" s="167"/>
      <c r="S115" s="201">
        <f t="shared" si="13"/>
        <v>5543.3245180000004</v>
      </c>
      <c r="T115" s="201">
        <f t="shared" si="8"/>
        <v>5543.3245180000004</v>
      </c>
      <c r="U115" s="201">
        <f t="shared" si="8"/>
        <v>0</v>
      </c>
      <c r="V115" s="201">
        <f t="shared" si="8"/>
        <v>5474.966805</v>
      </c>
      <c r="W115" s="201">
        <f t="shared" si="8"/>
        <v>5474.966805</v>
      </c>
      <c r="X115" s="201">
        <f t="shared" si="8"/>
        <v>0</v>
      </c>
    </row>
    <row r="116" spans="1:24" s="169" customFormat="1" ht="13.8">
      <c r="A116" s="193"/>
      <c r="B116" s="187"/>
      <c r="C116" s="183" t="str">
        <f t="shared" si="9"/>
        <v/>
      </c>
      <c r="D116" s="182" t="str">
        <f t="shared" si="10"/>
        <v/>
      </c>
      <c r="E116" s="192" t="s">
        <v>666</v>
      </c>
      <c r="F116" s="192" t="s">
        <v>694</v>
      </c>
      <c r="G116" s="192" t="s">
        <v>695</v>
      </c>
      <c r="H116" s="210" t="s">
        <v>1440</v>
      </c>
      <c r="I116" s="167">
        <v>5415324518</v>
      </c>
      <c r="J116" s="167">
        <v>69785318</v>
      </c>
      <c r="K116" s="167">
        <v>5264000000</v>
      </c>
      <c r="L116" s="168">
        <v>81539200</v>
      </c>
      <c r="M116" s="168">
        <f t="shared" si="11"/>
        <v>5415324518</v>
      </c>
      <c r="N116" s="168"/>
      <c r="O116" s="167">
        <v>5346966805</v>
      </c>
      <c r="P116" s="167">
        <f t="shared" si="12"/>
        <v>5346966805</v>
      </c>
      <c r="Q116" s="167"/>
      <c r="S116" s="201">
        <f t="shared" si="13"/>
        <v>5415.3245180000004</v>
      </c>
      <c r="T116" s="201">
        <f t="shared" si="8"/>
        <v>5415.3245180000004</v>
      </c>
      <c r="U116" s="201">
        <f t="shared" si="8"/>
        <v>0</v>
      </c>
      <c r="V116" s="201">
        <f t="shared" si="8"/>
        <v>5346.966805</v>
      </c>
      <c r="W116" s="201">
        <f t="shared" si="8"/>
        <v>5346.966805</v>
      </c>
      <c r="X116" s="201">
        <f t="shared" si="8"/>
        <v>0</v>
      </c>
    </row>
    <row r="117" spans="1:24" s="169" customFormat="1" ht="13.8">
      <c r="A117" s="195"/>
      <c r="B117" s="188"/>
      <c r="C117" s="183" t="str">
        <f t="shared" si="9"/>
        <v/>
      </c>
      <c r="D117" s="182" t="str">
        <f t="shared" si="10"/>
        <v/>
      </c>
      <c r="E117" s="192" t="s">
        <v>679</v>
      </c>
      <c r="F117" s="192" t="s">
        <v>694</v>
      </c>
      <c r="G117" s="192" t="s">
        <v>695</v>
      </c>
      <c r="H117" s="210" t="s">
        <v>1440</v>
      </c>
      <c r="I117" s="167">
        <v>128000000</v>
      </c>
      <c r="J117" s="166"/>
      <c r="K117" s="166"/>
      <c r="L117" s="168">
        <v>128000000</v>
      </c>
      <c r="M117" s="168">
        <f t="shared" si="11"/>
        <v>128000000</v>
      </c>
      <c r="N117" s="168"/>
      <c r="O117" s="167">
        <v>128000000</v>
      </c>
      <c r="P117" s="167">
        <f t="shared" si="12"/>
        <v>128000000</v>
      </c>
      <c r="Q117" s="167"/>
      <c r="S117" s="201">
        <f t="shared" si="13"/>
        <v>128</v>
      </c>
      <c r="T117" s="201">
        <f t="shared" si="8"/>
        <v>128</v>
      </c>
      <c r="U117" s="201">
        <f t="shared" si="8"/>
        <v>0</v>
      </c>
      <c r="V117" s="201">
        <f t="shared" si="8"/>
        <v>128</v>
      </c>
      <c r="W117" s="201">
        <f t="shared" si="8"/>
        <v>128</v>
      </c>
      <c r="X117" s="201">
        <f t="shared" si="8"/>
        <v>0</v>
      </c>
    </row>
    <row r="118" spans="1:24" s="169" customFormat="1" ht="13.8">
      <c r="A118" s="192"/>
      <c r="B118" s="170" t="s">
        <v>686</v>
      </c>
      <c r="C118" s="183" t="str">
        <f t="shared" si="9"/>
        <v/>
      </c>
      <c r="D118" s="182" t="str">
        <f t="shared" si="10"/>
        <v/>
      </c>
      <c r="E118" s="206"/>
      <c r="F118" s="207"/>
      <c r="G118" s="207"/>
      <c r="H118" s="205"/>
      <c r="I118" s="167">
        <v>820121000</v>
      </c>
      <c r="J118" s="166"/>
      <c r="K118" s="167">
        <v>495000000</v>
      </c>
      <c r="L118" s="168">
        <v>325121000</v>
      </c>
      <c r="M118" s="168">
        <f t="shared" si="11"/>
        <v>820121000</v>
      </c>
      <c r="N118" s="168"/>
      <c r="O118" s="167">
        <v>819943300</v>
      </c>
      <c r="P118" s="167">
        <f t="shared" si="12"/>
        <v>819943300</v>
      </c>
      <c r="Q118" s="167"/>
      <c r="S118" s="201">
        <f t="shared" si="13"/>
        <v>820.12099999999998</v>
      </c>
      <c r="T118" s="201">
        <f t="shared" si="8"/>
        <v>820.12099999999998</v>
      </c>
      <c r="U118" s="201">
        <f t="shared" si="8"/>
        <v>0</v>
      </c>
      <c r="V118" s="201">
        <f t="shared" si="8"/>
        <v>819.94330000000002</v>
      </c>
      <c r="W118" s="201">
        <f t="shared" si="8"/>
        <v>819.94330000000002</v>
      </c>
      <c r="X118" s="201">
        <f t="shared" si="8"/>
        <v>0</v>
      </c>
    </row>
    <row r="119" spans="1:24" s="169" customFormat="1" ht="13.8">
      <c r="A119" s="192"/>
      <c r="B119" s="164"/>
      <c r="C119" s="183" t="str">
        <f t="shared" si="9"/>
        <v/>
      </c>
      <c r="D119" s="182" t="str">
        <f t="shared" si="10"/>
        <v/>
      </c>
      <c r="E119" s="192" t="s">
        <v>681</v>
      </c>
      <c r="F119" s="192" t="s">
        <v>694</v>
      </c>
      <c r="G119" s="192" t="s">
        <v>695</v>
      </c>
      <c r="H119" s="210" t="s">
        <v>1440</v>
      </c>
      <c r="I119" s="167">
        <v>820121000</v>
      </c>
      <c r="J119" s="166"/>
      <c r="K119" s="167">
        <v>495000000</v>
      </c>
      <c r="L119" s="168">
        <v>325121000</v>
      </c>
      <c r="M119" s="168">
        <f t="shared" si="11"/>
        <v>820121000</v>
      </c>
      <c r="N119" s="168"/>
      <c r="O119" s="167">
        <v>819943300</v>
      </c>
      <c r="P119" s="167">
        <f t="shared" si="12"/>
        <v>819943300</v>
      </c>
      <c r="Q119" s="167"/>
      <c r="S119" s="201">
        <f t="shared" si="13"/>
        <v>820.12099999999998</v>
      </c>
      <c r="T119" s="201">
        <f t="shared" si="8"/>
        <v>820.12099999999998</v>
      </c>
      <c r="U119" s="201">
        <f t="shared" si="8"/>
        <v>0</v>
      </c>
      <c r="V119" s="201">
        <f t="shared" si="8"/>
        <v>819.94330000000002</v>
      </c>
      <c r="W119" s="201">
        <f t="shared" si="8"/>
        <v>819.94330000000002</v>
      </c>
      <c r="X119" s="201">
        <f t="shared" si="8"/>
        <v>0</v>
      </c>
    </row>
    <row r="120" spans="1:24" s="169" customFormat="1" ht="26.4">
      <c r="A120" s="192" t="s">
        <v>666</v>
      </c>
      <c r="B120" s="165" t="s">
        <v>725</v>
      </c>
      <c r="C120" s="183" t="str">
        <f t="shared" si="9"/>
        <v>1014914</v>
      </c>
      <c r="D120" s="182" t="str">
        <f t="shared" si="10"/>
        <v>-Trung tâm Khuyẽn nông tỉnh Kontum</v>
      </c>
      <c r="E120" s="206"/>
      <c r="F120" s="207"/>
      <c r="G120" s="207"/>
      <c r="H120" s="205"/>
      <c r="I120" s="167">
        <v>12521100000</v>
      </c>
      <c r="J120" s="167">
        <v>540000000</v>
      </c>
      <c r="K120" s="167">
        <v>11788000000</v>
      </c>
      <c r="L120" s="168">
        <v>193100000</v>
      </c>
      <c r="M120" s="168">
        <f t="shared" si="11"/>
        <v>12521100000</v>
      </c>
      <c r="N120" s="168"/>
      <c r="O120" s="167">
        <v>11900946662</v>
      </c>
      <c r="P120" s="167">
        <f t="shared" si="12"/>
        <v>11900946662</v>
      </c>
      <c r="Q120" s="167"/>
      <c r="S120" s="201">
        <f t="shared" si="13"/>
        <v>12521.1</v>
      </c>
      <c r="T120" s="201">
        <f t="shared" si="8"/>
        <v>12521.1</v>
      </c>
      <c r="U120" s="201">
        <f t="shared" si="8"/>
        <v>0</v>
      </c>
      <c r="V120" s="201">
        <f t="shared" si="8"/>
        <v>11900.946662</v>
      </c>
      <c r="W120" s="201">
        <f t="shared" si="8"/>
        <v>11900.946662</v>
      </c>
      <c r="X120" s="201">
        <f t="shared" si="8"/>
        <v>0</v>
      </c>
    </row>
    <row r="121" spans="1:24" s="169" customFormat="1" ht="13.8">
      <c r="A121" s="192" t="s">
        <v>726</v>
      </c>
      <c r="B121" s="170" t="s">
        <v>689</v>
      </c>
      <c r="C121" s="183" t="str">
        <f t="shared" si="9"/>
        <v/>
      </c>
      <c r="D121" s="182" t="str">
        <f t="shared" si="10"/>
        <v/>
      </c>
      <c r="E121" s="206"/>
      <c r="F121" s="207"/>
      <c r="G121" s="207"/>
      <c r="H121" s="205"/>
      <c r="I121" s="167">
        <v>12521100000</v>
      </c>
      <c r="J121" s="167">
        <v>540000000</v>
      </c>
      <c r="K121" s="167">
        <v>11788000000</v>
      </c>
      <c r="L121" s="168">
        <v>193100000</v>
      </c>
      <c r="M121" s="168">
        <f t="shared" si="11"/>
        <v>12521100000</v>
      </c>
      <c r="N121" s="168"/>
      <c r="O121" s="167">
        <v>11900946662</v>
      </c>
      <c r="P121" s="167">
        <f t="shared" si="12"/>
        <v>11900946662</v>
      </c>
      <c r="Q121" s="167"/>
      <c r="S121" s="201">
        <f t="shared" si="13"/>
        <v>12521.1</v>
      </c>
      <c r="T121" s="201">
        <f t="shared" si="8"/>
        <v>12521.1</v>
      </c>
      <c r="U121" s="201">
        <f t="shared" si="8"/>
        <v>0</v>
      </c>
      <c r="V121" s="201">
        <f t="shared" si="8"/>
        <v>11900.946662</v>
      </c>
      <c r="W121" s="201">
        <f t="shared" si="8"/>
        <v>11900.946662</v>
      </c>
      <c r="X121" s="201">
        <f t="shared" si="8"/>
        <v>0</v>
      </c>
    </row>
    <row r="122" spans="1:24" s="169" customFormat="1" ht="13.8">
      <c r="A122" s="192"/>
      <c r="B122" s="170" t="s">
        <v>690</v>
      </c>
      <c r="C122" s="183" t="str">
        <f t="shared" si="9"/>
        <v/>
      </c>
      <c r="D122" s="182" t="str">
        <f t="shared" si="10"/>
        <v/>
      </c>
      <c r="E122" s="206"/>
      <c r="F122" s="207"/>
      <c r="G122" s="207"/>
      <c r="H122" s="205"/>
      <c r="I122" s="167">
        <v>1375100000</v>
      </c>
      <c r="J122" s="166"/>
      <c r="K122" s="167">
        <v>1337000000</v>
      </c>
      <c r="L122" s="168">
        <v>38100000</v>
      </c>
      <c r="M122" s="168">
        <f t="shared" si="11"/>
        <v>1375100000</v>
      </c>
      <c r="N122" s="168"/>
      <c r="O122" s="167">
        <v>1375100000</v>
      </c>
      <c r="P122" s="167">
        <f t="shared" si="12"/>
        <v>1375100000</v>
      </c>
      <c r="Q122" s="167"/>
      <c r="S122" s="201">
        <f t="shared" si="13"/>
        <v>1375.1</v>
      </c>
      <c r="T122" s="201">
        <f t="shared" si="8"/>
        <v>1375.1</v>
      </c>
      <c r="U122" s="201">
        <f t="shared" si="8"/>
        <v>0</v>
      </c>
      <c r="V122" s="201">
        <f t="shared" si="8"/>
        <v>1375.1</v>
      </c>
      <c r="W122" s="201">
        <f t="shared" si="8"/>
        <v>1375.1</v>
      </c>
      <c r="X122" s="201">
        <f t="shared" si="8"/>
        <v>0</v>
      </c>
    </row>
    <row r="123" spans="1:24" s="169" customFormat="1" ht="13.8">
      <c r="A123" s="193"/>
      <c r="B123" s="187"/>
      <c r="C123" s="183" t="str">
        <f t="shared" si="9"/>
        <v/>
      </c>
      <c r="D123" s="182" t="str">
        <f t="shared" si="10"/>
        <v/>
      </c>
      <c r="E123" s="192" t="s">
        <v>666</v>
      </c>
      <c r="F123" s="192" t="s">
        <v>698</v>
      </c>
      <c r="G123" s="192" t="s">
        <v>727</v>
      </c>
      <c r="H123" s="210" t="s">
        <v>1440</v>
      </c>
      <c r="I123" s="167">
        <v>1337000000</v>
      </c>
      <c r="J123" s="166"/>
      <c r="K123" s="167">
        <v>1337000000</v>
      </c>
      <c r="L123" s="171"/>
      <c r="M123" s="168">
        <f t="shared" si="11"/>
        <v>1337000000</v>
      </c>
      <c r="N123" s="171"/>
      <c r="O123" s="167">
        <v>1337000000</v>
      </c>
      <c r="P123" s="167">
        <f t="shared" si="12"/>
        <v>1337000000</v>
      </c>
      <c r="Q123" s="167"/>
      <c r="S123" s="201">
        <f t="shared" si="13"/>
        <v>1337</v>
      </c>
      <c r="T123" s="201">
        <f t="shared" si="8"/>
        <v>1337</v>
      </c>
      <c r="U123" s="201">
        <f t="shared" si="8"/>
        <v>0</v>
      </c>
      <c r="V123" s="201">
        <f t="shared" si="8"/>
        <v>1337</v>
      </c>
      <c r="W123" s="201">
        <f t="shared" si="8"/>
        <v>1337</v>
      </c>
      <c r="X123" s="201">
        <f t="shared" si="8"/>
        <v>0</v>
      </c>
    </row>
    <row r="124" spans="1:24" s="169" customFormat="1" ht="13.8">
      <c r="A124" s="195"/>
      <c r="B124" s="188"/>
      <c r="C124" s="183" t="str">
        <f t="shared" si="9"/>
        <v/>
      </c>
      <c r="D124" s="182" t="str">
        <f t="shared" si="10"/>
        <v/>
      </c>
      <c r="E124" s="192" t="s">
        <v>679</v>
      </c>
      <c r="F124" s="192" t="s">
        <v>698</v>
      </c>
      <c r="G124" s="192" t="s">
        <v>727</v>
      </c>
      <c r="H124" s="210" t="s">
        <v>1440</v>
      </c>
      <c r="I124" s="167">
        <v>38100000</v>
      </c>
      <c r="J124" s="166"/>
      <c r="K124" s="166"/>
      <c r="L124" s="168">
        <v>38100000</v>
      </c>
      <c r="M124" s="168">
        <f t="shared" si="11"/>
        <v>38100000</v>
      </c>
      <c r="N124" s="168"/>
      <c r="O124" s="167">
        <v>38100000</v>
      </c>
      <c r="P124" s="167">
        <f t="shared" si="12"/>
        <v>38100000</v>
      </c>
      <c r="Q124" s="167"/>
      <c r="S124" s="201">
        <f t="shared" si="13"/>
        <v>38.1</v>
      </c>
      <c r="T124" s="201">
        <f t="shared" si="8"/>
        <v>38.1</v>
      </c>
      <c r="U124" s="201">
        <f t="shared" si="8"/>
        <v>0</v>
      </c>
      <c r="V124" s="201">
        <f t="shared" si="8"/>
        <v>38.1</v>
      </c>
      <c r="W124" s="201">
        <f t="shared" si="8"/>
        <v>38.1</v>
      </c>
      <c r="X124" s="201">
        <f t="shared" si="8"/>
        <v>0</v>
      </c>
    </row>
    <row r="125" spans="1:24" s="169" customFormat="1" ht="13.8">
      <c r="A125" s="192"/>
      <c r="B125" s="170" t="s">
        <v>686</v>
      </c>
      <c r="C125" s="183" t="str">
        <f t="shared" si="9"/>
        <v/>
      </c>
      <c r="D125" s="182" t="str">
        <f t="shared" si="10"/>
        <v/>
      </c>
      <c r="E125" s="206"/>
      <c r="F125" s="207"/>
      <c r="G125" s="207"/>
      <c r="H125" s="205"/>
      <c r="I125" s="167">
        <v>11146000000</v>
      </c>
      <c r="J125" s="167">
        <v>540000000</v>
      </c>
      <c r="K125" s="167">
        <v>10451000000</v>
      </c>
      <c r="L125" s="168">
        <v>155000000</v>
      </c>
      <c r="M125" s="168">
        <f t="shared" si="11"/>
        <v>11146000000</v>
      </c>
      <c r="N125" s="168"/>
      <c r="O125" s="167">
        <v>10525846662</v>
      </c>
      <c r="P125" s="167">
        <f t="shared" si="12"/>
        <v>10525846662</v>
      </c>
      <c r="Q125" s="167"/>
      <c r="S125" s="201">
        <f t="shared" si="13"/>
        <v>11146</v>
      </c>
      <c r="T125" s="201">
        <f t="shared" si="8"/>
        <v>11146</v>
      </c>
      <c r="U125" s="201">
        <f t="shared" si="8"/>
        <v>0</v>
      </c>
      <c r="V125" s="201">
        <f t="shared" si="8"/>
        <v>10525.846662</v>
      </c>
      <c r="W125" s="201">
        <f t="shared" si="8"/>
        <v>10525.846662</v>
      </c>
      <c r="X125" s="201">
        <f t="shared" si="8"/>
        <v>0</v>
      </c>
    </row>
    <row r="126" spans="1:24" s="169" customFormat="1" ht="13.8">
      <c r="A126" s="192"/>
      <c r="B126" s="164"/>
      <c r="C126" s="183" t="str">
        <f t="shared" si="9"/>
        <v/>
      </c>
      <c r="D126" s="182" t="str">
        <f t="shared" si="10"/>
        <v/>
      </c>
      <c r="E126" s="192" t="s">
        <v>681</v>
      </c>
      <c r="F126" s="192" t="s">
        <v>698</v>
      </c>
      <c r="G126" s="192" t="s">
        <v>727</v>
      </c>
      <c r="H126" s="210" t="s">
        <v>1440</v>
      </c>
      <c r="I126" s="167">
        <v>11146000000</v>
      </c>
      <c r="J126" s="167">
        <v>540000000</v>
      </c>
      <c r="K126" s="167">
        <v>10451000000</v>
      </c>
      <c r="L126" s="168">
        <v>155000000</v>
      </c>
      <c r="M126" s="168">
        <f t="shared" si="11"/>
        <v>11146000000</v>
      </c>
      <c r="N126" s="168"/>
      <c r="O126" s="167">
        <v>10525846662</v>
      </c>
      <c r="P126" s="167">
        <f t="shared" si="12"/>
        <v>10525846662</v>
      </c>
      <c r="Q126" s="167"/>
      <c r="S126" s="201">
        <f t="shared" si="13"/>
        <v>11146</v>
      </c>
      <c r="T126" s="201">
        <f t="shared" si="8"/>
        <v>11146</v>
      </c>
      <c r="U126" s="201">
        <f t="shared" si="8"/>
        <v>0</v>
      </c>
      <c r="V126" s="201">
        <f t="shared" si="8"/>
        <v>10525.846662</v>
      </c>
      <c r="W126" s="201">
        <f t="shared" si="8"/>
        <v>10525.846662</v>
      </c>
      <c r="X126" s="201">
        <f t="shared" si="8"/>
        <v>0</v>
      </c>
    </row>
    <row r="127" spans="1:24" s="169" customFormat="1" ht="13.8">
      <c r="A127" s="192"/>
      <c r="B127" s="173"/>
      <c r="C127" s="183" t="str">
        <f t="shared" si="9"/>
        <v/>
      </c>
      <c r="D127" s="182" t="str">
        <f t="shared" si="10"/>
        <v/>
      </c>
      <c r="E127" s="192"/>
      <c r="F127" s="192"/>
      <c r="G127" s="192"/>
      <c r="H127" s="210"/>
      <c r="I127" s="174"/>
      <c r="J127" s="174"/>
      <c r="K127" s="174"/>
      <c r="L127" s="175"/>
      <c r="M127" s="168">
        <f t="shared" si="11"/>
        <v>0</v>
      </c>
      <c r="N127" s="175"/>
      <c r="O127" s="174"/>
      <c r="P127" s="167">
        <f t="shared" si="12"/>
        <v>0</v>
      </c>
      <c r="Q127" s="174"/>
      <c r="S127" s="201">
        <f t="shared" si="13"/>
        <v>0</v>
      </c>
      <c r="T127" s="201">
        <f t="shared" si="8"/>
        <v>0</v>
      </c>
      <c r="U127" s="201">
        <f t="shared" si="8"/>
        <v>0</v>
      </c>
      <c r="V127" s="201">
        <f t="shared" si="8"/>
        <v>0</v>
      </c>
      <c r="W127" s="201">
        <f t="shared" si="8"/>
        <v>0</v>
      </c>
      <c r="X127" s="201">
        <f t="shared" si="8"/>
        <v>0</v>
      </c>
    </row>
    <row r="128" spans="1:24" s="169" customFormat="1" ht="27">
      <c r="A128" s="192" t="s">
        <v>679</v>
      </c>
      <c r="B128" s="165" t="s">
        <v>728</v>
      </c>
      <c r="C128" s="183" t="str">
        <f t="shared" si="9"/>
        <v>1014915</v>
      </c>
      <c r="D128" s="182" t="str">
        <f t="shared" si="10"/>
        <v>-Trung tâm Giống cây trồng, 1/ật nuôi, thủy sản</v>
      </c>
      <c r="E128" s="206"/>
      <c r="F128" s="207"/>
      <c r="G128" s="207"/>
      <c r="H128" s="205"/>
      <c r="I128" s="167">
        <v>2371016000</v>
      </c>
      <c r="J128" s="167">
        <v>64000000</v>
      </c>
      <c r="K128" s="167">
        <v>1697000000</v>
      </c>
      <c r="L128" s="168">
        <v>610016000</v>
      </c>
      <c r="M128" s="168">
        <f t="shared" si="11"/>
        <v>2371016000</v>
      </c>
      <c r="N128" s="168"/>
      <c r="O128" s="167">
        <v>2046807375</v>
      </c>
      <c r="P128" s="167">
        <f t="shared" si="12"/>
        <v>2046807375</v>
      </c>
      <c r="Q128" s="167"/>
      <c r="S128" s="201">
        <f t="shared" si="13"/>
        <v>2371.0160000000001</v>
      </c>
      <c r="T128" s="201">
        <f t="shared" si="8"/>
        <v>2371.0160000000001</v>
      </c>
      <c r="U128" s="201">
        <f t="shared" si="8"/>
        <v>0</v>
      </c>
      <c r="V128" s="201">
        <f t="shared" si="8"/>
        <v>2046.8073750000001</v>
      </c>
      <c r="W128" s="201">
        <f t="shared" si="8"/>
        <v>2046.8073750000001</v>
      </c>
      <c r="X128" s="201">
        <f t="shared" si="8"/>
        <v>0</v>
      </c>
    </row>
    <row r="129" spans="1:24" s="169" customFormat="1" ht="13.8">
      <c r="A129" s="192" t="s">
        <v>729</v>
      </c>
      <c r="B129" s="170" t="s">
        <v>675</v>
      </c>
      <c r="C129" s="183" t="str">
        <f t="shared" si="9"/>
        <v/>
      </c>
      <c r="D129" s="182" t="str">
        <f t="shared" si="10"/>
        <v/>
      </c>
      <c r="E129" s="206"/>
      <c r="F129" s="207"/>
      <c r="G129" s="207"/>
      <c r="H129" s="205"/>
      <c r="I129" s="167">
        <v>2071016000</v>
      </c>
      <c r="J129" s="167">
        <v>64000000</v>
      </c>
      <c r="K129" s="167">
        <v>1697000000</v>
      </c>
      <c r="L129" s="168">
        <v>310016000</v>
      </c>
      <c r="M129" s="168">
        <f t="shared" si="11"/>
        <v>2071016000</v>
      </c>
      <c r="N129" s="168"/>
      <c r="O129" s="167">
        <v>2046807375</v>
      </c>
      <c r="P129" s="167">
        <f t="shared" si="12"/>
        <v>2046807375</v>
      </c>
      <c r="Q129" s="167"/>
      <c r="S129" s="201">
        <f t="shared" si="13"/>
        <v>2071.0160000000001</v>
      </c>
      <c r="T129" s="201">
        <f t="shared" si="8"/>
        <v>2071.0160000000001</v>
      </c>
      <c r="U129" s="201">
        <f t="shared" si="8"/>
        <v>0</v>
      </c>
      <c r="V129" s="201">
        <f t="shared" si="8"/>
        <v>2046.8073750000001</v>
      </c>
      <c r="W129" s="201">
        <f t="shared" si="8"/>
        <v>2046.8073750000001</v>
      </c>
      <c r="X129" s="201">
        <f t="shared" si="8"/>
        <v>0</v>
      </c>
    </row>
    <row r="130" spans="1:24" s="169" customFormat="1" ht="13.8">
      <c r="A130" s="192"/>
      <c r="B130" s="170" t="s">
        <v>676</v>
      </c>
      <c r="C130" s="183" t="str">
        <f t="shared" si="9"/>
        <v/>
      </c>
      <c r="D130" s="182" t="str">
        <f t="shared" si="10"/>
        <v/>
      </c>
      <c r="E130" s="206"/>
      <c r="F130" s="207"/>
      <c r="G130" s="207"/>
      <c r="H130" s="205"/>
      <c r="I130" s="167">
        <v>1462900000</v>
      </c>
      <c r="J130" s="166"/>
      <c r="K130" s="167">
        <v>1429000000</v>
      </c>
      <c r="L130" s="168">
        <v>33900000</v>
      </c>
      <c r="M130" s="168">
        <f t="shared" si="11"/>
        <v>1462900000</v>
      </c>
      <c r="N130" s="168"/>
      <c r="O130" s="167">
        <v>1462900000</v>
      </c>
      <c r="P130" s="167">
        <f t="shared" si="12"/>
        <v>1462900000</v>
      </c>
      <c r="Q130" s="167"/>
      <c r="S130" s="201">
        <f t="shared" si="13"/>
        <v>1462.9</v>
      </c>
      <c r="T130" s="201">
        <f t="shared" si="8"/>
        <v>1462.9</v>
      </c>
      <c r="U130" s="201">
        <f t="shared" si="8"/>
        <v>0</v>
      </c>
      <c r="V130" s="201">
        <f t="shared" si="8"/>
        <v>1462.9</v>
      </c>
      <c r="W130" s="201">
        <f t="shared" si="8"/>
        <v>1462.9</v>
      </c>
      <c r="X130" s="201">
        <f t="shared" si="8"/>
        <v>0</v>
      </c>
    </row>
    <row r="131" spans="1:24" s="169" customFormat="1" ht="13.8">
      <c r="A131" s="193"/>
      <c r="B131" s="187"/>
      <c r="C131" s="183" t="str">
        <f t="shared" si="9"/>
        <v/>
      </c>
      <c r="D131" s="182" t="str">
        <f t="shared" si="10"/>
        <v/>
      </c>
      <c r="E131" s="192" t="s">
        <v>666</v>
      </c>
      <c r="F131" s="192" t="s">
        <v>698</v>
      </c>
      <c r="G131" s="192" t="s">
        <v>727</v>
      </c>
      <c r="H131" s="210" t="s">
        <v>1440</v>
      </c>
      <c r="I131" s="167">
        <v>1429000000</v>
      </c>
      <c r="J131" s="166"/>
      <c r="K131" s="167">
        <v>1429000000</v>
      </c>
      <c r="L131" s="171"/>
      <c r="M131" s="168">
        <f t="shared" si="11"/>
        <v>1429000000</v>
      </c>
      <c r="N131" s="171"/>
      <c r="O131" s="167">
        <v>1429000000</v>
      </c>
      <c r="P131" s="167">
        <f t="shared" si="12"/>
        <v>1429000000</v>
      </c>
      <c r="Q131" s="167"/>
      <c r="S131" s="201">
        <f t="shared" si="13"/>
        <v>1429</v>
      </c>
      <c r="T131" s="201">
        <f t="shared" ref="T131:X181" si="14">M131/1000000</f>
        <v>1429</v>
      </c>
      <c r="U131" s="201">
        <f t="shared" si="14"/>
        <v>0</v>
      </c>
      <c r="V131" s="201">
        <f t="shared" si="14"/>
        <v>1429</v>
      </c>
      <c r="W131" s="201">
        <f t="shared" si="14"/>
        <v>1429</v>
      </c>
      <c r="X131" s="201">
        <f t="shared" si="14"/>
        <v>0</v>
      </c>
    </row>
    <row r="132" spans="1:24" s="169" customFormat="1" ht="13.8">
      <c r="A132" s="195"/>
      <c r="B132" s="188"/>
      <c r="C132" s="183" t="str">
        <f t="shared" si="9"/>
        <v/>
      </c>
      <c r="D132" s="182" t="str">
        <f t="shared" si="10"/>
        <v/>
      </c>
      <c r="E132" s="192" t="s">
        <v>679</v>
      </c>
      <c r="F132" s="192" t="s">
        <v>698</v>
      </c>
      <c r="G132" s="192" t="s">
        <v>727</v>
      </c>
      <c r="H132" s="210" t="s">
        <v>1440</v>
      </c>
      <c r="I132" s="167">
        <v>33900000</v>
      </c>
      <c r="J132" s="166"/>
      <c r="K132" s="166"/>
      <c r="L132" s="168">
        <v>33900000</v>
      </c>
      <c r="M132" s="168">
        <f t="shared" si="11"/>
        <v>33900000</v>
      </c>
      <c r="N132" s="168"/>
      <c r="O132" s="167">
        <v>33900000</v>
      </c>
      <c r="P132" s="167">
        <f t="shared" si="12"/>
        <v>33900000</v>
      </c>
      <c r="Q132" s="167"/>
      <c r="S132" s="201">
        <f t="shared" si="13"/>
        <v>33.9</v>
      </c>
      <c r="T132" s="201">
        <f t="shared" si="14"/>
        <v>33.9</v>
      </c>
      <c r="U132" s="201">
        <f t="shared" si="14"/>
        <v>0</v>
      </c>
      <c r="V132" s="201">
        <f t="shared" si="14"/>
        <v>33.9</v>
      </c>
      <c r="W132" s="201">
        <f t="shared" si="14"/>
        <v>33.9</v>
      </c>
      <c r="X132" s="201">
        <f t="shared" si="14"/>
        <v>0</v>
      </c>
    </row>
    <row r="133" spans="1:24" s="169" customFormat="1" ht="13.8">
      <c r="A133" s="192"/>
      <c r="B133" s="170" t="s">
        <v>680</v>
      </c>
      <c r="C133" s="183" t="str">
        <f t="shared" si="9"/>
        <v/>
      </c>
      <c r="D133" s="182" t="str">
        <f t="shared" si="10"/>
        <v/>
      </c>
      <c r="E133" s="206"/>
      <c r="F133" s="207"/>
      <c r="G133" s="207"/>
      <c r="H133" s="205"/>
      <c r="I133" s="167">
        <v>608116000</v>
      </c>
      <c r="J133" s="167">
        <v>64000000</v>
      </c>
      <c r="K133" s="167">
        <v>268000000</v>
      </c>
      <c r="L133" s="168">
        <v>276116000</v>
      </c>
      <c r="M133" s="168">
        <f t="shared" si="11"/>
        <v>608116000</v>
      </c>
      <c r="N133" s="168"/>
      <c r="O133" s="167">
        <v>583907375</v>
      </c>
      <c r="P133" s="167">
        <f t="shared" si="12"/>
        <v>583907375</v>
      </c>
      <c r="Q133" s="167"/>
      <c r="S133" s="201">
        <f t="shared" si="13"/>
        <v>608.11599999999999</v>
      </c>
      <c r="T133" s="201">
        <f t="shared" si="14"/>
        <v>608.11599999999999</v>
      </c>
      <c r="U133" s="201">
        <f t="shared" si="14"/>
        <v>0</v>
      </c>
      <c r="V133" s="201">
        <f t="shared" si="14"/>
        <v>583.907375</v>
      </c>
      <c r="W133" s="201">
        <f t="shared" si="14"/>
        <v>583.907375</v>
      </c>
      <c r="X133" s="201">
        <f t="shared" si="14"/>
        <v>0</v>
      </c>
    </row>
    <row r="134" spans="1:24" s="169" customFormat="1" ht="13.8">
      <c r="A134" s="192"/>
      <c r="B134" s="164"/>
      <c r="C134" s="183" t="str">
        <f t="shared" si="9"/>
        <v/>
      </c>
      <c r="D134" s="182" t="str">
        <f t="shared" si="10"/>
        <v/>
      </c>
      <c r="E134" s="192" t="s">
        <v>681</v>
      </c>
      <c r="F134" s="192" t="s">
        <v>698</v>
      </c>
      <c r="G134" s="192" t="s">
        <v>727</v>
      </c>
      <c r="H134" s="210" t="s">
        <v>1440</v>
      </c>
      <c r="I134" s="167">
        <v>608116000</v>
      </c>
      <c r="J134" s="167">
        <v>64000000</v>
      </c>
      <c r="K134" s="167">
        <v>268000000</v>
      </c>
      <c r="L134" s="168">
        <v>276116000</v>
      </c>
      <c r="M134" s="168">
        <f t="shared" si="11"/>
        <v>608116000</v>
      </c>
      <c r="N134" s="168"/>
      <c r="O134" s="167">
        <v>583907375</v>
      </c>
      <c r="P134" s="167">
        <f t="shared" si="12"/>
        <v>583907375</v>
      </c>
      <c r="Q134" s="167"/>
      <c r="S134" s="201">
        <f t="shared" si="13"/>
        <v>608.11599999999999</v>
      </c>
      <c r="T134" s="201">
        <f t="shared" si="14"/>
        <v>608.11599999999999</v>
      </c>
      <c r="U134" s="201">
        <f t="shared" si="14"/>
        <v>0</v>
      </c>
      <c r="V134" s="201">
        <f t="shared" si="14"/>
        <v>583.907375</v>
      </c>
      <c r="W134" s="201">
        <f t="shared" si="14"/>
        <v>583.907375</v>
      </c>
      <c r="X134" s="201">
        <f t="shared" si="14"/>
        <v>0</v>
      </c>
    </row>
    <row r="135" spans="1:24" s="169" customFormat="1" ht="13.8">
      <c r="A135" s="192" t="s">
        <v>730</v>
      </c>
      <c r="B135" s="170" t="s">
        <v>731</v>
      </c>
      <c r="C135" s="183" t="str">
        <f t="shared" si="9"/>
        <v/>
      </c>
      <c r="D135" s="182" t="str">
        <f t="shared" si="10"/>
        <v/>
      </c>
      <c r="E135" s="206"/>
      <c r="F135" s="207"/>
      <c r="G135" s="207"/>
      <c r="H135" s="205"/>
      <c r="I135" s="167">
        <v>300000000</v>
      </c>
      <c r="J135" s="166"/>
      <c r="K135" s="166"/>
      <c r="L135" s="168">
        <v>300000000</v>
      </c>
      <c r="M135" s="168">
        <f t="shared" si="11"/>
        <v>300000000</v>
      </c>
      <c r="N135" s="168"/>
      <c r="O135" s="166"/>
      <c r="P135" s="167">
        <f t="shared" si="12"/>
        <v>0</v>
      </c>
      <c r="Q135" s="166"/>
      <c r="S135" s="201">
        <f t="shared" si="13"/>
        <v>300</v>
      </c>
      <c r="T135" s="201">
        <f t="shared" si="14"/>
        <v>300</v>
      </c>
      <c r="U135" s="201">
        <f t="shared" si="14"/>
        <v>0</v>
      </c>
      <c r="V135" s="201">
        <f t="shared" si="14"/>
        <v>0</v>
      </c>
      <c r="W135" s="201">
        <f t="shared" si="14"/>
        <v>0</v>
      </c>
      <c r="X135" s="201">
        <f t="shared" si="14"/>
        <v>0</v>
      </c>
    </row>
    <row r="136" spans="1:24" s="169" customFormat="1" ht="13.8">
      <c r="A136" s="192"/>
      <c r="B136" s="164"/>
      <c r="C136" s="183" t="str">
        <f t="shared" si="9"/>
        <v/>
      </c>
      <c r="D136" s="182" t="str">
        <f t="shared" si="10"/>
        <v/>
      </c>
      <c r="E136" s="192" t="s">
        <v>681</v>
      </c>
      <c r="F136" s="192" t="s">
        <v>698</v>
      </c>
      <c r="G136" s="192" t="s">
        <v>727</v>
      </c>
      <c r="H136" s="210" t="s">
        <v>1442</v>
      </c>
      <c r="I136" s="167">
        <v>300000000</v>
      </c>
      <c r="J136" s="166"/>
      <c r="K136" s="166"/>
      <c r="L136" s="168">
        <v>300000000</v>
      </c>
      <c r="M136" s="168">
        <f t="shared" si="11"/>
        <v>300000000</v>
      </c>
      <c r="N136" s="168"/>
      <c r="O136" s="166"/>
      <c r="P136" s="167">
        <f t="shared" si="12"/>
        <v>0</v>
      </c>
      <c r="Q136" s="166"/>
      <c r="S136" s="201">
        <f t="shared" si="13"/>
        <v>300</v>
      </c>
      <c r="T136" s="201">
        <f t="shared" si="14"/>
        <v>300</v>
      </c>
      <c r="U136" s="201">
        <f t="shared" si="14"/>
        <v>0</v>
      </c>
      <c r="V136" s="201">
        <f t="shared" si="14"/>
        <v>0</v>
      </c>
      <c r="W136" s="201">
        <f t="shared" si="14"/>
        <v>0</v>
      </c>
      <c r="X136" s="201">
        <f t="shared" si="14"/>
        <v>0</v>
      </c>
    </row>
    <row r="137" spans="1:24" s="169" customFormat="1" ht="27.6">
      <c r="A137" s="192" t="s">
        <v>667</v>
      </c>
      <c r="B137" s="165" t="s">
        <v>732</v>
      </c>
      <c r="C137" s="183" t="str">
        <f t="shared" si="9"/>
        <v>1015164</v>
      </c>
      <c r="D137" s="182" t="str">
        <f t="shared" si="10"/>
        <v>-Chi cục Trồng trọt và Bảo vệ tiực vật tỉnh Kon Tum</v>
      </c>
      <c r="E137" s="206"/>
      <c r="F137" s="207"/>
      <c r="G137" s="207"/>
      <c r="H137" s="205"/>
      <c r="I137" s="167">
        <v>6278654381</v>
      </c>
      <c r="J137" s="167">
        <v>130289381</v>
      </c>
      <c r="K137" s="167">
        <v>5546000000</v>
      </c>
      <c r="L137" s="168">
        <v>602365000</v>
      </c>
      <c r="M137" s="168">
        <f t="shared" si="11"/>
        <v>6278654381</v>
      </c>
      <c r="N137" s="168"/>
      <c r="O137" s="167">
        <v>6272967381</v>
      </c>
      <c r="P137" s="167">
        <f t="shared" si="12"/>
        <v>6272967381</v>
      </c>
      <c r="Q137" s="167"/>
      <c r="S137" s="201">
        <f t="shared" si="13"/>
        <v>6278.6543810000003</v>
      </c>
      <c r="T137" s="201">
        <f t="shared" si="14"/>
        <v>6278.6543810000003</v>
      </c>
      <c r="U137" s="201">
        <f t="shared" si="14"/>
        <v>0</v>
      </c>
      <c r="V137" s="201">
        <f t="shared" si="14"/>
        <v>6272.9673810000004</v>
      </c>
      <c r="W137" s="201">
        <f t="shared" si="14"/>
        <v>6272.9673810000004</v>
      </c>
      <c r="X137" s="201">
        <f t="shared" si="14"/>
        <v>0</v>
      </c>
    </row>
    <row r="138" spans="1:24" s="169" customFormat="1" ht="13.8">
      <c r="A138" s="192" t="s">
        <v>733</v>
      </c>
      <c r="B138" s="170" t="s">
        <v>675</v>
      </c>
      <c r="C138" s="183" t="str">
        <f t="shared" si="9"/>
        <v/>
      </c>
      <c r="D138" s="182" t="str">
        <f t="shared" si="10"/>
        <v/>
      </c>
      <c r="E138" s="206"/>
      <c r="F138" s="207"/>
      <c r="G138" s="207"/>
      <c r="H138" s="205"/>
      <c r="I138" s="167">
        <v>6278654381</v>
      </c>
      <c r="J138" s="167">
        <v>130289381</v>
      </c>
      <c r="K138" s="167">
        <v>5546000000</v>
      </c>
      <c r="L138" s="168">
        <v>602365000</v>
      </c>
      <c r="M138" s="168">
        <f t="shared" si="11"/>
        <v>6278654381</v>
      </c>
      <c r="N138" s="168"/>
      <c r="O138" s="167">
        <v>6272967381</v>
      </c>
      <c r="P138" s="167">
        <f t="shared" si="12"/>
        <v>6272967381</v>
      </c>
      <c r="Q138" s="167"/>
      <c r="S138" s="201">
        <f t="shared" si="13"/>
        <v>6278.6543810000003</v>
      </c>
      <c r="T138" s="201">
        <f t="shared" si="14"/>
        <v>6278.6543810000003</v>
      </c>
      <c r="U138" s="201">
        <f t="shared" si="14"/>
        <v>0</v>
      </c>
      <c r="V138" s="201">
        <f t="shared" si="14"/>
        <v>6272.9673810000004</v>
      </c>
      <c r="W138" s="201">
        <f t="shared" si="14"/>
        <v>6272.9673810000004</v>
      </c>
      <c r="X138" s="201">
        <f t="shared" si="14"/>
        <v>0</v>
      </c>
    </row>
    <row r="139" spans="1:24" s="169" customFormat="1" ht="13.8">
      <c r="A139" s="192"/>
      <c r="B139" s="170" t="s">
        <v>676</v>
      </c>
      <c r="C139" s="183" t="str">
        <f t="shared" si="9"/>
        <v/>
      </c>
      <c r="D139" s="182" t="str">
        <f t="shared" si="10"/>
        <v/>
      </c>
      <c r="E139" s="206"/>
      <c r="F139" s="207"/>
      <c r="G139" s="207"/>
      <c r="H139" s="205"/>
      <c r="I139" s="167">
        <v>5219989381</v>
      </c>
      <c r="J139" s="167">
        <v>130289381</v>
      </c>
      <c r="K139" s="167">
        <v>4842000000</v>
      </c>
      <c r="L139" s="168">
        <v>247700000</v>
      </c>
      <c r="M139" s="168">
        <f t="shared" si="11"/>
        <v>5219989381</v>
      </c>
      <c r="N139" s="168"/>
      <c r="O139" s="167">
        <v>5219989381</v>
      </c>
      <c r="P139" s="167">
        <f t="shared" si="12"/>
        <v>5219989381</v>
      </c>
      <c r="Q139" s="167"/>
      <c r="S139" s="201">
        <f t="shared" si="13"/>
        <v>5219.9893810000003</v>
      </c>
      <c r="T139" s="201">
        <f t="shared" si="14"/>
        <v>5219.9893810000003</v>
      </c>
      <c r="U139" s="201">
        <f t="shared" si="14"/>
        <v>0</v>
      </c>
      <c r="V139" s="201">
        <f t="shared" si="14"/>
        <v>5219.9893810000003</v>
      </c>
      <c r="W139" s="201">
        <f t="shared" si="14"/>
        <v>5219.9893810000003</v>
      </c>
      <c r="X139" s="201">
        <f t="shared" si="14"/>
        <v>0</v>
      </c>
    </row>
    <row r="140" spans="1:24" s="169" customFormat="1" ht="13.8">
      <c r="A140" s="193"/>
      <c r="B140" s="187"/>
      <c r="C140" s="183" t="str">
        <f t="shared" si="9"/>
        <v/>
      </c>
      <c r="D140" s="182" t="str">
        <f t="shared" si="10"/>
        <v/>
      </c>
      <c r="E140" s="192" t="s">
        <v>666</v>
      </c>
      <c r="F140" s="192" t="s">
        <v>698</v>
      </c>
      <c r="G140" s="192" t="s">
        <v>727</v>
      </c>
      <c r="H140" s="210" t="s">
        <v>1440</v>
      </c>
      <c r="I140" s="167">
        <v>438751141</v>
      </c>
      <c r="J140" s="167">
        <v>59751141</v>
      </c>
      <c r="K140" s="167">
        <v>379000000</v>
      </c>
      <c r="L140" s="171"/>
      <c r="M140" s="168">
        <f t="shared" si="11"/>
        <v>438751141</v>
      </c>
      <c r="N140" s="171"/>
      <c r="O140" s="167">
        <v>438751141</v>
      </c>
      <c r="P140" s="167">
        <f t="shared" si="12"/>
        <v>438751141</v>
      </c>
      <c r="Q140" s="167"/>
      <c r="S140" s="201">
        <f t="shared" si="13"/>
        <v>438.75114100000002</v>
      </c>
      <c r="T140" s="201">
        <f t="shared" si="14"/>
        <v>438.75114100000002</v>
      </c>
      <c r="U140" s="201">
        <f t="shared" si="14"/>
        <v>0</v>
      </c>
      <c r="V140" s="201">
        <f t="shared" si="14"/>
        <v>438.75114100000002</v>
      </c>
      <c r="W140" s="201">
        <f t="shared" si="14"/>
        <v>438.75114100000002</v>
      </c>
      <c r="X140" s="201">
        <f t="shared" si="14"/>
        <v>0</v>
      </c>
    </row>
    <row r="141" spans="1:24" s="169" customFormat="1" ht="13.8">
      <c r="A141" s="194"/>
      <c r="B141" s="184"/>
      <c r="C141" s="183" t="str">
        <f t="shared" si="9"/>
        <v/>
      </c>
      <c r="D141" s="182" t="str">
        <f t="shared" si="10"/>
        <v/>
      </c>
      <c r="E141" s="192" t="s">
        <v>679</v>
      </c>
      <c r="F141" s="192" t="s">
        <v>698</v>
      </c>
      <c r="G141" s="192" t="s">
        <v>727</v>
      </c>
      <c r="H141" s="210" t="s">
        <v>1440</v>
      </c>
      <c r="I141" s="167">
        <v>11700000</v>
      </c>
      <c r="J141" s="167">
        <v>2000000</v>
      </c>
      <c r="K141" s="166"/>
      <c r="L141" s="168">
        <v>9700000</v>
      </c>
      <c r="M141" s="168">
        <f t="shared" si="11"/>
        <v>11700000</v>
      </c>
      <c r="N141" s="168"/>
      <c r="O141" s="167">
        <v>11700000</v>
      </c>
      <c r="P141" s="167">
        <f t="shared" si="12"/>
        <v>11700000</v>
      </c>
      <c r="Q141" s="167"/>
      <c r="S141" s="201">
        <f t="shared" si="13"/>
        <v>11.7</v>
      </c>
      <c r="T141" s="201">
        <f t="shared" si="14"/>
        <v>11.7</v>
      </c>
      <c r="U141" s="201">
        <f t="shared" si="14"/>
        <v>0</v>
      </c>
      <c r="V141" s="201">
        <f t="shared" si="14"/>
        <v>11.7</v>
      </c>
      <c r="W141" s="201">
        <f t="shared" si="14"/>
        <v>11.7</v>
      </c>
      <c r="X141" s="201">
        <f t="shared" si="14"/>
        <v>0</v>
      </c>
    </row>
    <row r="142" spans="1:24" s="169" customFormat="1" ht="13.8">
      <c r="A142" s="194"/>
      <c r="B142" s="184"/>
      <c r="C142" s="183" t="str">
        <f t="shared" si="9"/>
        <v/>
      </c>
      <c r="D142" s="182" t="str">
        <f t="shared" si="10"/>
        <v/>
      </c>
      <c r="E142" s="192" t="s">
        <v>666</v>
      </c>
      <c r="F142" s="192" t="s">
        <v>698</v>
      </c>
      <c r="G142" s="192" t="s">
        <v>695</v>
      </c>
      <c r="H142" s="210" t="s">
        <v>1440</v>
      </c>
      <c r="I142" s="167">
        <v>4531538240</v>
      </c>
      <c r="J142" s="167">
        <v>68538240</v>
      </c>
      <c r="K142" s="167">
        <v>4463000000</v>
      </c>
      <c r="L142" s="171"/>
      <c r="M142" s="168">
        <f t="shared" si="11"/>
        <v>4531538240</v>
      </c>
      <c r="N142" s="171"/>
      <c r="O142" s="167">
        <v>4531538240</v>
      </c>
      <c r="P142" s="167">
        <f t="shared" si="12"/>
        <v>4531538240</v>
      </c>
      <c r="Q142" s="167"/>
      <c r="S142" s="201">
        <f t="shared" si="13"/>
        <v>4531.5382399999999</v>
      </c>
      <c r="T142" s="201">
        <f t="shared" si="14"/>
        <v>4531.5382399999999</v>
      </c>
      <c r="U142" s="201">
        <f t="shared" si="14"/>
        <v>0</v>
      </c>
      <c r="V142" s="201">
        <f t="shared" si="14"/>
        <v>4531.5382399999999</v>
      </c>
      <c r="W142" s="201">
        <f t="shared" si="14"/>
        <v>4531.5382399999999</v>
      </c>
      <c r="X142" s="201">
        <f t="shared" si="14"/>
        <v>0</v>
      </c>
    </row>
    <row r="143" spans="1:24" s="169" customFormat="1" ht="13.8">
      <c r="A143" s="195"/>
      <c r="B143" s="188"/>
      <c r="C143" s="183" t="str">
        <f t="shared" si="9"/>
        <v/>
      </c>
      <c r="D143" s="182" t="str">
        <f t="shared" si="10"/>
        <v/>
      </c>
      <c r="E143" s="192" t="s">
        <v>679</v>
      </c>
      <c r="F143" s="192" t="s">
        <v>698</v>
      </c>
      <c r="G143" s="192" t="s">
        <v>695</v>
      </c>
      <c r="H143" s="210" t="s">
        <v>1440</v>
      </c>
      <c r="I143" s="167">
        <v>238000000</v>
      </c>
      <c r="J143" s="166"/>
      <c r="K143" s="166"/>
      <c r="L143" s="168">
        <v>238000000</v>
      </c>
      <c r="M143" s="168">
        <f t="shared" si="11"/>
        <v>238000000</v>
      </c>
      <c r="N143" s="168"/>
      <c r="O143" s="167">
        <v>238000000</v>
      </c>
      <c r="P143" s="167">
        <f t="shared" si="12"/>
        <v>238000000</v>
      </c>
      <c r="Q143" s="167"/>
      <c r="S143" s="201">
        <f t="shared" si="13"/>
        <v>238</v>
      </c>
      <c r="T143" s="201">
        <f t="shared" si="14"/>
        <v>238</v>
      </c>
      <c r="U143" s="201">
        <f t="shared" si="14"/>
        <v>0</v>
      </c>
      <c r="V143" s="201">
        <f t="shared" si="14"/>
        <v>238</v>
      </c>
      <c r="W143" s="201">
        <f t="shared" si="14"/>
        <v>238</v>
      </c>
      <c r="X143" s="201">
        <f t="shared" si="14"/>
        <v>0</v>
      </c>
    </row>
    <row r="144" spans="1:24" s="169" customFormat="1" ht="13.8">
      <c r="A144" s="192"/>
      <c r="B144" s="170" t="s">
        <v>680</v>
      </c>
      <c r="C144" s="183" t="str">
        <f t="shared" si="9"/>
        <v/>
      </c>
      <c r="D144" s="182" t="str">
        <f t="shared" si="10"/>
        <v/>
      </c>
      <c r="E144" s="206"/>
      <c r="F144" s="207"/>
      <c r="G144" s="207"/>
      <c r="H144" s="205"/>
      <c r="I144" s="167">
        <v>1058665000</v>
      </c>
      <c r="J144" s="166"/>
      <c r="K144" s="167">
        <v>704000000</v>
      </c>
      <c r="L144" s="168">
        <v>354665000</v>
      </c>
      <c r="M144" s="168">
        <f t="shared" si="11"/>
        <v>1058665000</v>
      </c>
      <c r="N144" s="168"/>
      <c r="O144" s="167">
        <v>1052978000</v>
      </c>
      <c r="P144" s="167">
        <f t="shared" si="12"/>
        <v>1052978000</v>
      </c>
      <c r="Q144" s="167"/>
      <c r="S144" s="201">
        <f t="shared" si="13"/>
        <v>1058.665</v>
      </c>
      <c r="T144" s="201">
        <f t="shared" si="14"/>
        <v>1058.665</v>
      </c>
      <c r="U144" s="201">
        <f t="shared" si="14"/>
        <v>0</v>
      </c>
      <c r="V144" s="201">
        <f t="shared" si="14"/>
        <v>1052.9780000000001</v>
      </c>
      <c r="W144" s="201">
        <f t="shared" si="14"/>
        <v>1052.9780000000001</v>
      </c>
      <c r="X144" s="201">
        <f t="shared" si="14"/>
        <v>0</v>
      </c>
    </row>
    <row r="145" spans="1:24" s="169" customFormat="1" ht="13.8">
      <c r="A145" s="193"/>
      <c r="B145" s="187"/>
      <c r="C145" s="183" t="str">
        <f t="shared" si="9"/>
        <v/>
      </c>
      <c r="D145" s="182" t="str">
        <f t="shared" si="10"/>
        <v/>
      </c>
      <c r="E145" s="192" t="s">
        <v>681</v>
      </c>
      <c r="F145" s="192" t="s">
        <v>698</v>
      </c>
      <c r="G145" s="192" t="s">
        <v>727</v>
      </c>
      <c r="H145" s="210" t="s">
        <v>1440</v>
      </c>
      <c r="I145" s="167">
        <v>504000000</v>
      </c>
      <c r="J145" s="166"/>
      <c r="K145" s="167">
        <v>504000000</v>
      </c>
      <c r="L145" s="171"/>
      <c r="M145" s="168">
        <f t="shared" si="11"/>
        <v>504000000</v>
      </c>
      <c r="N145" s="171"/>
      <c r="O145" s="167">
        <v>502453000</v>
      </c>
      <c r="P145" s="167">
        <f t="shared" si="12"/>
        <v>502453000</v>
      </c>
      <c r="Q145" s="167"/>
      <c r="S145" s="201">
        <f t="shared" si="13"/>
        <v>504</v>
      </c>
      <c r="T145" s="201">
        <f t="shared" si="14"/>
        <v>504</v>
      </c>
      <c r="U145" s="201">
        <f t="shared" si="14"/>
        <v>0</v>
      </c>
      <c r="V145" s="201">
        <f t="shared" si="14"/>
        <v>502.45299999999997</v>
      </c>
      <c r="W145" s="201">
        <f t="shared" si="14"/>
        <v>502.45299999999997</v>
      </c>
      <c r="X145" s="201">
        <f t="shared" si="14"/>
        <v>0</v>
      </c>
    </row>
    <row r="146" spans="1:24" s="169" customFormat="1" ht="13.8">
      <c r="A146" s="195"/>
      <c r="B146" s="188"/>
      <c r="C146" s="183" t="str">
        <f t="shared" si="9"/>
        <v/>
      </c>
      <c r="D146" s="182" t="str">
        <f t="shared" si="10"/>
        <v/>
      </c>
      <c r="E146" s="192" t="s">
        <v>681</v>
      </c>
      <c r="F146" s="192" t="s">
        <v>698</v>
      </c>
      <c r="G146" s="192" t="s">
        <v>695</v>
      </c>
      <c r="H146" s="210" t="s">
        <v>1440</v>
      </c>
      <c r="I146" s="167">
        <v>554665000</v>
      </c>
      <c r="J146" s="166"/>
      <c r="K146" s="167">
        <v>200000000</v>
      </c>
      <c r="L146" s="168">
        <v>354665000</v>
      </c>
      <c r="M146" s="168">
        <f t="shared" si="11"/>
        <v>554665000</v>
      </c>
      <c r="N146" s="168"/>
      <c r="O146" s="167">
        <v>550525000</v>
      </c>
      <c r="P146" s="167">
        <f t="shared" si="12"/>
        <v>550525000</v>
      </c>
      <c r="Q146" s="167"/>
      <c r="S146" s="201">
        <f t="shared" si="13"/>
        <v>554.66499999999996</v>
      </c>
      <c r="T146" s="201">
        <f t="shared" si="14"/>
        <v>554.66499999999996</v>
      </c>
      <c r="U146" s="201">
        <f t="shared" si="14"/>
        <v>0</v>
      </c>
      <c r="V146" s="201">
        <f t="shared" si="14"/>
        <v>550.52499999999998</v>
      </c>
      <c r="W146" s="201">
        <f t="shared" si="14"/>
        <v>550.52499999999998</v>
      </c>
      <c r="X146" s="201">
        <f t="shared" si="14"/>
        <v>0</v>
      </c>
    </row>
    <row r="147" spans="1:24" s="169" customFormat="1" ht="26.4">
      <c r="A147" s="192" t="s">
        <v>668</v>
      </c>
      <c r="B147" s="165" t="s">
        <v>734</v>
      </c>
      <c r="C147" s="183" t="str">
        <f t="shared" si="9"/>
        <v>1015165</v>
      </c>
      <c r="D147" s="182" t="str">
        <f t="shared" si="10"/>
        <v>-Trung tâm Nước sinh hoạt và vs MT nông thôn</v>
      </c>
      <c r="E147" s="206"/>
      <c r="F147" s="207"/>
      <c r="G147" s="207"/>
      <c r="H147" s="205"/>
      <c r="I147" s="167">
        <v>4966667000</v>
      </c>
      <c r="J147" s="167">
        <v>2823967000</v>
      </c>
      <c r="K147" s="167">
        <v>2114000000</v>
      </c>
      <c r="L147" s="168">
        <v>28700000</v>
      </c>
      <c r="M147" s="168">
        <f t="shared" si="11"/>
        <v>4966667000</v>
      </c>
      <c r="N147" s="168"/>
      <c r="O147" s="167">
        <v>4757081000</v>
      </c>
      <c r="P147" s="167">
        <f t="shared" si="12"/>
        <v>4757081000</v>
      </c>
      <c r="Q147" s="167"/>
      <c r="S147" s="201">
        <f t="shared" si="13"/>
        <v>4966.6670000000004</v>
      </c>
      <c r="T147" s="201">
        <f t="shared" si="14"/>
        <v>4966.6670000000004</v>
      </c>
      <c r="U147" s="201">
        <f t="shared" si="14"/>
        <v>0</v>
      </c>
      <c r="V147" s="201">
        <f t="shared" si="14"/>
        <v>4757.0810000000001</v>
      </c>
      <c r="W147" s="201">
        <f t="shared" si="14"/>
        <v>4757.0810000000001</v>
      </c>
      <c r="X147" s="201">
        <f t="shared" si="14"/>
        <v>0</v>
      </c>
    </row>
    <row r="148" spans="1:24" s="169" customFormat="1" ht="13.8">
      <c r="A148" s="192" t="s">
        <v>735</v>
      </c>
      <c r="B148" s="170" t="s">
        <v>675</v>
      </c>
      <c r="C148" s="183" t="str">
        <f t="shared" si="9"/>
        <v/>
      </c>
      <c r="D148" s="182" t="str">
        <f t="shared" si="10"/>
        <v/>
      </c>
      <c r="E148" s="206"/>
      <c r="F148" s="207"/>
      <c r="G148" s="207"/>
      <c r="H148" s="205"/>
      <c r="I148" s="167">
        <v>4966667000</v>
      </c>
      <c r="J148" s="167">
        <v>2823967000</v>
      </c>
      <c r="K148" s="167">
        <v>2114000000</v>
      </c>
      <c r="L148" s="168">
        <v>28700000</v>
      </c>
      <c r="M148" s="168">
        <f t="shared" si="11"/>
        <v>4966667000</v>
      </c>
      <c r="N148" s="168"/>
      <c r="O148" s="167">
        <v>4757081000</v>
      </c>
      <c r="P148" s="167">
        <f t="shared" si="12"/>
        <v>4757081000</v>
      </c>
      <c r="Q148" s="167"/>
      <c r="S148" s="201">
        <f t="shared" si="13"/>
        <v>4966.6670000000004</v>
      </c>
      <c r="T148" s="201">
        <f t="shared" si="14"/>
        <v>4966.6670000000004</v>
      </c>
      <c r="U148" s="201">
        <f t="shared" si="14"/>
        <v>0</v>
      </c>
      <c r="V148" s="201">
        <f t="shared" si="14"/>
        <v>4757.0810000000001</v>
      </c>
      <c r="W148" s="201">
        <f t="shared" si="14"/>
        <v>4757.0810000000001</v>
      </c>
      <c r="X148" s="201">
        <f t="shared" si="14"/>
        <v>0</v>
      </c>
    </row>
    <row r="149" spans="1:24" s="169" customFormat="1" ht="13.8">
      <c r="A149" s="192"/>
      <c r="B149" s="170" t="s">
        <v>676</v>
      </c>
      <c r="C149" s="183" t="str">
        <f t="shared" si="9"/>
        <v/>
      </c>
      <c r="D149" s="182" t="str">
        <f t="shared" si="10"/>
        <v/>
      </c>
      <c r="E149" s="206"/>
      <c r="F149" s="207"/>
      <c r="G149" s="207"/>
      <c r="H149" s="205"/>
      <c r="I149" s="167">
        <v>1198700000</v>
      </c>
      <c r="J149" s="166"/>
      <c r="K149" s="167">
        <v>1170000000</v>
      </c>
      <c r="L149" s="168">
        <v>28700000</v>
      </c>
      <c r="M149" s="168">
        <f t="shared" si="11"/>
        <v>1198700000</v>
      </c>
      <c r="N149" s="168"/>
      <c r="O149" s="167">
        <v>1198700000</v>
      </c>
      <c r="P149" s="167">
        <f t="shared" si="12"/>
        <v>1198700000</v>
      </c>
      <c r="Q149" s="167"/>
      <c r="S149" s="201">
        <f t="shared" si="13"/>
        <v>1198.7</v>
      </c>
      <c r="T149" s="201">
        <f t="shared" si="14"/>
        <v>1198.7</v>
      </c>
      <c r="U149" s="201">
        <f t="shared" si="14"/>
        <v>0</v>
      </c>
      <c r="V149" s="201">
        <f t="shared" si="14"/>
        <v>1198.7</v>
      </c>
      <c r="W149" s="201">
        <f t="shared" si="14"/>
        <v>1198.7</v>
      </c>
      <c r="X149" s="201">
        <f t="shared" si="14"/>
        <v>0</v>
      </c>
    </row>
    <row r="150" spans="1:24" s="169" customFormat="1" ht="13.8">
      <c r="A150" s="193"/>
      <c r="B150" s="187"/>
      <c r="C150" s="183" t="str">
        <f t="shared" ref="C150:C213" si="15">IF(B150&lt;&gt;"",IF(AND(LEFT(B150,1)&gt;="0",LEFT(B150,1)&lt;="9"),LEFT(B150,7),""),"")</f>
        <v/>
      </c>
      <c r="D150" s="182" t="str">
        <f t="shared" si="10"/>
        <v/>
      </c>
      <c r="E150" s="192" t="s">
        <v>666</v>
      </c>
      <c r="F150" s="192" t="s">
        <v>698</v>
      </c>
      <c r="G150" s="192" t="s">
        <v>736</v>
      </c>
      <c r="H150" s="210" t="s">
        <v>1440</v>
      </c>
      <c r="I150" s="167">
        <v>1170000000</v>
      </c>
      <c r="J150" s="166"/>
      <c r="K150" s="167">
        <v>1170000000</v>
      </c>
      <c r="L150" s="171"/>
      <c r="M150" s="168">
        <f t="shared" si="11"/>
        <v>1170000000</v>
      </c>
      <c r="N150" s="171"/>
      <c r="O150" s="167">
        <v>1170000000</v>
      </c>
      <c r="P150" s="167">
        <f t="shared" si="12"/>
        <v>1170000000</v>
      </c>
      <c r="Q150" s="167"/>
      <c r="S150" s="201">
        <f t="shared" si="13"/>
        <v>1170</v>
      </c>
      <c r="T150" s="201">
        <f t="shared" si="14"/>
        <v>1170</v>
      </c>
      <c r="U150" s="201">
        <f t="shared" si="14"/>
        <v>0</v>
      </c>
      <c r="V150" s="201">
        <f t="shared" si="14"/>
        <v>1170</v>
      </c>
      <c r="W150" s="201">
        <f t="shared" si="14"/>
        <v>1170</v>
      </c>
      <c r="X150" s="201">
        <f t="shared" si="14"/>
        <v>0</v>
      </c>
    </row>
    <row r="151" spans="1:24" s="169" customFormat="1" ht="13.8">
      <c r="A151" s="195"/>
      <c r="B151" s="188"/>
      <c r="C151" s="183" t="str">
        <f t="shared" si="15"/>
        <v/>
      </c>
      <c r="D151" s="182" t="str">
        <f t="shared" ref="D151:D214" si="16">IF(C151&lt;&gt;"",RIGHT(B151,LEN(B151)-7),"")</f>
        <v/>
      </c>
      <c r="E151" s="192" t="s">
        <v>679</v>
      </c>
      <c r="F151" s="192" t="s">
        <v>698</v>
      </c>
      <c r="G151" s="192" t="s">
        <v>736</v>
      </c>
      <c r="H151" s="210" t="s">
        <v>1440</v>
      </c>
      <c r="I151" s="167">
        <v>28700000</v>
      </c>
      <c r="J151" s="166"/>
      <c r="K151" s="166"/>
      <c r="L151" s="168">
        <v>28700000</v>
      </c>
      <c r="M151" s="168">
        <f t="shared" ref="M151:M214" si="17">I151-N151</f>
        <v>28700000</v>
      </c>
      <c r="N151" s="168"/>
      <c r="O151" s="167">
        <v>28700000</v>
      </c>
      <c r="P151" s="167">
        <f t="shared" ref="P151:P214" si="18">O151-Q151</f>
        <v>28700000</v>
      </c>
      <c r="Q151" s="167"/>
      <c r="S151" s="201">
        <f t="shared" ref="S151:S214" si="19">I151/1000000</f>
        <v>28.7</v>
      </c>
      <c r="T151" s="201">
        <f t="shared" si="14"/>
        <v>28.7</v>
      </c>
      <c r="U151" s="201">
        <f t="shared" si="14"/>
        <v>0</v>
      </c>
      <c r="V151" s="201">
        <f t="shared" si="14"/>
        <v>28.7</v>
      </c>
      <c r="W151" s="201">
        <f t="shared" si="14"/>
        <v>28.7</v>
      </c>
      <c r="X151" s="201">
        <f t="shared" si="14"/>
        <v>0</v>
      </c>
    </row>
    <row r="152" spans="1:24" s="169" customFormat="1" ht="13.8">
      <c r="A152" s="192"/>
      <c r="B152" s="170" t="s">
        <v>680</v>
      </c>
      <c r="C152" s="183" t="str">
        <f t="shared" si="15"/>
        <v/>
      </c>
      <c r="D152" s="182" t="str">
        <f t="shared" si="16"/>
        <v/>
      </c>
      <c r="E152" s="206"/>
      <c r="F152" s="207"/>
      <c r="G152" s="207"/>
      <c r="H152" s="205"/>
      <c r="I152" s="167">
        <v>3767967000</v>
      </c>
      <c r="J152" s="167">
        <v>2823967000</v>
      </c>
      <c r="K152" s="167">
        <v>944000000</v>
      </c>
      <c r="L152" s="171"/>
      <c r="M152" s="168">
        <f t="shared" si="17"/>
        <v>3767967000</v>
      </c>
      <c r="N152" s="171"/>
      <c r="O152" s="167">
        <v>3558381000</v>
      </c>
      <c r="P152" s="167">
        <f t="shared" si="18"/>
        <v>3558381000</v>
      </c>
      <c r="Q152" s="167"/>
      <c r="S152" s="201">
        <f t="shared" si="19"/>
        <v>3767.9670000000001</v>
      </c>
      <c r="T152" s="201">
        <f t="shared" si="14"/>
        <v>3767.9670000000001</v>
      </c>
      <c r="U152" s="201">
        <f t="shared" si="14"/>
        <v>0</v>
      </c>
      <c r="V152" s="201">
        <f t="shared" si="14"/>
        <v>3558.3809999999999</v>
      </c>
      <c r="W152" s="201">
        <f t="shared" si="14"/>
        <v>3558.3809999999999</v>
      </c>
      <c r="X152" s="201">
        <f t="shared" si="14"/>
        <v>0</v>
      </c>
    </row>
    <row r="153" spans="1:24" s="169" customFormat="1" ht="13.8">
      <c r="A153" s="192"/>
      <c r="B153" s="164"/>
      <c r="C153" s="183" t="str">
        <f t="shared" si="15"/>
        <v/>
      </c>
      <c r="D153" s="182" t="str">
        <f t="shared" si="16"/>
        <v/>
      </c>
      <c r="E153" s="192" t="s">
        <v>681</v>
      </c>
      <c r="F153" s="192" t="s">
        <v>698</v>
      </c>
      <c r="G153" s="192" t="s">
        <v>736</v>
      </c>
      <c r="H153" s="210" t="s">
        <v>1440</v>
      </c>
      <c r="I153" s="167">
        <v>3767967000</v>
      </c>
      <c r="J153" s="167">
        <v>2823967000</v>
      </c>
      <c r="K153" s="167">
        <v>944000000</v>
      </c>
      <c r="L153" s="171"/>
      <c r="M153" s="168">
        <f t="shared" si="17"/>
        <v>3767967000</v>
      </c>
      <c r="N153" s="171"/>
      <c r="O153" s="167">
        <v>3558381000</v>
      </c>
      <c r="P153" s="167">
        <f t="shared" si="18"/>
        <v>3558381000</v>
      </c>
      <c r="Q153" s="167"/>
      <c r="S153" s="201">
        <f t="shared" si="19"/>
        <v>3767.9670000000001</v>
      </c>
      <c r="T153" s="201">
        <f t="shared" si="14"/>
        <v>3767.9670000000001</v>
      </c>
      <c r="U153" s="201">
        <f t="shared" si="14"/>
        <v>0</v>
      </c>
      <c r="V153" s="201">
        <f t="shared" si="14"/>
        <v>3558.3809999999999</v>
      </c>
      <c r="W153" s="201">
        <f t="shared" si="14"/>
        <v>3558.3809999999999</v>
      </c>
      <c r="X153" s="201">
        <f t="shared" si="14"/>
        <v>0</v>
      </c>
    </row>
    <row r="154" spans="1:24" s="169" customFormat="1" ht="27.6">
      <c r="A154" s="192" t="s">
        <v>669</v>
      </c>
      <c r="B154" s="165" t="s">
        <v>737</v>
      </c>
      <c r="C154" s="183" t="str">
        <f t="shared" si="15"/>
        <v>1015168</v>
      </c>
      <c r="D154" s="182" t="str">
        <f t="shared" si="16"/>
        <v>-Văn phòng sờ Nông nghiệp 1/à Phát triền Nông thôn</v>
      </c>
      <c r="E154" s="206"/>
      <c r="F154" s="207"/>
      <c r="G154" s="207"/>
      <c r="H154" s="205"/>
      <c r="I154" s="167">
        <v>9958692000</v>
      </c>
      <c r="J154" s="167">
        <v>633592000</v>
      </c>
      <c r="K154" s="167">
        <v>8244000000</v>
      </c>
      <c r="L154" s="168">
        <v>1081100000</v>
      </c>
      <c r="M154" s="168">
        <f t="shared" si="17"/>
        <v>9958692000</v>
      </c>
      <c r="N154" s="168"/>
      <c r="O154" s="167">
        <v>8909763600</v>
      </c>
      <c r="P154" s="167">
        <f t="shared" si="18"/>
        <v>8909763600</v>
      </c>
      <c r="Q154" s="167"/>
      <c r="S154" s="201">
        <f t="shared" si="19"/>
        <v>9958.6919999999991</v>
      </c>
      <c r="T154" s="201">
        <f t="shared" si="14"/>
        <v>9958.6919999999991</v>
      </c>
      <c r="U154" s="201">
        <f t="shared" si="14"/>
        <v>0</v>
      </c>
      <c r="V154" s="201">
        <f t="shared" si="14"/>
        <v>8909.7636000000002</v>
      </c>
      <c r="W154" s="201">
        <f t="shared" si="14"/>
        <v>8909.7636000000002</v>
      </c>
      <c r="X154" s="201">
        <f t="shared" si="14"/>
        <v>0</v>
      </c>
    </row>
    <row r="155" spans="1:24" s="169" customFormat="1" ht="13.8">
      <c r="A155" s="192" t="s">
        <v>738</v>
      </c>
      <c r="B155" s="170" t="s">
        <v>675</v>
      </c>
      <c r="C155" s="183" t="str">
        <f t="shared" si="15"/>
        <v/>
      </c>
      <c r="D155" s="182" t="str">
        <f t="shared" si="16"/>
        <v/>
      </c>
      <c r="E155" s="206"/>
      <c r="F155" s="207"/>
      <c r="G155" s="207"/>
      <c r="H155" s="205"/>
      <c r="I155" s="167">
        <v>9258692000</v>
      </c>
      <c r="J155" s="167">
        <v>633592000</v>
      </c>
      <c r="K155" s="167">
        <v>8244000000</v>
      </c>
      <c r="L155" s="168">
        <v>381100000</v>
      </c>
      <c r="M155" s="168">
        <f t="shared" si="17"/>
        <v>9258692000</v>
      </c>
      <c r="N155" s="168"/>
      <c r="O155" s="167">
        <v>8750630600</v>
      </c>
      <c r="P155" s="167">
        <f t="shared" si="18"/>
        <v>8750630600</v>
      </c>
      <c r="Q155" s="167"/>
      <c r="S155" s="201">
        <f t="shared" si="19"/>
        <v>9258.6919999999991</v>
      </c>
      <c r="T155" s="201">
        <f t="shared" si="14"/>
        <v>9258.6919999999991</v>
      </c>
      <c r="U155" s="201">
        <f t="shared" si="14"/>
        <v>0</v>
      </c>
      <c r="V155" s="201">
        <f t="shared" si="14"/>
        <v>8750.6306000000004</v>
      </c>
      <c r="W155" s="201">
        <f t="shared" si="14"/>
        <v>8750.6306000000004</v>
      </c>
      <c r="X155" s="201">
        <f t="shared" si="14"/>
        <v>0</v>
      </c>
    </row>
    <row r="156" spans="1:24" s="169" customFormat="1" ht="13.8">
      <c r="A156" s="192"/>
      <c r="B156" s="170" t="s">
        <v>676</v>
      </c>
      <c r="C156" s="183" t="str">
        <f t="shared" si="15"/>
        <v/>
      </c>
      <c r="D156" s="182" t="str">
        <f t="shared" si="16"/>
        <v/>
      </c>
      <c r="E156" s="206"/>
      <c r="F156" s="207"/>
      <c r="G156" s="207"/>
      <c r="H156" s="205"/>
      <c r="I156" s="167">
        <v>5349292000</v>
      </c>
      <c r="J156" s="167">
        <v>225592000</v>
      </c>
      <c r="K156" s="167">
        <v>4989000000</v>
      </c>
      <c r="L156" s="168">
        <v>134700000</v>
      </c>
      <c r="M156" s="168">
        <f t="shared" si="17"/>
        <v>5349292000</v>
      </c>
      <c r="N156" s="168"/>
      <c r="O156" s="167">
        <v>5286773000</v>
      </c>
      <c r="P156" s="167">
        <f t="shared" si="18"/>
        <v>5286773000</v>
      </c>
      <c r="Q156" s="167"/>
      <c r="S156" s="201">
        <f t="shared" si="19"/>
        <v>5349.2920000000004</v>
      </c>
      <c r="T156" s="201">
        <f t="shared" si="14"/>
        <v>5349.2920000000004</v>
      </c>
      <c r="U156" s="201">
        <f t="shared" si="14"/>
        <v>0</v>
      </c>
      <c r="V156" s="201">
        <f t="shared" si="14"/>
        <v>5286.7730000000001</v>
      </c>
      <c r="W156" s="201">
        <f t="shared" si="14"/>
        <v>5286.7730000000001</v>
      </c>
      <c r="X156" s="201">
        <f t="shared" si="14"/>
        <v>0</v>
      </c>
    </row>
    <row r="157" spans="1:24" s="169" customFormat="1" ht="13.8">
      <c r="A157" s="192"/>
      <c r="B157" s="164"/>
      <c r="C157" s="183" t="str">
        <f t="shared" si="15"/>
        <v/>
      </c>
      <c r="D157" s="182" t="str">
        <f t="shared" si="16"/>
        <v/>
      </c>
      <c r="E157" s="192" t="s">
        <v>666</v>
      </c>
      <c r="F157" s="192" t="s">
        <v>698</v>
      </c>
      <c r="G157" s="192" t="s">
        <v>695</v>
      </c>
      <c r="H157" s="210" t="s">
        <v>1440</v>
      </c>
      <c r="I157" s="167">
        <v>5214592000</v>
      </c>
      <c r="J157" s="167">
        <v>225592000</v>
      </c>
      <c r="K157" s="167">
        <v>4989000000</v>
      </c>
      <c r="L157" s="171"/>
      <c r="M157" s="168">
        <f t="shared" si="17"/>
        <v>5214592000</v>
      </c>
      <c r="N157" s="171"/>
      <c r="O157" s="167">
        <v>5152073000</v>
      </c>
      <c r="P157" s="167">
        <f t="shared" si="18"/>
        <v>5152073000</v>
      </c>
      <c r="Q157" s="167"/>
      <c r="S157" s="201">
        <f t="shared" si="19"/>
        <v>5214.5919999999996</v>
      </c>
      <c r="T157" s="201">
        <f t="shared" si="14"/>
        <v>5214.5919999999996</v>
      </c>
      <c r="U157" s="201">
        <f t="shared" si="14"/>
        <v>0</v>
      </c>
      <c r="V157" s="201">
        <f t="shared" si="14"/>
        <v>5152.0730000000003</v>
      </c>
      <c r="W157" s="201">
        <f t="shared" si="14"/>
        <v>5152.0730000000003</v>
      </c>
      <c r="X157" s="201">
        <f t="shared" si="14"/>
        <v>0</v>
      </c>
    </row>
    <row r="158" spans="1:24" s="169" customFormat="1" ht="13.8">
      <c r="A158" s="192"/>
      <c r="B158" s="173"/>
      <c r="C158" s="183" t="str">
        <f t="shared" si="15"/>
        <v/>
      </c>
      <c r="D158" s="182" t="str">
        <f t="shared" si="16"/>
        <v/>
      </c>
      <c r="E158" s="192"/>
      <c r="F158" s="192"/>
      <c r="G158" s="192"/>
      <c r="H158" s="210"/>
      <c r="I158" s="174"/>
      <c r="J158" s="174"/>
      <c r="K158" s="174"/>
      <c r="L158" s="175"/>
      <c r="M158" s="168">
        <f t="shared" si="17"/>
        <v>0</v>
      </c>
      <c r="N158" s="175"/>
      <c r="O158" s="174"/>
      <c r="P158" s="167">
        <f t="shared" si="18"/>
        <v>0</v>
      </c>
      <c r="Q158" s="174"/>
      <c r="S158" s="201">
        <f t="shared" si="19"/>
        <v>0</v>
      </c>
      <c r="T158" s="201">
        <f t="shared" si="14"/>
        <v>0</v>
      </c>
      <c r="U158" s="201">
        <f t="shared" si="14"/>
        <v>0</v>
      </c>
      <c r="V158" s="201">
        <f t="shared" si="14"/>
        <v>0</v>
      </c>
      <c r="W158" s="201">
        <f t="shared" si="14"/>
        <v>0</v>
      </c>
      <c r="X158" s="201">
        <f t="shared" si="14"/>
        <v>0</v>
      </c>
    </row>
    <row r="159" spans="1:24" s="169" customFormat="1" ht="13.8">
      <c r="A159" s="192"/>
      <c r="B159" s="164"/>
      <c r="C159" s="183" t="str">
        <f t="shared" si="15"/>
        <v/>
      </c>
      <c r="D159" s="182" t="str">
        <f t="shared" si="16"/>
        <v/>
      </c>
      <c r="E159" s="192" t="s">
        <v>679</v>
      </c>
      <c r="F159" s="192" t="s">
        <v>698</v>
      </c>
      <c r="G159" s="192" t="s">
        <v>695</v>
      </c>
      <c r="H159" s="210" t="s">
        <v>1440</v>
      </c>
      <c r="I159" s="167">
        <v>134700000</v>
      </c>
      <c r="J159" s="166"/>
      <c r="K159" s="166"/>
      <c r="L159" s="168">
        <v>134700000</v>
      </c>
      <c r="M159" s="168">
        <f t="shared" si="17"/>
        <v>134700000</v>
      </c>
      <c r="N159" s="168"/>
      <c r="O159" s="167">
        <v>134700000</v>
      </c>
      <c r="P159" s="167">
        <f t="shared" si="18"/>
        <v>134700000</v>
      </c>
      <c r="Q159" s="167"/>
      <c r="S159" s="201">
        <f t="shared" si="19"/>
        <v>134.69999999999999</v>
      </c>
      <c r="T159" s="201">
        <f t="shared" si="14"/>
        <v>134.69999999999999</v>
      </c>
      <c r="U159" s="201">
        <f t="shared" si="14"/>
        <v>0</v>
      </c>
      <c r="V159" s="201">
        <f t="shared" si="14"/>
        <v>134.69999999999999</v>
      </c>
      <c r="W159" s="201">
        <f t="shared" si="14"/>
        <v>134.69999999999999</v>
      </c>
      <c r="X159" s="201">
        <f t="shared" si="14"/>
        <v>0</v>
      </c>
    </row>
    <row r="160" spans="1:24" s="169" customFormat="1" ht="13.8">
      <c r="A160" s="192"/>
      <c r="B160" s="170" t="s">
        <v>680</v>
      </c>
      <c r="C160" s="183" t="str">
        <f t="shared" si="15"/>
        <v/>
      </c>
      <c r="D160" s="182" t="str">
        <f t="shared" si="16"/>
        <v/>
      </c>
      <c r="E160" s="206"/>
      <c r="F160" s="207"/>
      <c r="G160" s="207"/>
      <c r="H160" s="205"/>
      <c r="I160" s="167">
        <v>3909400000</v>
      </c>
      <c r="J160" s="167">
        <v>408000000</v>
      </c>
      <c r="K160" s="167">
        <v>3255000000</v>
      </c>
      <c r="L160" s="168">
        <v>246400000</v>
      </c>
      <c r="M160" s="168">
        <f t="shared" si="17"/>
        <v>3909400000</v>
      </c>
      <c r="N160" s="168"/>
      <c r="O160" s="167">
        <v>3463857600</v>
      </c>
      <c r="P160" s="167">
        <f t="shared" si="18"/>
        <v>3463857600</v>
      </c>
      <c r="Q160" s="167"/>
      <c r="S160" s="201">
        <f t="shared" si="19"/>
        <v>3909.4</v>
      </c>
      <c r="T160" s="201">
        <f t="shared" si="14"/>
        <v>3909.4</v>
      </c>
      <c r="U160" s="201">
        <f t="shared" si="14"/>
        <v>0</v>
      </c>
      <c r="V160" s="201">
        <f t="shared" si="14"/>
        <v>3463.8575999999998</v>
      </c>
      <c r="W160" s="201">
        <f t="shared" si="14"/>
        <v>3463.8575999999998</v>
      </c>
      <c r="X160" s="201">
        <f t="shared" si="14"/>
        <v>0</v>
      </c>
    </row>
    <row r="161" spans="1:24" s="169" customFormat="1" ht="13.8">
      <c r="A161" s="193"/>
      <c r="B161" s="187"/>
      <c r="C161" s="183" t="str">
        <f t="shared" si="15"/>
        <v/>
      </c>
      <c r="D161" s="182" t="str">
        <f t="shared" si="16"/>
        <v/>
      </c>
      <c r="E161" s="192" t="s">
        <v>681</v>
      </c>
      <c r="F161" s="192" t="s">
        <v>698</v>
      </c>
      <c r="G161" s="192" t="s">
        <v>739</v>
      </c>
      <c r="H161" s="210" t="s">
        <v>1440</v>
      </c>
      <c r="I161" s="167">
        <v>198000000</v>
      </c>
      <c r="J161" s="166"/>
      <c r="K161" s="167">
        <v>198000000</v>
      </c>
      <c r="L161" s="171"/>
      <c r="M161" s="168">
        <f t="shared" si="17"/>
        <v>198000000</v>
      </c>
      <c r="N161" s="171"/>
      <c r="O161" s="167">
        <v>99837000</v>
      </c>
      <c r="P161" s="167">
        <f t="shared" si="18"/>
        <v>99837000</v>
      </c>
      <c r="Q161" s="167"/>
      <c r="S161" s="201">
        <f t="shared" si="19"/>
        <v>198</v>
      </c>
      <c r="T161" s="201">
        <f t="shared" si="14"/>
        <v>198</v>
      </c>
      <c r="U161" s="201">
        <f t="shared" si="14"/>
        <v>0</v>
      </c>
      <c r="V161" s="201">
        <f t="shared" si="14"/>
        <v>99.837000000000003</v>
      </c>
      <c r="W161" s="201">
        <f t="shared" si="14"/>
        <v>99.837000000000003</v>
      </c>
      <c r="X161" s="201">
        <f t="shared" si="14"/>
        <v>0</v>
      </c>
    </row>
    <row r="162" spans="1:24" s="169" customFormat="1" ht="13.8">
      <c r="A162" s="194"/>
      <c r="B162" s="184"/>
      <c r="C162" s="183" t="str">
        <f t="shared" si="15"/>
        <v/>
      </c>
      <c r="D162" s="182" t="str">
        <f t="shared" si="16"/>
        <v/>
      </c>
      <c r="E162" s="192" t="s">
        <v>681</v>
      </c>
      <c r="F162" s="192" t="s">
        <v>698</v>
      </c>
      <c r="G162" s="192" t="s">
        <v>727</v>
      </c>
      <c r="H162" s="210" t="s">
        <v>1440</v>
      </c>
      <c r="I162" s="167">
        <v>408000000</v>
      </c>
      <c r="J162" s="167">
        <v>408000000</v>
      </c>
      <c r="K162" s="166"/>
      <c r="L162" s="171"/>
      <c r="M162" s="168">
        <f t="shared" si="17"/>
        <v>408000000</v>
      </c>
      <c r="N162" s="171"/>
      <c r="O162" s="167">
        <v>384542000</v>
      </c>
      <c r="P162" s="167">
        <f t="shared" si="18"/>
        <v>384542000</v>
      </c>
      <c r="Q162" s="167"/>
      <c r="S162" s="201">
        <f t="shared" si="19"/>
        <v>408</v>
      </c>
      <c r="T162" s="201">
        <f t="shared" si="14"/>
        <v>408</v>
      </c>
      <c r="U162" s="201">
        <f t="shared" si="14"/>
        <v>0</v>
      </c>
      <c r="V162" s="201">
        <f t="shared" si="14"/>
        <v>384.54199999999997</v>
      </c>
      <c r="W162" s="201">
        <f t="shared" si="14"/>
        <v>384.54199999999997</v>
      </c>
      <c r="X162" s="201">
        <f t="shared" si="14"/>
        <v>0</v>
      </c>
    </row>
    <row r="163" spans="1:24" s="169" customFormat="1" ht="13.8">
      <c r="A163" s="194"/>
      <c r="B163" s="184"/>
      <c r="C163" s="183" t="str">
        <f t="shared" si="15"/>
        <v/>
      </c>
      <c r="D163" s="182" t="str">
        <f t="shared" si="16"/>
        <v/>
      </c>
      <c r="E163" s="192" t="s">
        <v>681</v>
      </c>
      <c r="F163" s="192" t="s">
        <v>698</v>
      </c>
      <c r="G163" s="192" t="s">
        <v>699</v>
      </c>
      <c r="H163" s="210" t="s">
        <v>1440</v>
      </c>
      <c r="I163" s="167">
        <v>2824000000</v>
      </c>
      <c r="J163" s="166"/>
      <c r="K163" s="167">
        <v>2824000000</v>
      </c>
      <c r="L163" s="171"/>
      <c r="M163" s="168">
        <f t="shared" si="17"/>
        <v>2824000000</v>
      </c>
      <c r="N163" s="171"/>
      <c r="O163" s="167">
        <v>2536341000</v>
      </c>
      <c r="P163" s="167">
        <f t="shared" si="18"/>
        <v>2536341000</v>
      </c>
      <c r="Q163" s="167"/>
      <c r="S163" s="201">
        <f t="shared" si="19"/>
        <v>2824</v>
      </c>
      <c r="T163" s="201">
        <f t="shared" si="14"/>
        <v>2824</v>
      </c>
      <c r="U163" s="201">
        <f t="shared" si="14"/>
        <v>0</v>
      </c>
      <c r="V163" s="201">
        <f t="shared" si="14"/>
        <v>2536.3409999999999</v>
      </c>
      <c r="W163" s="201">
        <f t="shared" si="14"/>
        <v>2536.3409999999999</v>
      </c>
      <c r="X163" s="201">
        <f t="shared" si="14"/>
        <v>0</v>
      </c>
    </row>
    <row r="164" spans="1:24" s="169" customFormat="1" ht="13.8">
      <c r="A164" s="194"/>
      <c r="B164" s="184"/>
      <c r="C164" s="183" t="str">
        <f t="shared" si="15"/>
        <v/>
      </c>
      <c r="D164" s="182" t="str">
        <f t="shared" si="16"/>
        <v/>
      </c>
      <c r="E164" s="192" t="s">
        <v>681</v>
      </c>
      <c r="F164" s="192" t="s">
        <v>698</v>
      </c>
      <c r="G164" s="192" t="s">
        <v>740</v>
      </c>
      <c r="H164" s="210" t="s">
        <v>1440</v>
      </c>
      <c r="I164" s="167">
        <v>216000000</v>
      </c>
      <c r="J164" s="166"/>
      <c r="K164" s="167">
        <v>216000000</v>
      </c>
      <c r="L164" s="171"/>
      <c r="M164" s="168">
        <f t="shared" si="17"/>
        <v>216000000</v>
      </c>
      <c r="N164" s="171"/>
      <c r="O164" s="167">
        <v>209981000</v>
      </c>
      <c r="P164" s="167">
        <f t="shared" si="18"/>
        <v>209981000</v>
      </c>
      <c r="Q164" s="167"/>
      <c r="S164" s="201">
        <f t="shared" si="19"/>
        <v>216</v>
      </c>
      <c r="T164" s="201">
        <f t="shared" si="14"/>
        <v>216</v>
      </c>
      <c r="U164" s="201">
        <f t="shared" si="14"/>
        <v>0</v>
      </c>
      <c r="V164" s="201">
        <f t="shared" si="14"/>
        <v>209.98099999999999</v>
      </c>
      <c r="W164" s="201">
        <f t="shared" si="14"/>
        <v>209.98099999999999</v>
      </c>
      <c r="X164" s="201">
        <f t="shared" si="14"/>
        <v>0</v>
      </c>
    </row>
    <row r="165" spans="1:24" s="169" customFormat="1" ht="13.8">
      <c r="A165" s="195"/>
      <c r="B165" s="188"/>
      <c r="C165" s="183" t="str">
        <f t="shared" si="15"/>
        <v/>
      </c>
      <c r="D165" s="182" t="str">
        <f t="shared" si="16"/>
        <v/>
      </c>
      <c r="E165" s="192" t="s">
        <v>681</v>
      </c>
      <c r="F165" s="192" t="s">
        <v>698</v>
      </c>
      <c r="G165" s="192" t="s">
        <v>695</v>
      </c>
      <c r="H165" s="210" t="s">
        <v>1440</v>
      </c>
      <c r="I165" s="167">
        <v>263400000</v>
      </c>
      <c r="J165" s="166"/>
      <c r="K165" s="167">
        <v>17000000</v>
      </c>
      <c r="L165" s="168">
        <v>246400000</v>
      </c>
      <c r="M165" s="168">
        <f t="shared" si="17"/>
        <v>263400000</v>
      </c>
      <c r="N165" s="168"/>
      <c r="O165" s="167">
        <v>233156600</v>
      </c>
      <c r="P165" s="167">
        <f t="shared" si="18"/>
        <v>233156600</v>
      </c>
      <c r="Q165" s="167"/>
      <c r="S165" s="201">
        <f t="shared" si="19"/>
        <v>263.39999999999998</v>
      </c>
      <c r="T165" s="201">
        <f t="shared" si="14"/>
        <v>263.39999999999998</v>
      </c>
      <c r="U165" s="201">
        <f t="shared" si="14"/>
        <v>0</v>
      </c>
      <c r="V165" s="201">
        <f t="shared" si="14"/>
        <v>233.1566</v>
      </c>
      <c r="W165" s="201">
        <f t="shared" si="14"/>
        <v>233.1566</v>
      </c>
      <c r="X165" s="201">
        <f t="shared" si="14"/>
        <v>0</v>
      </c>
    </row>
    <row r="166" spans="1:24" s="169" customFormat="1" ht="13.8">
      <c r="A166" s="192" t="s">
        <v>741</v>
      </c>
      <c r="B166" s="170" t="s">
        <v>731</v>
      </c>
      <c r="C166" s="183" t="str">
        <f t="shared" si="15"/>
        <v/>
      </c>
      <c r="D166" s="182" t="str">
        <f t="shared" si="16"/>
        <v/>
      </c>
      <c r="E166" s="206"/>
      <c r="F166" s="207"/>
      <c r="G166" s="207"/>
      <c r="H166" s="205"/>
      <c r="I166" s="167">
        <v>700000000</v>
      </c>
      <c r="J166" s="166"/>
      <c r="K166" s="166"/>
      <c r="L166" s="168">
        <v>700000000</v>
      </c>
      <c r="M166" s="168">
        <f t="shared" si="17"/>
        <v>700000000</v>
      </c>
      <c r="N166" s="168"/>
      <c r="O166" s="167">
        <v>159133000</v>
      </c>
      <c r="P166" s="167">
        <f t="shared" si="18"/>
        <v>159133000</v>
      </c>
      <c r="Q166" s="167"/>
      <c r="S166" s="201">
        <f t="shared" si="19"/>
        <v>700</v>
      </c>
      <c r="T166" s="201">
        <f t="shared" si="14"/>
        <v>700</v>
      </c>
      <c r="U166" s="201">
        <f t="shared" si="14"/>
        <v>0</v>
      </c>
      <c r="V166" s="201">
        <f t="shared" si="14"/>
        <v>159.13300000000001</v>
      </c>
      <c r="W166" s="201">
        <f t="shared" si="14"/>
        <v>159.13300000000001</v>
      </c>
      <c r="X166" s="201">
        <f t="shared" si="14"/>
        <v>0</v>
      </c>
    </row>
    <row r="167" spans="1:24" s="169" customFormat="1" ht="13.8">
      <c r="A167" s="192"/>
      <c r="B167" s="164"/>
      <c r="C167" s="183" t="str">
        <f t="shared" si="15"/>
        <v/>
      </c>
      <c r="D167" s="182" t="str">
        <f t="shared" si="16"/>
        <v/>
      </c>
      <c r="E167" s="192" t="s">
        <v>681</v>
      </c>
      <c r="F167" s="192" t="s">
        <v>698</v>
      </c>
      <c r="G167" s="192" t="s">
        <v>727</v>
      </c>
      <c r="H167" s="210" t="s">
        <v>1442</v>
      </c>
      <c r="I167" s="167">
        <v>700000000</v>
      </c>
      <c r="J167" s="166"/>
      <c r="K167" s="166"/>
      <c r="L167" s="168">
        <v>700000000</v>
      </c>
      <c r="M167" s="168">
        <f t="shared" si="17"/>
        <v>700000000</v>
      </c>
      <c r="N167" s="168"/>
      <c r="O167" s="167">
        <v>159133000</v>
      </c>
      <c r="P167" s="167">
        <f t="shared" si="18"/>
        <v>159133000</v>
      </c>
      <c r="Q167" s="167"/>
      <c r="S167" s="201">
        <f t="shared" si="19"/>
        <v>700</v>
      </c>
      <c r="T167" s="201">
        <f t="shared" si="14"/>
        <v>700</v>
      </c>
      <c r="U167" s="201">
        <f t="shared" si="14"/>
        <v>0</v>
      </c>
      <c r="V167" s="201">
        <f t="shared" si="14"/>
        <v>159.13300000000001</v>
      </c>
      <c r="W167" s="201">
        <f t="shared" si="14"/>
        <v>159.13300000000001</v>
      </c>
      <c r="X167" s="201">
        <f t="shared" si="14"/>
        <v>0</v>
      </c>
    </row>
    <row r="168" spans="1:24" s="169" customFormat="1" ht="26.4">
      <c r="A168" s="192" t="s">
        <v>742</v>
      </c>
      <c r="B168" s="176" t="s">
        <v>743</v>
      </c>
      <c r="C168" s="183" t="str">
        <f t="shared" si="15"/>
        <v>1015425</v>
      </c>
      <c r="D168" s="182" t="str">
        <f t="shared" si="16"/>
        <v>-Chi cục Thủy lợi tỉnh Kon rum</v>
      </c>
      <c r="E168" s="206"/>
      <c r="F168" s="207"/>
      <c r="G168" s="207"/>
      <c r="H168" s="205"/>
      <c r="I168" s="167">
        <v>2832509000</v>
      </c>
      <c r="J168" s="167">
        <v>567000000</v>
      </c>
      <c r="K168" s="167">
        <v>1787000000</v>
      </c>
      <c r="L168" s="168">
        <v>478509000</v>
      </c>
      <c r="M168" s="168">
        <f t="shared" si="17"/>
        <v>2832509000</v>
      </c>
      <c r="N168" s="168"/>
      <c r="O168" s="167">
        <v>2473728311</v>
      </c>
      <c r="P168" s="167">
        <f t="shared" si="18"/>
        <v>2473728311</v>
      </c>
      <c r="Q168" s="167"/>
      <c r="S168" s="201">
        <f t="shared" si="19"/>
        <v>2832.509</v>
      </c>
      <c r="T168" s="201">
        <f t="shared" si="14"/>
        <v>2832.509</v>
      </c>
      <c r="U168" s="201">
        <f t="shared" si="14"/>
        <v>0</v>
      </c>
      <c r="V168" s="201">
        <f t="shared" si="14"/>
        <v>2473.7283109999998</v>
      </c>
      <c r="W168" s="201">
        <f t="shared" si="14"/>
        <v>2473.7283109999998</v>
      </c>
      <c r="X168" s="201">
        <f t="shared" si="14"/>
        <v>0</v>
      </c>
    </row>
    <row r="169" spans="1:24" s="169" customFormat="1" ht="13.8">
      <c r="A169" s="192" t="s">
        <v>744</v>
      </c>
      <c r="B169" s="164" t="s">
        <v>675</v>
      </c>
      <c r="C169" s="183" t="str">
        <f t="shared" si="15"/>
        <v/>
      </c>
      <c r="D169" s="182" t="str">
        <f t="shared" si="16"/>
        <v/>
      </c>
      <c r="E169" s="206"/>
      <c r="F169" s="207"/>
      <c r="G169" s="207"/>
      <c r="H169" s="205"/>
      <c r="I169" s="167">
        <v>2832509000</v>
      </c>
      <c r="J169" s="167">
        <v>567000000</v>
      </c>
      <c r="K169" s="167">
        <v>1787000000</v>
      </c>
      <c r="L169" s="168">
        <v>478509000</v>
      </c>
      <c r="M169" s="168">
        <f t="shared" si="17"/>
        <v>2832509000</v>
      </c>
      <c r="N169" s="168"/>
      <c r="O169" s="167">
        <v>2473728311</v>
      </c>
      <c r="P169" s="167">
        <f t="shared" si="18"/>
        <v>2473728311</v>
      </c>
      <c r="Q169" s="167"/>
      <c r="S169" s="201">
        <f t="shared" si="19"/>
        <v>2832.509</v>
      </c>
      <c r="T169" s="201">
        <f t="shared" si="14"/>
        <v>2832.509</v>
      </c>
      <c r="U169" s="201">
        <f t="shared" si="14"/>
        <v>0</v>
      </c>
      <c r="V169" s="201">
        <f t="shared" si="14"/>
        <v>2473.7283109999998</v>
      </c>
      <c r="W169" s="201">
        <f t="shared" si="14"/>
        <v>2473.7283109999998</v>
      </c>
      <c r="X169" s="201">
        <f t="shared" si="14"/>
        <v>0</v>
      </c>
    </row>
    <row r="170" spans="1:24" s="169" customFormat="1" ht="13.8">
      <c r="A170" s="192"/>
      <c r="B170" s="164" t="s">
        <v>676</v>
      </c>
      <c r="C170" s="183" t="str">
        <f t="shared" si="15"/>
        <v/>
      </c>
      <c r="D170" s="182" t="str">
        <f t="shared" si="16"/>
        <v/>
      </c>
      <c r="E170" s="206"/>
      <c r="F170" s="207"/>
      <c r="G170" s="207"/>
      <c r="H170" s="205"/>
      <c r="I170" s="167">
        <v>1320000000</v>
      </c>
      <c r="J170" s="166"/>
      <c r="K170" s="167">
        <v>1320000000</v>
      </c>
      <c r="L170" s="171"/>
      <c r="M170" s="168">
        <f t="shared" si="17"/>
        <v>1320000000</v>
      </c>
      <c r="N170" s="171"/>
      <c r="O170" s="167">
        <v>1320000000</v>
      </c>
      <c r="P170" s="167">
        <f t="shared" si="18"/>
        <v>1320000000</v>
      </c>
      <c r="Q170" s="167"/>
      <c r="S170" s="201">
        <f t="shared" si="19"/>
        <v>1320</v>
      </c>
      <c r="T170" s="201">
        <f t="shared" si="14"/>
        <v>1320</v>
      </c>
      <c r="U170" s="201">
        <f t="shared" si="14"/>
        <v>0</v>
      </c>
      <c r="V170" s="201">
        <f t="shared" si="14"/>
        <v>1320</v>
      </c>
      <c r="W170" s="201">
        <f t="shared" si="14"/>
        <v>1320</v>
      </c>
      <c r="X170" s="201">
        <f t="shared" si="14"/>
        <v>0</v>
      </c>
    </row>
    <row r="171" spans="1:24" s="169" customFormat="1" ht="13.8">
      <c r="A171" s="192"/>
      <c r="B171" s="164"/>
      <c r="C171" s="183" t="str">
        <f t="shared" si="15"/>
        <v/>
      </c>
      <c r="D171" s="182" t="str">
        <f t="shared" si="16"/>
        <v/>
      </c>
      <c r="E171" s="192" t="s">
        <v>666</v>
      </c>
      <c r="F171" s="192" t="s">
        <v>698</v>
      </c>
      <c r="G171" s="192" t="s">
        <v>695</v>
      </c>
      <c r="H171" s="210" t="s">
        <v>1440</v>
      </c>
      <c r="I171" s="167">
        <v>1320000000</v>
      </c>
      <c r="J171" s="166"/>
      <c r="K171" s="167">
        <v>1320000000</v>
      </c>
      <c r="L171" s="171"/>
      <c r="M171" s="168">
        <f t="shared" si="17"/>
        <v>1320000000</v>
      </c>
      <c r="N171" s="171"/>
      <c r="O171" s="167">
        <v>1320000000</v>
      </c>
      <c r="P171" s="167">
        <f t="shared" si="18"/>
        <v>1320000000</v>
      </c>
      <c r="Q171" s="167"/>
      <c r="S171" s="201">
        <f t="shared" si="19"/>
        <v>1320</v>
      </c>
      <c r="T171" s="201">
        <f t="shared" si="14"/>
        <v>1320</v>
      </c>
      <c r="U171" s="201">
        <f t="shared" si="14"/>
        <v>0</v>
      </c>
      <c r="V171" s="201">
        <f t="shared" si="14"/>
        <v>1320</v>
      </c>
      <c r="W171" s="201">
        <f t="shared" si="14"/>
        <v>1320</v>
      </c>
      <c r="X171" s="201">
        <f t="shared" si="14"/>
        <v>0</v>
      </c>
    </row>
    <row r="172" spans="1:24" s="169" customFormat="1" ht="13.8">
      <c r="A172" s="192"/>
      <c r="B172" s="164" t="s">
        <v>680</v>
      </c>
      <c r="C172" s="183" t="str">
        <f t="shared" si="15"/>
        <v/>
      </c>
      <c r="D172" s="182" t="str">
        <f t="shared" si="16"/>
        <v/>
      </c>
      <c r="E172" s="206"/>
      <c r="F172" s="207"/>
      <c r="G172" s="207"/>
      <c r="H172" s="205"/>
      <c r="I172" s="167">
        <v>1512509000</v>
      </c>
      <c r="J172" s="167">
        <v>567000000</v>
      </c>
      <c r="K172" s="167">
        <v>467000000</v>
      </c>
      <c r="L172" s="168">
        <v>478509000</v>
      </c>
      <c r="M172" s="168">
        <f t="shared" si="17"/>
        <v>1512509000</v>
      </c>
      <c r="N172" s="168"/>
      <c r="O172" s="167">
        <v>1153728311</v>
      </c>
      <c r="P172" s="167">
        <f t="shared" si="18"/>
        <v>1153728311</v>
      </c>
      <c r="Q172" s="167"/>
      <c r="S172" s="201">
        <f t="shared" si="19"/>
        <v>1512.509</v>
      </c>
      <c r="T172" s="201">
        <f t="shared" si="14"/>
        <v>1512.509</v>
      </c>
      <c r="U172" s="201">
        <f t="shared" si="14"/>
        <v>0</v>
      </c>
      <c r="V172" s="201">
        <f t="shared" si="14"/>
        <v>1153.7283110000001</v>
      </c>
      <c r="W172" s="201">
        <f t="shared" si="14"/>
        <v>1153.7283110000001</v>
      </c>
      <c r="X172" s="201">
        <f t="shared" si="14"/>
        <v>0</v>
      </c>
    </row>
    <row r="173" spans="1:24" s="169" customFormat="1" ht="13.8">
      <c r="A173" s="193"/>
      <c r="B173" s="187"/>
      <c r="C173" s="183" t="str">
        <f t="shared" si="15"/>
        <v/>
      </c>
      <c r="D173" s="182" t="str">
        <f t="shared" si="16"/>
        <v/>
      </c>
      <c r="E173" s="192" t="s">
        <v>681</v>
      </c>
      <c r="F173" s="192" t="s">
        <v>698</v>
      </c>
      <c r="G173" s="192" t="s">
        <v>745</v>
      </c>
      <c r="H173" s="210" t="s">
        <v>1440</v>
      </c>
      <c r="I173" s="167">
        <v>1017000000</v>
      </c>
      <c r="J173" s="167">
        <v>567000000</v>
      </c>
      <c r="K173" s="167">
        <v>450000000</v>
      </c>
      <c r="L173" s="171"/>
      <c r="M173" s="168">
        <f t="shared" si="17"/>
        <v>1017000000</v>
      </c>
      <c r="N173" s="171"/>
      <c r="O173" s="167">
        <v>658239311</v>
      </c>
      <c r="P173" s="167">
        <f t="shared" si="18"/>
        <v>658239311</v>
      </c>
      <c r="Q173" s="167"/>
      <c r="S173" s="201">
        <f t="shared" si="19"/>
        <v>1017</v>
      </c>
      <c r="T173" s="201">
        <f t="shared" si="14"/>
        <v>1017</v>
      </c>
      <c r="U173" s="201">
        <f t="shared" si="14"/>
        <v>0</v>
      </c>
      <c r="V173" s="201">
        <f t="shared" si="14"/>
        <v>658.23931100000004</v>
      </c>
      <c r="W173" s="201">
        <f t="shared" si="14"/>
        <v>658.23931100000004</v>
      </c>
      <c r="X173" s="201">
        <f t="shared" si="14"/>
        <v>0</v>
      </c>
    </row>
    <row r="174" spans="1:24" s="169" customFormat="1" ht="13.8">
      <c r="A174" s="195"/>
      <c r="B174" s="188"/>
      <c r="C174" s="183" t="str">
        <f t="shared" si="15"/>
        <v/>
      </c>
      <c r="D174" s="182" t="str">
        <f t="shared" si="16"/>
        <v/>
      </c>
      <c r="E174" s="192" t="s">
        <v>681</v>
      </c>
      <c r="F174" s="192" t="s">
        <v>698</v>
      </c>
      <c r="G174" s="192" t="s">
        <v>695</v>
      </c>
      <c r="H174" s="210" t="s">
        <v>1440</v>
      </c>
      <c r="I174" s="167">
        <v>495509000</v>
      </c>
      <c r="J174" s="166"/>
      <c r="K174" s="167">
        <v>17000000</v>
      </c>
      <c r="L174" s="168">
        <v>478509000</v>
      </c>
      <c r="M174" s="168">
        <f t="shared" si="17"/>
        <v>495509000</v>
      </c>
      <c r="N174" s="168"/>
      <c r="O174" s="167">
        <v>495489000</v>
      </c>
      <c r="P174" s="167">
        <f t="shared" si="18"/>
        <v>495489000</v>
      </c>
      <c r="Q174" s="167"/>
      <c r="S174" s="201">
        <f t="shared" si="19"/>
        <v>495.50900000000001</v>
      </c>
      <c r="T174" s="201">
        <f t="shared" si="14"/>
        <v>495.50900000000001</v>
      </c>
      <c r="U174" s="201">
        <f t="shared" si="14"/>
        <v>0</v>
      </c>
      <c r="V174" s="201">
        <f t="shared" si="14"/>
        <v>495.48899999999998</v>
      </c>
      <c r="W174" s="201">
        <f t="shared" si="14"/>
        <v>495.48899999999998</v>
      </c>
      <c r="X174" s="201">
        <f t="shared" si="14"/>
        <v>0</v>
      </c>
    </row>
    <row r="175" spans="1:24" s="169" customFormat="1" ht="26.4">
      <c r="A175" s="192" t="s">
        <v>746</v>
      </c>
      <c r="B175" s="176" t="s">
        <v>747</v>
      </c>
      <c r="C175" s="183" t="str">
        <f t="shared" si="15"/>
        <v>1015428</v>
      </c>
      <c r="D175" s="182" t="str">
        <f t="shared" si="16"/>
        <v>-Chi cục Chăn nuôi và Thú y :ỉnh Kon Tum</v>
      </c>
      <c r="E175" s="206"/>
      <c r="F175" s="207"/>
      <c r="G175" s="207"/>
      <c r="H175" s="205"/>
      <c r="I175" s="167">
        <v>18364075920</v>
      </c>
      <c r="J175" s="167">
        <v>270435420</v>
      </c>
      <c r="K175" s="167">
        <v>11576300000</v>
      </c>
      <c r="L175" s="168">
        <v>6517340500</v>
      </c>
      <c r="M175" s="168">
        <f t="shared" si="17"/>
        <v>18364075920</v>
      </c>
      <c r="N175" s="168"/>
      <c r="O175" s="167">
        <v>18057664370</v>
      </c>
      <c r="P175" s="167">
        <f t="shared" si="18"/>
        <v>18057664370</v>
      </c>
      <c r="Q175" s="167"/>
      <c r="S175" s="201">
        <f t="shared" si="19"/>
        <v>18364.075919999999</v>
      </c>
      <c r="T175" s="201">
        <f t="shared" si="14"/>
        <v>18364.075919999999</v>
      </c>
      <c r="U175" s="201">
        <f t="shared" si="14"/>
        <v>0</v>
      </c>
      <c r="V175" s="201">
        <f t="shared" si="14"/>
        <v>18057.664369999999</v>
      </c>
      <c r="W175" s="201">
        <f t="shared" si="14"/>
        <v>18057.664369999999</v>
      </c>
      <c r="X175" s="201">
        <f t="shared" si="14"/>
        <v>0</v>
      </c>
    </row>
    <row r="176" spans="1:24" s="169" customFormat="1" ht="13.8">
      <c r="A176" s="192" t="s">
        <v>748</v>
      </c>
      <c r="B176" s="164" t="s">
        <v>675</v>
      </c>
      <c r="C176" s="183" t="str">
        <f t="shared" si="15"/>
        <v/>
      </c>
      <c r="D176" s="182" t="str">
        <f t="shared" si="16"/>
        <v/>
      </c>
      <c r="E176" s="206"/>
      <c r="F176" s="207"/>
      <c r="G176" s="207"/>
      <c r="H176" s="205"/>
      <c r="I176" s="167">
        <v>13906075920</v>
      </c>
      <c r="J176" s="167">
        <v>270435420</v>
      </c>
      <c r="K176" s="167">
        <v>11576300000</v>
      </c>
      <c r="L176" s="168">
        <v>2059340500</v>
      </c>
      <c r="M176" s="168">
        <f t="shared" si="17"/>
        <v>13906075920</v>
      </c>
      <c r="N176" s="168"/>
      <c r="O176" s="167">
        <v>13601989370</v>
      </c>
      <c r="P176" s="167">
        <f t="shared" si="18"/>
        <v>13601989370</v>
      </c>
      <c r="Q176" s="167"/>
      <c r="S176" s="201">
        <f t="shared" si="19"/>
        <v>13906.075919999999</v>
      </c>
      <c r="T176" s="201">
        <f t="shared" si="14"/>
        <v>13906.075919999999</v>
      </c>
      <c r="U176" s="201">
        <f t="shared" si="14"/>
        <v>0</v>
      </c>
      <c r="V176" s="201">
        <f t="shared" si="14"/>
        <v>13601.989369999999</v>
      </c>
      <c r="W176" s="201">
        <f t="shared" si="14"/>
        <v>13601.989369999999</v>
      </c>
      <c r="X176" s="201">
        <f t="shared" si="14"/>
        <v>0</v>
      </c>
    </row>
    <row r="177" spans="1:24" s="169" customFormat="1" ht="13.8">
      <c r="A177" s="192"/>
      <c r="B177" s="164" t="s">
        <v>676</v>
      </c>
      <c r="C177" s="183" t="str">
        <f t="shared" si="15"/>
        <v/>
      </c>
      <c r="D177" s="182" t="str">
        <f t="shared" si="16"/>
        <v/>
      </c>
      <c r="E177" s="206"/>
      <c r="F177" s="207"/>
      <c r="G177" s="207"/>
      <c r="H177" s="205"/>
      <c r="I177" s="167">
        <v>6546072920</v>
      </c>
      <c r="J177" s="167">
        <v>205272920</v>
      </c>
      <c r="K177" s="167">
        <v>6306000000</v>
      </c>
      <c r="L177" s="168">
        <v>34800000</v>
      </c>
      <c r="M177" s="168">
        <f t="shared" si="17"/>
        <v>6546072920</v>
      </c>
      <c r="N177" s="168"/>
      <c r="O177" s="167">
        <v>6514267626</v>
      </c>
      <c r="P177" s="167">
        <f t="shared" si="18"/>
        <v>6514267626</v>
      </c>
      <c r="Q177" s="167"/>
      <c r="S177" s="201">
        <f t="shared" si="19"/>
        <v>6546.0729199999996</v>
      </c>
      <c r="T177" s="201">
        <f t="shared" si="14"/>
        <v>6546.0729199999996</v>
      </c>
      <c r="U177" s="201">
        <f t="shared" si="14"/>
        <v>0</v>
      </c>
      <c r="V177" s="201">
        <f t="shared" si="14"/>
        <v>6514.2676259999998</v>
      </c>
      <c r="W177" s="201">
        <f t="shared" si="14"/>
        <v>6514.2676259999998</v>
      </c>
      <c r="X177" s="201">
        <f t="shared" si="14"/>
        <v>0</v>
      </c>
    </row>
    <row r="178" spans="1:24" s="169" customFormat="1" ht="13.8">
      <c r="A178" s="193"/>
      <c r="B178" s="187"/>
      <c r="C178" s="183" t="str">
        <f t="shared" si="15"/>
        <v/>
      </c>
      <c r="D178" s="182" t="str">
        <f t="shared" si="16"/>
        <v/>
      </c>
      <c r="E178" s="192" t="s">
        <v>666</v>
      </c>
      <c r="F178" s="192" t="s">
        <v>698</v>
      </c>
      <c r="G178" s="192" t="s">
        <v>749</v>
      </c>
      <c r="H178" s="210" t="s">
        <v>1440</v>
      </c>
      <c r="I178" s="167">
        <v>1075000000</v>
      </c>
      <c r="J178" s="166"/>
      <c r="K178" s="167">
        <v>1075000000</v>
      </c>
      <c r="L178" s="171"/>
      <c r="M178" s="168">
        <f t="shared" si="17"/>
        <v>1075000000</v>
      </c>
      <c r="N178" s="171"/>
      <c r="O178" s="167">
        <v>1075000000</v>
      </c>
      <c r="P178" s="167">
        <f t="shared" si="18"/>
        <v>1075000000</v>
      </c>
      <c r="Q178" s="167"/>
      <c r="S178" s="201">
        <f t="shared" si="19"/>
        <v>1075</v>
      </c>
      <c r="T178" s="201">
        <f t="shared" si="14"/>
        <v>1075</v>
      </c>
      <c r="U178" s="201">
        <f t="shared" si="14"/>
        <v>0</v>
      </c>
      <c r="V178" s="201">
        <f t="shared" si="14"/>
        <v>1075</v>
      </c>
      <c r="W178" s="201">
        <f t="shared" si="14"/>
        <v>1075</v>
      </c>
      <c r="X178" s="201">
        <f t="shared" si="14"/>
        <v>0</v>
      </c>
    </row>
    <row r="179" spans="1:24" s="169" customFormat="1" ht="13.8">
      <c r="A179" s="194"/>
      <c r="B179" s="184"/>
      <c r="C179" s="183" t="str">
        <f t="shared" si="15"/>
        <v/>
      </c>
      <c r="D179" s="182" t="str">
        <f t="shared" si="16"/>
        <v/>
      </c>
      <c r="E179" s="192" t="s">
        <v>679</v>
      </c>
      <c r="F179" s="192" t="s">
        <v>698</v>
      </c>
      <c r="G179" s="192" t="s">
        <v>749</v>
      </c>
      <c r="H179" s="210" t="s">
        <v>1440</v>
      </c>
      <c r="I179" s="167">
        <v>91227600</v>
      </c>
      <c r="J179" s="167">
        <v>56427600</v>
      </c>
      <c r="K179" s="166"/>
      <c r="L179" s="168">
        <v>34800000</v>
      </c>
      <c r="M179" s="168">
        <f t="shared" si="17"/>
        <v>91227600</v>
      </c>
      <c r="N179" s="168"/>
      <c r="O179" s="167">
        <v>91227600</v>
      </c>
      <c r="P179" s="167">
        <f t="shared" si="18"/>
        <v>91227600</v>
      </c>
      <c r="Q179" s="167"/>
      <c r="S179" s="201">
        <f t="shared" si="19"/>
        <v>91.227599999999995</v>
      </c>
      <c r="T179" s="201">
        <f t="shared" si="14"/>
        <v>91.227599999999995</v>
      </c>
      <c r="U179" s="201">
        <f t="shared" si="14"/>
        <v>0</v>
      </c>
      <c r="V179" s="201">
        <f t="shared" si="14"/>
        <v>91.227599999999995</v>
      </c>
      <c r="W179" s="201">
        <f t="shared" si="14"/>
        <v>91.227599999999995</v>
      </c>
      <c r="X179" s="201">
        <f t="shared" si="14"/>
        <v>0</v>
      </c>
    </row>
    <row r="180" spans="1:24" s="169" customFormat="1" ht="13.8">
      <c r="A180" s="195"/>
      <c r="B180" s="188"/>
      <c r="C180" s="183" t="str">
        <f t="shared" si="15"/>
        <v/>
      </c>
      <c r="D180" s="182" t="str">
        <f t="shared" si="16"/>
        <v/>
      </c>
      <c r="E180" s="192" t="s">
        <v>666</v>
      </c>
      <c r="F180" s="192" t="s">
        <v>698</v>
      </c>
      <c r="G180" s="192" t="s">
        <v>695</v>
      </c>
      <c r="H180" s="210" t="s">
        <v>1440</v>
      </c>
      <c r="I180" s="167">
        <v>5379845320</v>
      </c>
      <c r="J180" s="167">
        <v>148845320</v>
      </c>
      <c r="K180" s="167">
        <v>5231000000</v>
      </c>
      <c r="L180" s="171"/>
      <c r="M180" s="168">
        <f t="shared" si="17"/>
        <v>5379845320</v>
      </c>
      <c r="N180" s="171"/>
      <c r="O180" s="167">
        <v>5348040026</v>
      </c>
      <c r="P180" s="167">
        <f t="shared" si="18"/>
        <v>5348040026</v>
      </c>
      <c r="Q180" s="167"/>
      <c r="S180" s="201">
        <f t="shared" si="19"/>
        <v>5379.8453200000004</v>
      </c>
      <c r="T180" s="201">
        <f t="shared" si="14"/>
        <v>5379.8453200000004</v>
      </c>
      <c r="U180" s="201">
        <f t="shared" si="14"/>
        <v>0</v>
      </c>
      <c r="V180" s="201">
        <f t="shared" si="14"/>
        <v>5348.0400259999997</v>
      </c>
      <c r="W180" s="201">
        <f t="shared" si="14"/>
        <v>5348.0400259999997</v>
      </c>
      <c r="X180" s="201">
        <f t="shared" si="14"/>
        <v>0</v>
      </c>
    </row>
    <row r="181" spans="1:24" s="169" customFormat="1" ht="13.8">
      <c r="A181" s="192"/>
      <c r="B181" s="164" t="s">
        <v>680</v>
      </c>
      <c r="C181" s="183" t="str">
        <f t="shared" si="15"/>
        <v/>
      </c>
      <c r="D181" s="182" t="str">
        <f t="shared" si="16"/>
        <v/>
      </c>
      <c r="E181" s="206"/>
      <c r="F181" s="207"/>
      <c r="G181" s="207"/>
      <c r="H181" s="205"/>
      <c r="I181" s="167">
        <v>7360003000</v>
      </c>
      <c r="J181" s="167">
        <v>65162500</v>
      </c>
      <c r="K181" s="167">
        <v>5270300000</v>
      </c>
      <c r="L181" s="168">
        <v>2024540500</v>
      </c>
      <c r="M181" s="168">
        <f t="shared" si="17"/>
        <v>7360003000</v>
      </c>
      <c r="N181" s="168"/>
      <c r="O181" s="167">
        <v>7087721744</v>
      </c>
      <c r="P181" s="167">
        <f t="shared" si="18"/>
        <v>7087721744</v>
      </c>
      <c r="Q181" s="167"/>
      <c r="S181" s="201">
        <f t="shared" si="19"/>
        <v>7360.0029999999997</v>
      </c>
      <c r="T181" s="201">
        <f t="shared" si="14"/>
        <v>7360.0029999999997</v>
      </c>
      <c r="U181" s="201">
        <f t="shared" si="14"/>
        <v>0</v>
      </c>
      <c r="V181" s="201">
        <f t="shared" si="14"/>
        <v>7087.7217440000004</v>
      </c>
      <c r="W181" s="201">
        <f t="shared" si="14"/>
        <v>7087.7217440000004</v>
      </c>
      <c r="X181" s="201">
        <f t="shared" si="14"/>
        <v>0</v>
      </c>
    </row>
    <row r="182" spans="1:24" s="169" customFormat="1" ht="13.8">
      <c r="A182" s="193"/>
      <c r="B182" s="187"/>
      <c r="C182" s="183" t="str">
        <f t="shared" si="15"/>
        <v/>
      </c>
      <c r="D182" s="182" t="str">
        <f t="shared" si="16"/>
        <v/>
      </c>
      <c r="E182" s="192" t="s">
        <v>681</v>
      </c>
      <c r="F182" s="192" t="s">
        <v>698</v>
      </c>
      <c r="G182" s="192" t="s">
        <v>749</v>
      </c>
      <c r="H182" s="210" t="s">
        <v>1440</v>
      </c>
      <c r="I182" s="167">
        <v>5290759500</v>
      </c>
      <c r="J182" s="167">
        <v>20459500</v>
      </c>
      <c r="K182" s="167">
        <v>5270300000</v>
      </c>
      <c r="L182" s="171"/>
      <c r="M182" s="168">
        <f t="shared" si="17"/>
        <v>5290759500</v>
      </c>
      <c r="N182" s="171"/>
      <c r="O182" s="167">
        <v>5231956944</v>
      </c>
      <c r="P182" s="167">
        <f t="shared" si="18"/>
        <v>5231956944</v>
      </c>
      <c r="Q182" s="167"/>
      <c r="S182" s="201">
        <f t="shared" si="19"/>
        <v>5290.7595000000001</v>
      </c>
      <c r="T182" s="201">
        <f t="shared" ref="T182:X232" si="20">M182/1000000</f>
        <v>5290.7595000000001</v>
      </c>
      <c r="U182" s="201">
        <f t="shared" si="20"/>
        <v>0</v>
      </c>
      <c r="V182" s="201">
        <f t="shared" si="20"/>
        <v>5231.9569439999996</v>
      </c>
      <c r="W182" s="201">
        <f t="shared" si="20"/>
        <v>5231.9569439999996</v>
      </c>
      <c r="X182" s="201">
        <f t="shared" si="20"/>
        <v>0</v>
      </c>
    </row>
    <row r="183" spans="1:24" s="169" customFormat="1" ht="13.8">
      <c r="A183" s="194"/>
      <c r="B183" s="184"/>
      <c r="C183" s="183" t="str">
        <f t="shared" si="15"/>
        <v/>
      </c>
      <c r="D183" s="182" t="str">
        <f t="shared" si="16"/>
        <v/>
      </c>
      <c r="E183" s="192" t="s">
        <v>667</v>
      </c>
      <c r="F183" s="192" t="s">
        <v>698</v>
      </c>
      <c r="G183" s="192" t="s">
        <v>749</v>
      </c>
      <c r="H183" s="210" t="s">
        <v>1440</v>
      </c>
      <c r="I183" s="167">
        <v>1775983500</v>
      </c>
      <c r="J183" s="166"/>
      <c r="K183" s="166"/>
      <c r="L183" s="168">
        <v>1775983500</v>
      </c>
      <c r="M183" s="168">
        <f t="shared" si="17"/>
        <v>1775983500</v>
      </c>
      <c r="N183" s="168"/>
      <c r="O183" s="167">
        <v>1607223000</v>
      </c>
      <c r="P183" s="167">
        <f t="shared" si="18"/>
        <v>1607223000</v>
      </c>
      <c r="Q183" s="167"/>
      <c r="S183" s="201">
        <f t="shared" si="19"/>
        <v>1775.9835</v>
      </c>
      <c r="T183" s="201">
        <f t="shared" si="20"/>
        <v>1775.9835</v>
      </c>
      <c r="U183" s="201">
        <f t="shared" si="20"/>
        <v>0</v>
      </c>
      <c r="V183" s="201">
        <f t="shared" si="20"/>
        <v>1607.223</v>
      </c>
      <c r="W183" s="201">
        <f t="shared" si="20"/>
        <v>1607.223</v>
      </c>
      <c r="X183" s="201">
        <f t="shared" si="20"/>
        <v>0</v>
      </c>
    </row>
    <row r="184" spans="1:24" s="169" customFormat="1" ht="13.8">
      <c r="A184" s="194"/>
      <c r="B184" s="184"/>
      <c r="C184" s="183" t="str">
        <f t="shared" si="15"/>
        <v/>
      </c>
      <c r="D184" s="182" t="str">
        <f t="shared" si="16"/>
        <v/>
      </c>
      <c r="E184" s="192" t="s">
        <v>681</v>
      </c>
      <c r="F184" s="192" t="s">
        <v>698</v>
      </c>
      <c r="G184" s="192" t="s">
        <v>695</v>
      </c>
      <c r="H184" s="210" t="s">
        <v>1440</v>
      </c>
      <c r="I184" s="167">
        <v>283260000</v>
      </c>
      <c r="J184" s="167">
        <v>44703000</v>
      </c>
      <c r="K184" s="166"/>
      <c r="L184" s="168">
        <v>238557000</v>
      </c>
      <c r="M184" s="168">
        <f t="shared" si="17"/>
        <v>283260000</v>
      </c>
      <c r="N184" s="168"/>
      <c r="O184" s="167">
        <v>238541800</v>
      </c>
      <c r="P184" s="167">
        <f t="shared" si="18"/>
        <v>238541800</v>
      </c>
      <c r="Q184" s="167"/>
      <c r="S184" s="201">
        <f t="shared" si="19"/>
        <v>283.26</v>
      </c>
      <c r="T184" s="201">
        <f t="shared" si="20"/>
        <v>283.26</v>
      </c>
      <c r="U184" s="201">
        <f t="shared" si="20"/>
        <v>0</v>
      </c>
      <c r="V184" s="201">
        <f t="shared" si="20"/>
        <v>238.54179999999999</v>
      </c>
      <c r="W184" s="201">
        <f t="shared" si="20"/>
        <v>238.54179999999999</v>
      </c>
      <c r="X184" s="201">
        <f t="shared" si="20"/>
        <v>0</v>
      </c>
    </row>
    <row r="185" spans="1:24" s="169" customFormat="1" ht="13.8">
      <c r="A185" s="195"/>
      <c r="B185" s="188"/>
      <c r="C185" s="183" t="str">
        <f t="shared" si="15"/>
        <v/>
      </c>
      <c r="D185" s="182" t="str">
        <f t="shared" si="16"/>
        <v/>
      </c>
      <c r="E185" s="192" t="s">
        <v>667</v>
      </c>
      <c r="F185" s="192" t="s">
        <v>698</v>
      </c>
      <c r="G185" s="192" t="s">
        <v>695</v>
      </c>
      <c r="H185" s="210" t="s">
        <v>1440</v>
      </c>
      <c r="I185" s="167">
        <v>10000000</v>
      </c>
      <c r="J185" s="166"/>
      <c r="K185" s="166"/>
      <c r="L185" s="168">
        <v>10000000</v>
      </c>
      <c r="M185" s="168">
        <f t="shared" si="17"/>
        <v>10000000</v>
      </c>
      <c r="N185" s="168"/>
      <c r="O185" s="167">
        <v>10000000</v>
      </c>
      <c r="P185" s="167">
        <f t="shared" si="18"/>
        <v>10000000</v>
      </c>
      <c r="Q185" s="167"/>
      <c r="S185" s="201">
        <f t="shared" si="19"/>
        <v>10</v>
      </c>
      <c r="T185" s="201">
        <f t="shared" si="20"/>
        <v>10</v>
      </c>
      <c r="U185" s="201">
        <f t="shared" si="20"/>
        <v>0</v>
      </c>
      <c r="V185" s="201">
        <f t="shared" si="20"/>
        <v>10</v>
      </c>
      <c r="W185" s="201">
        <f t="shared" si="20"/>
        <v>10</v>
      </c>
      <c r="X185" s="201">
        <f t="shared" si="20"/>
        <v>0</v>
      </c>
    </row>
    <row r="186" spans="1:24" s="169" customFormat="1" ht="13.8">
      <c r="A186" s="192" t="s">
        <v>750</v>
      </c>
      <c r="B186" s="164" t="s">
        <v>731</v>
      </c>
      <c r="C186" s="183" t="str">
        <f t="shared" si="15"/>
        <v/>
      </c>
      <c r="D186" s="182" t="str">
        <f t="shared" si="16"/>
        <v/>
      </c>
      <c r="E186" s="206"/>
      <c r="F186" s="207"/>
      <c r="G186" s="207"/>
      <c r="H186" s="205"/>
      <c r="I186" s="167">
        <v>4458000000</v>
      </c>
      <c r="J186" s="166"/>
      <c r="K186" s="166"/>
      <c r="L186" s="168">
        <v>4458000000</v>
      </c>
      <c r="M186" s="168">
        <f t="shared" si="17"/>
        <v>4458000000</v>
      </c>
      <c r="N186" s="168"/>
      <c r="O186" s="167">
        <v>4455675000</v>
      </c>
      <c r="P186" s="167">
        <f t="shared" si="18"/>
        <v>4455675000</v>
      </c>
      <c r="Q186" s="167"/>
      <c r="S186" s="201">
        <f t="shared" si="19"/>
        <v>4458</v>
      </c>
      <c r="T186" s="201">
        <f t="shared" si="20"/>
        <v>4458</v>
      </c>
      <c r="U186" s="201">
        <f t="shared" si="20"/>
        <v>0</v>
      </c>
      <c r="V186" s="201">
        <f t="shared" si="20"/>
        <v>4455.6750000000002</v>
      </c>
      <c r="W186" s="201">
        <f t="shared" si="20"/>
        <v>4455.6750000000002</v>
      </c>
      <c r="X186" s="201">
        <f t="shared" si="20"/>
        <v>0</v>
      </c>
    </row>
    <row r="187" spans="1:24" s="169" customFormat="1" ht="13.8">
      <c r="A187" s="192"/>
      <c r="B187" s="164"/>
      <c r="C187" s="183" t="str">
        <f t="shared" si="15"/>
        <v/>
      </c>
      <c r="D187" s="182" t="str">
        <f t="shared" si="16"/>
        <v/>
      </c>
      <c r="E187" s="192" t="s">
        <v>681</v>
      </c>
      <c r="F187" s="192" t="s">
        <v>698</v>
      </c>
      <c r="G187" s="192" t="s">
        <v>749</v>
      </c>
      <c r="H187" s="210" t="s">
        <v>1443</v>
      </c>
      <c r="I187" s="167">
        <v>4458000000</v>
      </c>
      <c r="J187" s="166"/>
      <c r="K187" s="166"/>
      <c r="L187" s="168">
        <v>4458000000</v>
      </c>
      <c r="M187" s="168">
        <f t="shared" si="17"/>
        <v>4458000000</v>
      </c>
      <c r="N187" s="168"/>
      <c r="O187" s="167">
        <v>4455675000</v>
      </c>
      <c r="P187" s="167">
        <f t="shared" si="18"/>
        <v>4455675000</v>
      </c>
      <c r="Q187" s="167"/>
      <c r="S187" s="201">
        <f t="shared" si="19"/>
        <v>4458</v>
      </c>
      <c r="T187" s="201">
        <f t="shared" si="20"/>
        <v>4458</v>
      </c>
      <c r="U187" s="201">
        <f t="shared" si="20"/>
        <v>0</v>
      </c>
      <c r="V187" s="201">
        <f t="shared" si="20"/>
        <v>4455.6750000000002</v>
      </c>
      <c r="W187" s="201">
        <f t="shared" si="20"/>
        <v>4455.6750000000002</v>
      </c>
      <c r="X187" s="201">
        <f t="shared" si="20"/>
        <v>0</v>
      </c>
    </row>
    <row r="188" spans="1:24" s="169" customFormat="1" ht="26.4">
      <c r="A188" s="192" t="s">
        <v>751</v>
      </c>
      <c r="B188" s="176" t="s">
        <v>752</v>
      </c>
      <c r="C188" s="183" t="str">
        <f t="shared" si="15"/>
        <v>1016743</v>
      </c>
      <c r="D188" s="182" t="str">
        <f t="shared" si="16"/>
        <v>-Trường Trung học PhS thông Mguyên Văn Cừ</v>
      </c>
      <c r="E188" s="206"/>
      <c r="F188" s="207"/>
      <c r="G188" s="207"/>
      <c r="H188" s="205"/>
      <c r="I188" s="167">
        <v>6737583000</v>
      </c>
      <c r="J188" s="167">
        <v>1000000</v>
      </c>
      <c r="K188" s="167">
        <v>6495427000</v>
      </c>
      <c r="L188" s="168">
        <v>241156000</v>
      </c>
      <c r="M188" s="168">
        <f t="shared" si="17"/>
        <v>6737583000</v>
      </c>
      <c r="N188" s="168"/>
      <c r="O188" s="167">
        <v>6683067556</v>
      </c>
      <c r="P188" s="167">
        <f t="shared" si="18"/>
        <v>6683067556</v>
      </c>
      <c r="Q188" s="167"/>
      <c r="S188" s="201">
        <f t="shared" si="19"/>
        <v>6737.5829999999996</v>
      </c>
      <c r="T188" s="201">
        <f t="shared" si="20"/>
        <v>6737.5829999999996</v>
      </c>
      <c r="U188" s="201">
        <f t="shared" si="20"/>
        <v>0</v>
      </c>
      <c r="V188" s="201">
        <f t="shared" si="20"/>
        <v>6683.067556</v>
      </c>
      <c r="W188" s="201">
        <f t="shared" si="20"/>
        <v>6683.067556</v>
      </c>
      <c r="X188" s="201">
        <f t="shared" si="20"/>
        <v>0</v>
      </c>
    </row>
    <row r="189" spans="1:24" s="169" customFormat="1" ht="13.8">
      <c r="A189" s="192"/>
      <c r="B189" s="173"/>
      <c r="C189" s="183" t="str">
        <f t="shared" si="15"/>
        <v/>
      </c>
      <c r="D189" s="182" t="str">
        <f t="shared" si="16"/>
        <v/>
      </c>
      <c r="E189" s="192"/>
      <c r="F189" s="192"/>
      <c r="G189" s="192"/>
      <c r="H189" s="210"/>
      <c r="I189" s="174"/>
      <c r="J189" s="174"/>
      <c r="K189" s="174"/>
      <c r="L189" s="175"/>
      <c r="M189" s="168">
        <f t="shared" si="17"/>
        <v>0</v>
      </c>
      <c r="N189" s="175"/>
      <c r="O189" s="174"/>
      <c r="P189" s="167">
        <f t="shared" si="18"/>
        <v>0</v>
      </c>
      <c r="Q189" s="174"/>
      <c r="S189" s="201">
        <f t="shared" si="19"/>
        <v>0</v>
      </c>
      <c r="T189" s="201">
        <f t="shared" si="20"/>
        <v>0</v>
      </c>
      <c r="U189" s="201">
        <f t="shared" si="20"/>
        <v>0</v>
      </c>
      <c r="V189" s="201">
        <f t="shared" si="20"/>
        <v>0</v>
      </c>
      <c r="W189" s="201">
        <f t="shared" si="20"/>
        <v>0</v>
      </c>
      <c r="X189" s="201">
        <f t="shared" si="20"/>
        <v>0</v>
      </c>
    </row>
    <row r="190" spans="1:24" s="169" customFormat="1" ht="13.8">
      <c r="A190" s="192" t="s">
        <v>753</v>
      </c>
      <c r="B190" s="170" t="s">
        <v>689</v>
      </c>
      <c r="C190" s="183" t="str">
        <f t="shared" si="15"/>
        <v/>
      </c>
      <c r="D190" s="182" t="str">
        <f t="shared" si="16"/>
        <v/>
      </c>
      <c r="E190" s="206"/>
      <c r="F190" s="207"/>
      <c r="G190" s="207"/>
      <c r="H190" s="205"/>
      <c r="I190" s="167">
        <v>6737583000</v>
      </c>
      <c r="J190" s="167">
        <v>1000000</v>
      </c>
      <c r="K190" s="167">
        <v>6495427000</v>
      </c>
      <c r="L190" s="168">
        <v>241156000</v>
      </c>
      <c r="M190" s="168">
        <f t="shared" si="17"/>
        <v>6737583000</v>
      </c>
      <c r="N190" s="168"/>
      <c r="O190" s="167">
        <v>6683067556</v>
      </c>
      <c r="P190" s="167">
        <f t="shared" si="18"/>
        <v>6683067556</v>
      </c>
      <c r="Q190" s="167"/>
      <c r="S190" s="201">
        <f t="shared" si="19"/>
        <v>6737.5829999999996</v>
      </c>
      <c r="T190" s="201">
        <f t="shared" si="20"/>
        <v>6737.5829999999996</v>
      </c>
      <c r="U190" s="201">
        <f t="shared" si="20"/>
        <v>0</v>
      </c>
      <c r="V190" s="201">
        <f t="shared" si="20"/>
        <v>6683.067556</v>
      </c>
      <c r="W190" s="201">
        <f t="shared" si="20"/>
        <v>6683.067556</v>
      </c>
      <c r="X190" s="201">
        <f t="shared" si="20"/>
        <v>0</v>
      </c>
    </row>
    <row r="191" spans="1:24" s="169" customFormat="1" ht="13.8">
      <c r="A191" s="192"/>
      <c r="B191" s="170" t="s">
        <v>690</v>
      </c>
      <c r="C191" s="183" t="str">
        <f t="shared" si="15"/>
        <v/>
      </c>
      <c r="D191" s="182" t="str">
        <f t="shared" si="16"/>
        <v/>
      </c>
      <c r="E191" s="206"/>
      <c r="F191" s="207"/>
      <c r="G191" s="207"/>
      <c r="H191" s="205"/>
      <c r="I191" s="167">
        <v>5939752000</v>
      </c>
      <c r="J191" s="167">
        <v>1000000</v>
      </c>
      <c r="K191" s="167">
        <v>5845659000</v>
      </c>
      <c r="L191" s="168">
        <v>93093000</v>
      </c>
      <c r="M191" s="168">
        <f t="shared" si="17"/>
        <v>5939752000</v>
      </c>
      <c r="N191" s="168"/>
      <c r="O191" s="167">
        <v>5908217751</v>
      </c>
      <c r="P191" s="167">
        <f t="shared" si="18"/>
        <v>5908217751</v>
      </c>
      <c r="Q191" s="167"/>
      <c r="S191" s="201">
        <f t="shared" si="19"/>
        <v>5939.7520000000004</v>
      </c>
      <c r="T191" s="201">
        <f t="shared" si="20"/>
        <v>5939.7520000000004</v>
      </c>
      <c r="U191" s="201">
        <f t="shared" si="20"/>
        <v>0</v>
      </c>
      <c r="V191" s="201">
        <f t="shared" si="20"/>
        <v>5908.2177510000001</v>
      </c>
      <c r="W191" s="201">
        <f t="shared" si="20"/>
        <v>5908.2177510000001</v>
      </c>
      <c r="X191" s="201">
        <f t="shared" si="20"/>
        <v>0</v>
      </c>
    </row>
    <row r="192" spans="1:24" s="169" customFormat="1" ht="13.8">
      <c r="A192" s="193"/>
      <c r="B192" s="187"/>
      <c r="C192" s="183" t="str">
        <f t="shared" si="15"/>
        <v/>
      </c>
      <c r="D192" s="182" t="str">
        <f t="shared" si="16"/>
        <v/>
      </c>
      <c r="E192" s="192" t="s">
        <v>666</v>
      </c>
      <c r="F192" s="192" t="s">
        <v>677</v>
      </c>
      <c r="G192" s="192" t="s">
        <v>678</v>
      </c>
      <c r="H192" s="210" t="s">
        <v>1440</v>
      </c>
      <c r="I192" s="167">
        <v>5846659000</v>
      </c>
      <c r="J192" s="167">
        <v>1000000</v>
      </c>
      <c r="K192" s="167">
        <v>5845659000</v>
      </c>
      <c r="L192" s="171"/>
      <c r="M192" s="168">
        <f t="shared" si="17"/>
        <v>5846659000</v>
      </c>
      <c r="N192" s="171"/>
      <c r="O192" s="167">
        <v>5818217751</v>
      </c>
      <c r="P192" s="167">
        <f t="shared" si="18"/>
        <v>5818217751</v>
      </c>
      <c r="Q192" s="167"/>
      <c r="S192" s="201">
        <f t="shared" si="19"/>
        <v>5846.6589999999997</v>
      </c>
      <c r="T192" s="201">
        <f t="shared" si="20"/>
        <v>5846.6589999999997</v>
      </c>
      <c r="U192" s="201">
        <f t="shared" si="20"/>
        <v>0</v>
      </c>
      <c r="V192" s="201">
        <f t="shared" si="20"/>
        <v>5818.2177510000001</v>
      </c>
      <c r="W192" s="201">
        <f t="shared" si="20"/>
        <v>5818.2177510000001</v>
      </c>
      <c r="X192" s="201">
        <f t="shared" si="20"/>
        <v>0</v>
      </c>
    </row>
    <row r="193" spans="1:24" s="169" customFormat="1" ht="13.8">
      <c r="A193" s="194"/>
      <c r="B193" s="184"/>
      <c r="C193" s="183" t="str">
        <f t="shared" si="15"/>
        <v/>
      </c>
      <c r="D193" s="182" t="str">
        <f t="shared" si="16"/>
        <v/>
      </c>
      <c r="E193" s="192" t="s">
        <v>679</v>
      </c>
      <c r="F193" s="192" t="s">
        <v>677</v>
      </c>
      <c r="G193" s="192" t="s">
        <v>678</v>
      </c>
      <c r="H193" s="210" t="s">
        <v>1440</v>
      </c>
      <c r="I193" s="167">
        <v>90000000</v>
      </c>
      <c r="J193" s="166"/>
      <c r="K193" s="166"/>
      <c r="L193" s="168">
        <v>90000000</v>
      </c>
      <c r="M193" s="168">
        <f t="shared" si="17"/>
        <v>90000000</v>
      </c>
      <c r="N193" s="168"/>
      <c r="O193" s="167">
        <v>90000000</v>
      </c>
      <c r="P193" s="167">
        <f t="shared" si="18"/>
        <v>90000000</v>
      </c>
      <c r="Q193" s="167"/>
      <c r="S193" s="201">
        <f t="shared" si="19"/>
        <v>90</v>
      </c>
      <c r="T193" s="201">
        <f t="shared" si="20"/>
        <v>90</v>
      </c>
      <c r="U193" s="201">
        <f t="shared" si="20"/>
        <v>0</v>
      </c>
      <c r="V193" s="201">
        <f t="shared" si="20"/>
        <v>90</v>
      </c>
      <c r="W193" s="201">
        <f t="shared" si="20"/>
        <v>90</v>
      </c>
      <c r="X193" s="201">
        <f t="shared" si="20"/>
        <v>0</v>
      </c>
    </row>
    <row r="194" spans="1:24" s="169" customFormat="1" ht="13.8">
      <c r="A194" s="195"/>
      <c r="B194" s="188"/>
      <c r="C194" s="183" t="str">
        <f t="shared" si="15"/>
        <v/>
      </c>
      <c r="D194" s="182" t="str">
        <f t="shared" si="16"/>
        <v/>
      </c>
      <c r="E194" s="192" t="s">
        <v>669</v>
      </c>
      <c r="F194" s="192" t="s">
        <v>677</v>
      </c>
      <c r="G194" s="192" t="s">
        <v>678</v>
      </c>
      <c r="H194" s="210" t="s">
        <v>1440</v>
      </c>
      <c r="I194" s="167">
        <v>3093000</v>
      </c>
      <c r="J194" s="166"/>
      <c r="K194" s="166"/>
      <c r="L194" s="168">
        <v>3093000</v>
      </c>
      <c r="M194" s="168">
        <f t="shared" si="17"/>
        <v>3093000</v>
      </c>
      <c r="N194" s="168"/>
      <c r="O194" s="166"/>
      <c r="P194" s="167">
        <f t="shared" si="18"/>
        <v>0</v>
      </c>
      <c r="Q194" s="166"/>
      <c r="S194" s="201">
        <f t="shared" si="19"/>
        <v>3.093</v>
      </c>
      <c r="T194" s="201">
        <f t="shared" si="20"/>
        <v>3.093</v>
      </c>
      <c r="U194" s="201">
        <f t="shared" si="20"/>
        <v>0</v>
      </c>
      <c r="V194" s="201">
        <f t="shared" si="20"/>
        <v>0</v>
      </c>
      <c r="W194" s="201">
        <f t="shared" si="20"/>
        <v>0</v>
      </c>
      <c r="X194" s="201">
        <f t="shared" si="20"/>
        <v>0</v>
      </c>
    </row>
    <row r="195" spans="1:24" s="169" customFormat="1" ht="13.8">
      <c r="A195" s="192"/>
      <c r="B195" s="170" t="s">
        <v>686</v>
      </c>
      <c r="C195" s="183" t="str">
        <f t="shared" si="15"/>
        <v/>
      </c>
      <c r="D195" s="182" t="str">
        <f t="shared" si="16"/>
        <v/>
      </c>
      <c r="E195" s="206"/>
      <c r="F195" s="207"/>
      <c r="G195" s="207"/>
      <c r="H195" s="205"/>
      <c r="I195" s="167">
        <v>797831000</v>
      </c>
      <c r="J195" s="166"/>
      <c r="K195" s="167">
        <v>649768000</v>
      </c>
      <c r="L195" s="168">
        <v>148063000</v>
      </c>
      <c r="M195" s="168">
        <f t="shared" si="17"/>
        <v>797831000</v>
      </c>
      <c r="N195" s="168"/>
      <c r="O195" s="167">
        <v>774849805</v>
      </c>
      <c r="P195" s="167">
        <f t="shared" si="18"/>
        <v>774849805</v>
      </c>
      <c r="Q195" s="167"/>
      <c r="S195" s="201">
        <f t="shared" si="19"/>
        <v>797.83100000000002</v>
      </c>
      <c r="T195" s="201">
        <f t="shared" si="20"/>
        <v>797.83100000000002</v>
      </c>
      <c r="U195" s="201">
        <f t="shared" si="20"/>
        <v>0</v>
      </c>
      <c r="V195" s="201">
        <f t="shared" si="20"/>
        <v>774.84980499999995</v>
      </c>
      <c r="W195" s="201">
        <f t="shared" si="20"/>
        <v>774.84980499999995</v>
      </c>
      <c r="X195" s="201">
        <f t="shared" si="20"/>
        <v>0</v>
      </c>
    </row>
    <row r="196" spans="1:24" s="169" customFormat="1" ht="13.8">
      <c r="A196" s="193"/>
      <c r="B196" s="187"/>
      <c r="C196" s="183" t="str">
        <f t="shared" si="15"/>
        <v/>
      </c>
      <c r="D196" s="182" t="str">
        <f t="shared" si="16"/>
        <v/>
      </c>
      <c r="E196" s="192" t="s">
        <v>681</v>
      </c>
      <c r="F196" s="192" t="s">
        <v>677</v>
      </c>
      <c r="G196" s="192" t="s">
        <v>678</v>
      </c>
      <c r="H196" s="210" t="s">
        <v>1440</v>
      </c>
      <c r="I196" s="167">
        <v>772263000</v>
      </c>
      <c r="J196" s="166"/>
      <c r="K196" s="167">
        <v>632000000</v>
      </c>
      <c r="L196" s="168">
        <v>140263000</v>
      </c>
      <c r="M196" s="168">
        <f t="shared" si="17"/>
        <v>772263000</v>
      </c>
      <c r="N196" s="168"/>
      <c r="O196" s="167">
        <v>751639805</v>
      </c>
      <c r="P196" s="167">
        <f t="shared" si="18"/>
        <v>751639805</v>
      </c>
      <c r="Q196" s="167"/>
      <c r="S196" s="201">
        <f t="shared" si="19"/>
        <v>772.26300000000003</v>
      </c>
      <c r="T196" s="201">
        <f t="shared" si="20"/>
        <v>772.26300000000003</v>
      </c>
      <c r="U196" s="201">
        <f t="shared" si="20"/>
        <v>0</v>
      </c>
      <c r="V196" s="201">
        <f t="shared" si="20"/>
        <v>751.63980500000002</v>
      </c>
      <c r="W196" s="201">
        <f t="shared" si="20"/>
        <v>751.63980500000002</v>
      </c>
      <c r="X196" s="201">
        <f t="shared" si="20"/>
        <v>0</v>
      </c>
    </row>
    <row r="197" spans="1:24" s="169" customFormat="1" ht="13.8">
      <c r="A197" s="195"/>
      <c r="B197" s="188"/>
      <c r="C197" s="183" t="str">
        <f t="shared" si="15"/>
        <v/>
      </c>
      <c r="D197" s="182" t="str">
        <f t="shared" si="16"/>
        <v/>
      </c>
      <c r="E197" s="192" t="s">
        <v>669</v>
      </c>
      <c r="F197" s="192" t="s">
        <v>677</v>
      </c>
      <c r="G197" s="192" t="s">
        <v>678</v>
      </c>
      <c r="H197" s="210" t="s">
        <v>1440</v>
      </c>
      <c r="I197" s="167">
        <v>25568000</v>
      </c>
      <c r="J197" s="166"/>
      <c r="K197" s="167">
        <v>17768000</v>
      </c>
      <c r="L197" s="168">
        <v>7800000</v>
      </c>
      <c r="M197" s="168">
        <f t="shared" si="17"/>
        <v>25568000</v>
      </c>
      <c r="N197" s="168"/>
      <c r="O197" s="167">
        <v>23210000</v>
      </c>
      <c r="P197" s="167">
        <f t="shared" si="18"/>
        <v>23210000</v>
      </c>
      <c r="Q197" s="167"/>
      <c r="S197" s="201">
        <f t="shared" si="19"/>
        <v>25.568000000000001</v>
      </c>
      <c r="T197" s="201">
        <f t="shared" si="20"/>
        <v>25.568000000000001</v>
      </c>
      <c r="U197" s="201">
        <f t="shared" si="20"/>
        <v>0</v>
      </c>
      <c r="V197" s="201">
        <f t="shared" si="20"/>
        <v>23.21</v>
      </c>
      <c r="W197" s="201">
        <f t="shared" si="20"/>
        <v>23.21</v>
      </c>
      <c r="X197" s="201">
        <f t="shared" si="20"/>
        <v>0</v>
      </c>
    </row>
    <row r="198" spans="1:24" s="169" customFormat="1" ht="39.6">
      <c r="A198" s="192" t="s">
        <v>754</v>
      </c>
      <c r="B198" s="165" t="s">
        <v>755</v>
      </c>
      <c r="C198" s="183" t="str">
        <f t="shared" si="15"/>
        <v>1026899</v>
      </c>
      <c r="D198" s="182" t="str">
        <f t="shared" si="16"/>
        <v>-Ban chỉ huy phòng chổng thiên tai và tim kiẽm cứu nạn tỉnh Kon Tum</v>
      </c>
      <c r="E198" s="206"/>
      <c r="F198" s="207"/>
      <c r="G198" s="207"/>
      <c r="H198" s="205"/>
      <c r="I198" s="167">
        <v>430700000</v>
      </c>
      <c r="J198" s="167">
        <v>63000000</v>
      </c>
      <c r="K198" s="167">
        <v>362000000</v>
      </c>
      <c r="L198" s="168">
        <v>5700000</v>
      </c>
      <c r="M198" s="168">
        <f t="shared" si="17"/>
        <v>430700000</v>
      </c>
      <c r="N198" s="168"/>
      <c r="O198" s="167">
        <v>430700000</v>
      </c>
      <c r="P198" s="167">
        <f t="shared" si="18"/>
        <v>430700000</v>
      </c>
      <c r="Q198" s="167"/>
      <c r="S198" s="201">
        <f t="shared" si="19"/>
        <v>430.7</v>
      </c>
      <c r="T198" s="201">
        <f t="shared" si="20"/>
        <v>430.7</v>
      </c>
      <c r="U198" s="201">
        <f t="shared" si="20"/>
        <v>0</v>
      </c>
      <c r="V198" s="201">
        <f t="shared" si="20"/>
        <v>430.7</v>
      </c>
      <c r="W198" s="201">
        <f t="shared" si="20"/>
        <v>430.7</v>
      </c>
      <c r="X198" s="201">
        <f t="shared" si="20"/>
        <v>0</v>
      </c>
    </row>
    <row r="199" spans="1:24" s="169" customFormat="1" ht="13.8">
      <c r="A199" s="192" t="s">
        <v>756</v>
      </c>
      <c r="B199" s="170" t="s">
        <v>689</v>
      </c>
      <c r="C199" s="183" t="str">
        <f t="shared" si="15"/>
        <v/>
      </c>
      <c r="D199" s="182" t="str">
        <f t="shared" si="16"/>
        <v/>
      </c>
      <c r="E199" s="206"/>
      <c r="F199" s="207"/>
      <c r="G199" s="207"/>
      <c r="H199" s="205"/>
      <c r="I199" s="167">
        <v>430700000</v>
      </c>
      <c r="J199" s="167">
        <v>63000000</v>
      </c>
      <c r="K199" s="167">
        <v>362000000</v>
      </c>
      <c r="L199" s="168">
        <v>5700000</v>
      </c>
      <c r="M199" s="168">
        <f t="shared" si="17"/>
        <v>430700000</v>
      </c>
      <c r="N199" s="168"/>
      <c r="O199" s="167">
        <v>430700000</v>
      </c>
      <c r="P199" s="167">
        <f t="shared" si="18"/>
        <v>430700000</v>
      </c>
      <c r="Q199" s="167"/>
      <c r="S199" s="201">
        <f t="shared" si="19"/>
        <v>430.7</v>
      </c>
      <c r="T199" s="201">
        <f t="shared" si="20"/>
        <v>430.7</v>
      </c>
      <c r="U199" s="201">
        <f t="shared" si="20"/>
        <v>0</v>
      </c>
      <c r="V199" s="201">
        <f t="shared" si="20"/>
        <v>430.7</v>
      </c>
      <c r="W199" s="201">
        <f t="shared" si="20"/>
        <v>430.7</v>
      </c>
      <c r="X199" s="201">
        <f t="shared" si="20"/>
        <v>0</v>
      </c>
    </row>
    <row r="200" spans="1:24" s="169" customFormat="1" ht="13.8">
      <c r="A200" s="192"/>
      <c r="B200" s="170" t="s">
        <v>686</v>
      </c>
      <c r="C200" s="183" t="str">
        <f t="shared" si="15"/>
        <v/>
      </c>
      <c r="D200" s="182" t="str">
        <f t="shared" si="16"/>
        <v/>
      </c>
      <c r="E200" s="206"/>
      <c r="F200" s="207"/>
      <c r="G200" s="207"/>
      <c r="H200" s="205"/>
      <c r="I200" s="167">
        <v>430700000</v>
      </c>
      <c r="J200" s="167">
        <v>63000000</v>
      </c>
      <c r="K200" s="167">
        <v>362000000</v>
      </c>
      <c r="L200" s="168">
        <v>5700000</v>
      </c>
      <c r="M200" s="168">
        <f t="shared" si="17"/>
        <v>430700000</v>
      </c>
      <c r="N200" s="168"/>
      <c r="O200" s="167">
        <v>430700000</v>
      </c>
      <c r="P200" s="167">
        <f t="shared" si="18"/>
        <v>430700000</v>
      </c>
      <c r="Q200" s="167"/>
      <c r="S200" s="201">
        <f t="shared" si="19"/>
        <v>430.7</v>
      </c>
      <c r="T200" s="201">
        <f t="shared" si="20"/>
        <v>430.7</v>
      </c>
      <c r="U200" s="201">
        <f t="shared" si="20"/>
        <v>0</v>
      </c>
      <c r="V200" s="201">
        <f t="shared" si="20"/>
        <v>430.7</v>
      </c>
      <c r="W200" s="201">
        <f t="shared" si="20"/>
        <v>430.7</v>
      </c>
      <c r="X200" s="201">
        <f t="shared" si="20"/>
        <v>0</v>
      </c>
    </row>
    <row r="201" spans="1:24" s="169" customFormat="1" ht="13.8">
      <c r="A201" s="193"/>
      <c r="B201" s="187"/>
      <c r="C201" s="183" t="str">
        <f t="shared" si="15"/>
        <v/>
      </c>
      <c r="D201" s="182" t="str">
        <f t="shared" si="16"/>
        <v/>
      </c>
      <c r="E201" s="192" t="s">
        <v>681</v>
      </c>
      <c r="F201" s="192" t="s">
        <v>698</v>
      </c>
      <c r="G201" s="192" t="s">
        <v>745</v>
      </c>
      <c r="H201" s="210" t="s">
        <v>1440</v>
      </c>
      <c r="I201" s="167">
        <v>362000000</v>
      </c>
      <c r="J201" s="166"/>
      <c r="K201" s="167">
        <v>362000000</v>
      </c>
      <c r="L201" s="171"/>
      <c r="M201" s="168">
        <f t="shared" si="17"/>
        <v>362000000</v>
      </c>
      <c r="N201" s="171"/>
      <c r="O201" s="167">
        <v>362000000</v>
      </c>
      <c r="P201" s="167">
        <f t="shared" si="18"/>
        <v>362000000</v>
      </c>
      <c r="Q201" s="167"/>
      <c r="S201" s="201">
        <f t="shared" si="19"/>
        <v>362</v>
      </c>
      <c r="T201" s="201">
        <f t="shared" si="20"/>
        <v>362</v>
      </c>
      <c r="U201" s="201">
        <f t="shared" si="20"/>
        <v>0</v>
      </c>
      <c r="V201" s="201">
        <f t="shared" si="20"/>
        <v>362</v>
      </c>
      <c r="W201" s="201">
        <f t="shared" si="20"/>
        <v>362</v>
      </c>
      <c r="X201" s="201">
        <f t="shared" si="20"/>
        <v>0</v>
      </c>
    </row>
    <row r="202" spans="1:24" s="169" customFormat="1" ht="13.8">
      <c r="A202" s="195"/>
      <c r="B202" s="188"/>
      <c r="C202" s="183" t="str">
        <f t="shared" si="15"/>
        <v/>
      </c>
      <c r="D202" s="182" t="str">
        <f t="shared" si="16"/>
        <v/>
      </c>
      <c r="E202" s="192" t="s">
        <v>679</v>
      </c>
      <c r="F202" s="192" t="s">
        <v>698</v>
      </c>
      <c r="G202" s="192" t="s">
        <v>695</v>
      </c>
      <c r="H202" s="210" t="s">
        <v>1440</v>
      </c>
      <c r="I202" s="167">
        <v>68700000</v>
      </c>
      <c r="J202" s="167">
        <v>63000000</v>
      </c>
      <c r="K202" s="166"/>
      <c r="L202" s="168">
        <v>5700000</v>
      </c>
      <c r="M202" s="168">
        <f t="shared" si="17"/>
        <v>68700000</v>
      </c>
      <c r="N202" s="168"/>
      <c r="O202" s="167">
        <v>68700000</v>
      </c>
      <c r="P202" s="167">
        <f t="shared" si="18"/>
        <v>68700000</v>
      </c>
      <c r="Q202" s="167"/>
      <c r="S202" s="201">
        <f t="shared" si="19"/>
        <v>68.7</v>
      </c>
      <c r="T202" s="201">
        <f t="shared" si="20"/>
        <v>68.7</v>
      </c>
      <c r="U202" s="201">
        <f t="shared" si="20"/>
        <v>0</v>
      </c>
      <c r="V202" s="201">
        <f t="shared" si="20"/>
        <v>68.7</v>
      </c>
      <c r="W202" s="201">
        <f t="shared" si="20"/>
        <v>68.7</v>
      </c>
      <c r="X202" s="201">
        <f t="shared" si="20"/>
        <v>0</v>
      </c>
    </row>
    <row r="203" spans="1:24" s="169" customFormat="1" ht="27.6">
      <c r="A203" s="192" t="s">
        <v>757</v>
      </c>
      <c r="B203" s="165" t="s">
        <v>758</v>
      </c>
      <c r="C203" s="183" t="str">
        <f t="shared" si="15"/>
        <v>1027233</v>
      </c>
      <c r="D203" s="182" t="str">
        <f t="shared" si="16"/>
        <v>-Trung tâm giáo dục nghễ nghiệp nông nghiệp công nghệ cao</v>
      </c>
      <c r="E203" s="206"/>
      <c r="F203" s="207"/>
      <c r="G203" s="207"/>
      <c r="H203" s="205"/>
      <c r="I203" s="167">
        <v>1496245345</v>
      </c>
      <c r="J203" s="166"/>
      <c r="K203" s="167">
        <v>1454155345</v>
      </c>
      <c r="L203" s="168">
        <v>42090000</v>
      </c>
      <c r="M203" s="168">
        <f t="shared" si="17"/>
        <v>1496245345</v>
      </c>
      <c r="N203" s="168"/>
      <c r="O203" s="167">
        <v>1496245345</v>
      </c>
      <c r="P203" s="167">
        <f t="shared" si="18"/>
        <v>1496245345</v>
      </c>
      <c r="Q203" s="167"/>
      <c r="S203" s="201">
        <f t="shared" si="19"/>
        <v>1496.245345</v>
      </c>
      <c r="T203" s="201">
        <f t="shared" si="20"/>
        <v>1496.245345</v>
      </c>
      <c r="U203" s="201">
        <f t="shared" si="20"/>
        <v>0</v>
      </c>
      <c r="V203" s="201">
        <f t="shared" si="20"/>
        <v>1496.245345</v>
      </c>
      <c r="W203" s="201">
        <f t="shared" si="20"/>
        <v>1496.245345</v>
      </c>
      <c r="X203" s="201">
        <f t="shared" si="20"/>
        <v>0</v>
      </c>
    </row>
    <row r="204" spans="1:24" s="169" customFormat="1" ht="13.8">
      <c r="A204" s="192" t="s">
        <v>759</v>
      </c>
      <c r="B204" s="170" t="s">
        <v>689</v>
      </c>
      <c r="C204" s="183" t="str">
        <f t="shared" si="15"/>
        <v/>
      </c>
      <c r="D204" s="182" t="str">
        <f t="shared" si="16"/>
        <v/>
      </c>
      <c r="E204" s="206"/>
      <c r="F204" s="207"/>
      <c r="G204" s="207"/>
      <c r="H204" s="205"/>
      <c r="I204" s="167">
        <v>1496245345</v>
      </c>
      <c r="J204" s="166"/>
      <c r="K204" s="167">
        <v>1454155345</v>
      </c>
      <c r="L204" s="168">
        <v>42090000</v>
      </c>
      <c r="M204" s="168">
        <f t="shared" si="17"/>
        <v>1496245345</v>
      </c>
      <c r="N204" s="168"/>
      <c r="O204" s="167">
        <v>1496245345</v>
      </c>
      <c r="P204" s="167">
        <f t="shared" si="18"/>
        <v>1496245345</v>
      </c>
      <c r="Q204" s="167"/>
      <c r="S204" s="201">
        <f t="shared" si="19"/>
        <v>1496.245345</v>
      </c>
      <c r="T204" s="201">
        <f t="shared" si="20"/>
        <v>1496.245345</v>
      </c>
      <c r="U204" s="201">
        <f t="shared" si="20"/>
        <v>0</v>
      </c>
      <c r="V204" s="201">
        <f t="shared" si="20"/>
        <v>1496.245345</v>
      </c>
      <c r="W204" s="201">
        <f t="shared" si="20"/>
        <v>1496.245345</v>
      </c>
      <c r="X204" s="201">
        <f t="shared" si="20"/>
        <v>0</v>
      </c>
    </row>
    <row r="205" spans="1:24" s="169" customFormat="1" ht="13.8">
      <c r="A205" s="192"/>
      <c r="B205" s="170" t="s">
        <v>690</v>
      </c>
      <c r="C205" s="183" t="str">
        <f t="shared" si="15"/>
        <v/>
      </c>
      <c r="D205" s="182" t="str">
        <f t="shared" si="16"/>
        <v/>
      </c>
      <c r="E205" s="206"/>
      <c r="F205" s="207"/>
      <c r="G205" s="207"/>
      <c r="H205" s="205"/>
      <c r="I205" s="167">
        <v>42090000</v>
      </c>
      <c r="J205" s="166"/>
      <c r="K205" s="166"/>
      <c r="L205" s="168">
        <v>42090000</v>
      </c>
      <c r="M205" s="168">
        <f t="shared" si="17"/>
        <v>42090000</v>
      </c>
      <c r="N205" s="168"/>
      <c r="O205" s="167">
        <v>42090000</v>
      </c>
      <c r="P205" s="167">
        <f t="shared" si="18"/>
        <v>42090000</v>
      </c>
      <c r="Q205" s="167"/>
      <c r="S205" s="201">
        <f t="shared" si="19"/>
        <v>42.09</v>
      </c>
      <c r="T205" s="201">
        <f t="shared" si="20"/>
        <v>42.09</v>
      </c>
      <c r="U205" s="201">
        <f t="shared" si="20"/>
        <v>0</v>
      </c>
      <c r="V205" s="201">
        <f t="shared" si="20"/>
        <v>42.09</v>
      </c>
      <c r="W205" s="201">
        <f t="shared" si="20"/>
        <v>42.09</v>
      </c>
      <c r="X205" s="201">
        <f t="shared" si="20"/>
        <v>0</v>
      </c>
    </row>
    <row r="206" spans="1:24" s="169" customFormat="1" ht="13.8">
      <c r="A206" s="192"/>
      <c r="B206" s="164"/>
      <c r="C206" s="183" t="str">
        <f t="shared" si="15"/>
        <v/>
      </c>
      <c r="D206" s="182" t="str">
        <f t="shared" si="16"/>
        <v/>
      </c>
      <c r="E206" s="192" t="s">
        <v>679</v>
      </c>
      <c r="F206" s="192" t="s">
        <v>760</v>
      </c>
      <c r="G206" s="192" t="s">
        <v>761</v>
      </c>
      <c r="H206" s="210" t="s">
        <v>1440</v>
      </c>
      <c r="I206" s="167">
        <v>42090000</v>
      </c>
      <c r="J206" s="166"/>
      <c r="K206" s="166"/>
      <c r="L206" s="168">
        <v>42090000</v>
      </c>
      <c r="M206" s="168">
        <f t="shared" si="17"/>
        <v>42090000</v>
      </c>
      <c r="N206" s="168"/>
      <c r="O206" s="167">
        <v>42090000</v>
      </c>
      <c r="P206" s="167">
        <f t="shared" si="18"/>
        <v>42090000</v>
      </c>
      <c r="Q206" s="167"/>
      <c r="S206" s="201">
        <f t="shared" si="19"/>
        <v>42.09</v>
      </c>
      <c r="T206" s="201">
        <f t="shared" si="20"/>
        <v>42.09</v>
      </c>
      <c r="U206" s="201">
        <f t="shared" si="20"/>
        <v>0</v>
      </c>
      <c r="V206" s="201">
        <f t="shared" si="20"/>
        <v>42.09</v>
      </c>
      <c r="W206" s="201">
        <f t="shared" si="20"/>
        <v>42.09</v>
      </c>
      <c r="X206" s="201">
        <f t="shared" si="20"/>
        <v>0</v>
      </c>
    </row>
    <row r="207" spans="1:24" s="169" customFormat="1" ht="13.8">
      <c r="A207" s="192"/>
      <c r="B207" s="170" t="s">
        <v>686</v>
      </c>
      <c r="C207" s="183" t="str">
        <f t="shared" si="15"/>
        <v/>
      </c>
      <c r="D207" s="182" t="str">
        <f t="shared" si="16"/>
        <v/>
      </c>
      <c r="E207" s="206"/>
      <c r="F207" s="207"/>
      <c r="G207" s="207"/>
      <c r="H207" s="205"/>
      <c r="I207" s="167">
        <v>1454155345</v>
      </c>
      <c r="J207" s="166"/>
      <c r="K207" s="167">
        <v>1454155345</v>
      </c>
      <c r="L207" s="171"/>
      <c r="M207" s="168">
        <f t="shared" si="17"/>
        <v>1454155345</v>
      </c>
      <c r="N207" s="171"/>
      <c r="O207" s="167">
        <v>1454155345</v>
      </c>
      <c r="P207" s="167">
        <f t="shared" si="18"/>
        <v>1454155345</v>
      </c>
      <c r="Q207" s="167"/>
      <c r="S207" s="201">
        <f t="shared" si="19"/>
        <v>1454.1553449999999</v>
      </c>
      <c r="T207" s="201">
        <f t="shared" si="20"/>
        <v>1454.1553449999999</v>
      </c>
      <c r="U207" s="201">
        <f t="shared" si="20"/>
        <v>0</v>
      </c>
      <c r="V207" s="201">
        <f t="shared" si="20"/>
        <v>1454.1553449999999</v>
      </c>
      <c r="W207" s="201">
        <f t="shared" si="20"/>
        <v>1454.1553449999999</v>
      </c>
      <c r="X207" s="201">
        <f t="shared" si="20"/>
        <v>0</v>
      </c>
    </row>
    <row r="208" spans="1:24" s="169" customFormat="1" ht="13.8">
      <c r="A208" s="192"/>
      <c r="B208" s="164"/>
      <c r="C208" s="183" t="str">
        <f t="shared" si="15"/>
        <v/>
      </c>
      <c r="D208" s="182" t="str">
        <f t="shared" si="16"/>
        <v/>
      </c>
      <c r="E208" s="192" t="s">
        <v>681</v>
      </c>
      <c r="F208" s="192" t="s">
        <v>760</v>
      </c>
      <c r="G208" s="192" t="s">
        <v>761</v>
      </c>
      <c r="H208" s="210" t="s">
        <v>1440</v>
      </c>
      <c r="I208" s="167">
        <v>1454155345</v>
      </c>
      <c r="J208" s="166"/>
      <c r="K208" s="167">
        <v>1454155345</v>
      </c>
      <c r="L208" s="171"/>
      <c r="M208" s="168">
        <f t="shared" si="17"/>
        <v>1454155345</v>
      </c>
      <c r="N208" s="171"/>
      <c r="O208" s="167">
        <v>1454155345</v>
      </c>
      <c r="P208" s="167">
        <f t="shared" si="18"/>
        <v>1454155345</v>
      </c>
      <c r="Q208" s="167"/>
      <c r="S208" s="201">
        <f t="shared" si="19"/>
        <v>1454.1553449999999</v>
      </c>
      <c r="T208" s="201">
        <f t="shared" si="20"/>
        <v>1454.1553449999999</v>
      </c>
      <c r="U208" s="201">
        <f t="shared" si="20"/>
        <v>0</v>
      </c>
      <c r="V208" s="201">
        <f t="shared" si="20"/>
        <v>1454.1553449999999</v>
      </c>
      <c r="W208" s="201">
        <f t="shared" si="20"/>
        <v>1454.1553449999999</v>
      </c>
      <c r="X208" s="201">
        <f t="shared" si="20"/>
        <v>0</v>
      </c>
    </row>
    <row r="209" spans="1:24" s="169" customFormat="1" ht="26.4">
      <c r="A209" s="192" t="s">
        <v>762</v>
      </c>
      <c r="B209" s="165" t="s">
        <v>763</v>
      </c>
      <c r="C209" s="183" t="str">
        <f t="shared" si="15"/>
        <v>1028496</v>
      </c>
      <c r="D209" s="182" t="str">
        <f t="shared" si="16"/>
        <v>-Trung tâm dịch vụ việc làm tỉnh Kon Tum</v>
      </c>
      <c r="E209" s="206"/>
      <c r="F209" s="207"/>
      <c r="G209" s="207"/>
      <c r="H209" s="205"/>
      <c r="I209" s="167">
        <v>2020800000</v>
      </c>
      <c r="J209" s="166"/>
      <c r="K209" s="167">
        <v>1637000000</v>
      </c>
      <c r="L209" s="168">
        <v>383800000</v>
      </c>
      <c r="M209" s="168">
        <f t="shared" si="17"/>
        <v>2020800000</v>
      </c>
      <c r="N209" s="168"/>
      <c r="O209" s="167">
        <v>1732619494</v>
      </c>
      <c r="P209" s="167">
        <f t="shared" si="18"/>
        <v>1732619494</v>
      </c>
      <c r="Q209" s="167"/>
      <c r="S209" s="201">
        <f t="shared" si="19"/>
        <v>2020.8</v>
      </c>
      <c r="T209" s="201">
        <f t="shared" si="20"/>
        <v>2020.8</v>
      </c>
      <c r="U209" s="201">
        <f t="shared" si="20"/>
        <v>0</v>
      </c>
      <c r="V209" s="201">
        <f t="shared" si="20"/>
        <v>1732.619494</v>
      </c>
      <c r="W209" s="201">
        <f t="shared" si="20"/>
        <v>1732.619494</v>
      </c>
      <c r="X209" s="201">
        <f t="shared" si="20"/>
        <v>0</v>
      </c>
    </row>
    <row r="210" spans="1:24" s="169" customFormat="1" ht="13.8">
      <c r="A210" s="192" t="s">
        <v>764</v>
      </c>
      <c r="B210" s="170" t="s">
        <v>689</v>
      </c>
      <c r="C210" s="183" t="str">
        <f t="shared" si="15"/>
        <v/>
      </c>
      <c r="D210" s="182" t="str">
        <f t="shared" si="16"/>
        <v/>
      </c>
      <c r="E210" s="206"/>
      <c r="F210" s="207"/>
      <c r="G210" s="207"/>
      <c r="H210" s="205"/>
      <c r="I210" s="167">
        <v>1492800000</v>
      </c>
      <c r="J210" s="166"/>
      <c r="K210" s="167">
        <v>1637000000</v>
      </c>
      <c r="L210" s="168">
        <v>-144200000</v>
      </c>
      <c r="M210" s="168">
        <f t="shared" si="17"/>
        <v>1492800000</v>
      </c>
      <c r="N210" s="168"/>
      <c r="O210" s="167">
        <v>1485881000</v>
      </c>
      <c r="P210" s="167">
        <f t="shared" si="18"/>
        <v>1485881000</v>
      </c>
      <c r="Q210" s="167"/>
      <c r="S210" s="201">
        <f t="shared" si="19"/>
        <v>1492.8</v>
      </c>
      <c r="T210" s="201">
        <f t="shared" si="20"/>
        <v>1492.8</v>
      </c>
      <c r="U210" s="201">
        <f t="shared" si="20"/>
        <v>0</v>
      </c>
      <c r="V210" s="201">
        <f t="shared" si="20"/>
        <v>1485.8810000000001</v>
      </c>
      <c r="W210" s="201">
        <f t="shared" si="20"/>
        <v>1485.8810000000001</v>
      </c>
      <c r="X210" s="201">
        <f t="shared" si="20"/>
        <v>0</v>
      </c>
    </row>
    <row r="211" spans="1:24" s="169" customFormat="1" ht="13.8">
      <c r="A211" s="192"/>
      <c r="B211" s="170" t="s">
        <v>690</v>
      </c>
      <c r="C211" s="183" t="str">
        <f t="shared" si="15"/>
        <v/>
      </c>
      <c r="D211" s="182" t="str">
        <f t="shared" si="16"/>
        <v/>
      </c>
      <c r="E211" s="206"/>
      <c r="F211" s="207"/>
      <c r="G211" s="207"/>
      <c r="H211" s="205"/>
      <c r="I211" s="167">
        <v>1044800000</v>
      </c>
      <c r="J211" s="166"/>
      <c r="K211" s="167">
        <v>1189000000</v>
      </c>
      <c r="L211" s="168">
        <v>-144200000</v>
      </c>
      <c r="M211" s="168">
        <f t="shared" si="17"/>
        <v>1044800000</v>
      </c>
      <c r="N211" s="168"/>
      <c r="O211" s="167">
        <v>1044800000</v>
      </c>
      <c r="P211" s="167">
        <f t="shared" si="18"/>
        <v>1044800000</v>
      </c>
      <c r="Q211" s="167"/>
      <c r="S211" s="201">
        <f t="shared" si="19"/>
        <v>1044.8</v>
      </c>
      <c r="T211" s="201">
        <f t="shared" si="20"/>
        <v>1044.8</v>
      </c>
      <c r="U211" s="201">
        <f t="shared" si="20"/>
        <v>0</v>
      </c>
      <c r="V211" s="201">
        <f t="shared" si="20"/>
        <v>1044.8</v>
      </c>
      <c r="W211" s="201">
        <f t="shared" si="20"/>
        <v>1044.8</v>
      </c>
      <c r="X211" s="201">
        <f t="shared" si="20"/>
        <v>0</v>
      </c>
    </row>
    <row r="212" spans="1:24" s="169" customFormat="1" ht="13.8">
      <c r="A212" s="193"/>
      <c r="B212" s="187"/>
      <c r="C212" s="183" t="str">
        <f t="shared" si="15"/>
        <v/>
      </c>
      <c r="D212" s="182" t="str">
        <f t="shared" si="16"/>
        <v/>
      </c>
      <c r="E212" s="192" t="s">
        <v>666</v>
      </c>
      <c r="F212" s="192" t="s">
        <v>765</v>
      </c>
      <c r="G212" s="192" t="s">
        <v>766</v>
      </c>
      <c r="H212" s="210" t="s">
        <v>1440</v>
      </c>
      <c r="I212" s="166"/>
      <c r="J212" s="166"/>
      <c r="K212" s="167">
        <v>170000000</v>
      </c>
      <c r="L212" s="168">
        <v>-170000000</v>
      </c>
      <c r="M212" s="168">
        <f t="shared" si="17"/>
        <v>0</v>
      </c>
      <c r="N212" s="168"/>
      <c r="O212" s="166"/>
      <c r="P212" s="167">
        <f t="shared" si="18"/>
        <v>0</v>
      </c>
      <c r="Q212" s="166"/>
      <c r="S212" s="201">
        <f t="shared" si="19"/>
        <v>0</v>
      </c>
      <c r="T212" s="201">
        <f t="shared" si="20"/>
        <v>0</v>
      </c>
      <c r="U212" s="201">
        <f t="shared" si="20"/>
        <v>0</v>
      </c>
      <c r="V212" s="201">
        <f t="shared" si="20"/>
        <v>0</v>
      </c>
      <c r="W212" s="201">
        <f t="shared" si="20"/>
        <v>0</v>
      </c>
      <c r="X212" s="201">
        <f t="shared" si="20"/>
        <v>0</v>
      </c>
    </row>
    <row r="213" spans="1:24" s="169" customFormat="1" ht="13.8">
      <c r="A213" s="194"/>
      <c r="B213" s="184"/>
      <c r="C213" s="183" t="str">
        <f t="shared" si="15"/>
        <v/>
      </c>
      <c r="D213" s="182" t="str">
        <f t="shared" si="16"/>
        <v/>
      </c>
      <c r="E213" s="192" t="s">
        <v>666</v>
      </c>
      <c r="F213" s="192" t="s">
        <v>765</v>
      </c>
      <c r="G213" s="192" t="s">
        <v>767</v>
      </c>
      <c r="H213" s="210" t="s">
        <v>1440</v>
      </c>
      <c r="I213" s="167">
        <v>1019000000</v>
      </c>
      <c r="J213" s="166"/>
      <c r="K213" s="167">
        <v>1019000000</v>
      </c>
      <c r="L213" s="171"/>
      <c r="M213" s="168">
        <f t="shared" si="17"/>
        <v>1019000000</v>
      </c>
      <c r="N213" s="171"/>
      <c r="O213" s="167">
        <v>1019000000</v>
      </c>
      <c r="P213" s="167">
        <f t="shared" si="18"/>
        <v>1019000000</v>
      </c>
      <c r="Q213" s="167"/>
      <c r="S213" s="201">
        <f t="shared" si="19"/>
        <v>1019</v>
      </c>
      <c r="T213" s="201">
        <f t="shared" si="20"/>
        <v>1019</v>
      </c>
      <c r="U213" s="201">
        <f t="shared" si="20"/>
        <v>0</v>
      </c>
      <c r="V213" s="201">
        <f t="shared" si="20"/>
        <v>1019</v>
      </c>
      <c r="W213" s="201">
        <f t="shared" si="20"/>
        <v>1019</v>
      </c>
      <c r="X213" s="201">
        <f t="shared" si="20"/>
        <v>0</v>
      </c>
    </row>
    <row r="214" spans="1:24" s="169" customFormat="1" ht="13.8">
      <c r="A214" s="195"/>
      <c r="B214" s="188"/>
      <c r="C214" s="183" t="str">
        <f t="shared" ref="C214:C277" si="21">IF(B214&lt;&gt;"",IF(AND(LEFT(B214,1)&gt;="0",LEFT(B214,1)&lt;="9"),LEFT(B214,7),""),"")</f>
        <v/>
      </c>
      <c r="D214" s="182" t="str">
        <f t="shared" si="16"/>
        <v/>
      </c>
      <c r="E214" s="192" t="s">
        <v>679</v>
      </c>
      <c r="F214" s="192" t="s">
        <v>765</v>
      </c>
      <c r="G214" s="192" t="s">
        <v>767</v>
      </c>
      <c r="H214" s="210" t="s">
        <v>1440</v>
      </c>
      <c r="I214" s="167">
        <v>25800000</v>
      </c>
      <c r="J214" s="166"/>
      <c r="K214" s="166"/>
      <c r="L214" s="168">
        <v>25800000</v>
      </c>
      <c r="M214" s="168">
        <f t="shared" si="17"/>
        <v>25800000</v>
      </c>
      <c r="N214" s="168"/>
      <c r="O214" s="167">
        <v>25800000</v>
      </c>
      <c r="P214" s="167">
        <f t="shared" si="18"/>
        <v>25800000</v>
      </c>
      <c r="Q214" s="167"/>
      <c r="S214" s="201">
        <f t="shared" si="19"/>
        <v>25.8</v>
      </c>
      <c r="T214" s="201">
        <f t="shared" si="20"/>
        <v>25.8</v>
      </c>
      <c r="U214" s="201">
        <f t="shared" si="20"/>
        <v>0</v>
      </c>
      <c r="V214" s="201">
        <f t="shared" si="20"/>
        <v>25.8</v>
      </c>
      <c r="W214" s="201">
        <f t="shared" si="20"/>
        <v>25.8</v>
      </c>
      <c r="X214" s="201">
        <f t="shared" si="20"/>
        <v>0</v>
      </c>
    </row>
    <row r="215" spans="1:24" s="169" customFormat="1" ht="13.8">
      <c r="A215" s="192"/>
      <c r="B215" s="170" t="s">
        <v>686</v>
      </c>
      <c r="C215" s="183" t="str">
        <f t="shared" si="21"/>
        <v/>
      </c>
      <c r="D215" s="182" t="str">
        <f t="shared" ref="D215:D278" si="22">IF(C215&lt;&gt;"",RIGHT(B215,LEN(B215)-7),"")</f>
        <v/>
      </c>
      <c r="E215" s="206"/>
      <c r="F215" s="207"/>
      <c r="G215" s="207"/>
      <c r="H215" s="205"/>
      <c r="I215" s="167">
        <v>448000000</v>
      </c>
      <c r="J215" s="166"/>
      <c r="K215" s="167">
        <v>448000000</v>
      </c>
      <c r="L215" s="171"/>
      <c r="M215" s="168">
        <f t="shared" ref="M215:M278" si="23">I215-N215</f>
        <v>448000000</v>
      </c>
      <c r="N215" s="171"/>
      <c r="O215" s="167">
        <v>441081000</v>
      </c>
      <c r="P215" s="167">
        <f t="shared" ref="P215:P278" si="24">O215-Q215</f>
        <v>441081000</v>
      </c>
      <c r="Q215" s="167"/>
      <c r="S215" s="201">
        <f t="shared" ref="S215:S278" si="25">I215/1000000</f>
        <v>448</v>
      </c>
      <c r="T215" s="201">
        <f t="shared" si="20"/>
        <v>448</v>
      </c>
      <c r="U215" s="201">
        <f t="shared" si="20"/>
        <v>0</v>
      </c>
      <c r="V215" s="201">
        <f t="shared" si="20"/>
        <v>441.08100000000002</v>
      </c>
      <c r="W215" s="201">
        <f t="shared" si="20"/>
        <v>441.08100000000002</v>
      </c>
      <c r="X215" s="201">
        <f t="shared" si="20"/>
        <v>0</v>
      </c>
    </row>
    <row r="216" spans="1:24" s="169" customFormat="1" ht="13.8">
      <c r="A216" s="192"/>
      <c r="B216" s="164"/>
      <c r="C216" s="183" t="str">
        <f t="shared" si="21"/>
        <v/>
      </c>
      <c r="D216" s="182" t="str">
        <f t="shared" si="22"/>
        <v/>
      </c>
      <c r="E216" s="192" t="s">
        <v>681</v>
      </c>
      <c r="F216" s="192" t="s">
        <v>765</v>
      </c>
      <c r="G216" s="192" t="s">
        <v>767</v>
      </c>
      <c r="H216" s="210" t="s">
        <v>1440</v>
      </c>
      <c r="I216" s="167">
        <v>448000000</v>
      </c>
      <c r="J216" s="166"/>
      <c r="K216" s="167">
        <v>448000000</v>
      </c>
      <c r="L216" s="171"/>
      <c r="M216" s="168">
        <f t="shared" si="23"/>
        <v>448000000</v>
      </c>
      <c r="N216" s="171"/>
      <c r="O216" s="167">
        <v>441081000</v>
      </c>
      <c r="P216" s="167">
        <f t="shared" si="24"/>
        <v>441081000</v>
      </c>
      <c r="Q216" s="167"/>
      <c r="S216" s="201">
        <f t="shared" si="25"/>
        <v>448</v>
      </c>
      <c r="T216" s="201">
        <f t="shared" si="20"/>
        <v>448</v>
      </c>
      <c r="U216" s="201">
        <f t="shared" si="20"/>
        <v>0</v>
      </c>
      <c r="V216" s="201">
        <f t="shared" si="20"/>
        <v>441.08100000000002</v>
      </c>
      <c r="W216" s="201">
        <f t="shared" si="20"/>
        <v>441.08100000000002</v>
      </c>
      <c r="X216" s="201">
        <f t="shared" si="20"/>
        <v>0</v>
      </c>
    </row>
    <row r="217" spans="1:24" s="169" customFormat="1" ht="13.8">
      <c r="A217" s="192" t="s">
        <v>768</v>
      </c>
      <c r="B217" s="170" t="s">
        <v>701</v>
      </c>
      <c r="C217" s="183" t="str">
        <f t="shared" si="21"/>
        <v/>
      </c>
      <c r="D217" s="182" t="str">
        <f t="shared" si="22"/>
        <v/>
      </c>
      <c r="E217" s="206"/>
      <c r="F217" s="207"/>
      <c r="G217" s="207"/>
      <c r="H217" s="205"/>
      <c r="I217" s="167">
        <v>528000000</v>
      </c>
      <c r="J217" s="166"/>
      <c r="K217" s="166"/>
      <c r="L217" s="168">
        <v>528000000</v>
      </c>
      <c r="M217" s="168">
        <f t="shared" si="23"/>
        <v>528000000</v>
      </c>
      <c r="N217" s="168"/>
      <c r="O217" s="167">
        <v>246738494</v>
      </c>
      <c r="P217" s="167">
        <f t="shared" si="24"/>
        <v>246738494</v>
      </c>
      <c r="Q217" s="167"/>
      <c r="S217" s="201">
        <f t="shared" si="25"/>
        <v>528</v>
      </c>
      <c r="T217" s="201">
        <f t="shared" si="20"/>
        <v>528</v>
      </c>
      <c r="U217" s="201">
        <f t="shared" si="20"/>
        <v>0</v>
      </c>
      <c r="V217" s="201">
        <f t="shared" si="20"/>
        <v>246.738494</v>
      </c>
      <c r="W217" s="201">
        <f t="shared" si="20"/>
        <v>246.738494</v>
      </c>
      <c r="X217" s="201">
        <f t="shared" si="20"/>
        <v>0</v>
      </c>
    </row>
    <row r="218" spans="1:24" s="169" customFormat="1" ht="13.8">
      <c r="A218" s="193"/>
      <c r="B218" s="187"/>
      <c r="C218" s="183" t="str">
        <f t="shared" si="21"/>
        <v/>
      </c>
      <c r="D218" s="182" t="str">
        <f t="shared" si="22"/>
        <v/>
      </c>
      <c r="E218" s="192" t="s">
        <v>681</v>
      </c>
      <c r="F218" s="192" t="s">
        <v>765</v>
      </c>
      <c r="G218" s="192" t="s">
        <v>767</v>
      </c>
      <c r="H218" s="210" t="s">
        <v>1444</v>
      </c>
      <c r="I218" s="167">
        <v>303000000</v>
      </c>
      <c r="J218" s="166"/>
      <c r="K218" s="166"/>
      <c r="L218" s="168">
        <v>303000000</v>
      </c>
      <c r="M218" s="168">
        <f t="shared" si="23"/>
        <v>303000000</v>
      </c>
      <c r="N218" s="168"/>
      <c r="O218" s="167">
        <v>246738494</v>
      </c>
      <c r="P218" s="167">
        <f t="shared" si="24"/>
        <v>246738494</v>
      </c>
      <c r="Q218" s="167"/>
      <c r="S218" s="201">
        <f t="shared" si="25"/>
        <v>303</v>
      </c>
      <c r="T218" s="201">
        <f t="shared" si="20"/>
        <v>303</v>
      </c>
      <c r="U218" s="201">
        <f t="shared" si="20"/>
        <v>0</v>
      </c>
      <c r="V218" s="201">
        <f t="shared" si="20"/>
        <v>246.738494</v>
      </c>
      <c r="W218" s="201">
        <f t="shared" si="20"/>
        <v>246.738494</v>
      </c>
      <c r="X218" s="201">
        <f t="shared" si="20"/>
        <v>0</v>
      </c>
    </row>
    <row r="219" spans="1:24" s="169" customFormat="1" ht="13.8">
      <c r="A219" s="195"/>
      <c r="B219" s="188"/>
      <c r="C219" s="183" t="str">
        <f t="shared" si="21"/>
        <v/>
      </c>
      <c r="D219" s="182" t="str">
        <f t="shared" si="22"/>
        <v/>
      </c>
      <c r="E219" s="192" t="s">
        <v>667</v>
      </c>
      <c r="F219" s="192" t="s">
        <v>765</v>
      </c>
      <c r="G219" s="192" t="s">
        <v>767</v>
      </c>
      <c r="H219" s="210" t="s">
        <v>1445</v>
      </c>
      <c r="I219" s="167">
        <v>225000000</v>
      </c>
      <c r="J219" s="166"/>
      <c r="K219" s="166"/>
      <c r="L219" s="168">
        <v>225000000</v>
      </c>
      <c r="M219" s="168">
        <f t="shared" si="23"/>
        <v>225000000</v>
      </c>
      <c r="N219" s="168"/>
      <c r="O219" s="166"/>
      <c r="P219" s="167">
        <f t="shared" si="24"/>
        <v>0</v>
      </c>
      <c r="Q219" s="166"/>
      <c r="S219" s="201">
        <f t="shared" si="25"/>
        <v>225</v>
      </c>
      <c r="T219" s="201">
        <f t="shared" si="20"/>
        <v>225</v>
      </c>
      <c r="U219" s="201">
        <f t="shared" si="20"/>
        <v>0</v>
      </c>
      <c r="V219" s="201">
        <f t="shared" si="20"/>
        <v>0</v>
      </c>
      <c r="W219" s="201">
        <f t="shared" si="20"/>
        <v>0</v>
      </c>
      <c r="X219" s="201">
        <f t="shared" si="20"/>
        <v>0</v>
      </c>
    </row>
    <row r="220" spans="1:24" s="169" customFormat="1" ht="13.8">
      <c r="A220" s="192"/>
      <c r="B220" s="173"/>
      <c r="C220" s="183" t="str">
        <f t="shared" si="21"/>
        <v/>
      </c>
      <c r="D220" s="182" t="str">
        <f t="shared" si="22"/>
        <v/>
      </c>
      <c r="E220" s="192"/>
      <c r="F220" s="192"/>
      <c r="G220" s="192"/>
      <c r="H220" s="210"/>
      <c r="I220" s="174"/>
      <c r="J220" s="174"/>
      <c r="K220" s="174"/>
      <c r="L220" s="175"/>
      <c r="M220" s="168">
        <f t="shared" si="23"/>
        <v>0</v>
      </c>
      <c r="N220" s="175"/>
      <c r="O220" s="174"/>
      <c r="P220" s="167">
        <f t="shared" si="24"/>
        <v>0</v>
      </c>
      <c r="Q220" s="174"/>
      <c r="S220" s="201">
        <f t="shared" si="25"/>
        <v>0</v>
      </c>
      <c r="T220" s="201">
        <f t="shared" si="20"/>
        <v>0</v>
      </c>
      <c r="U220" s="201">
        <f t="shared" si="20"/>
        <v>0</v>
      </c>
      <c r="V220" s="201">
        <f t="shared" si="20"/>
        <v>0</v>
      </c>
      <c r="W220" s="201">
        <f t="shared" si="20"/>
        <v>0</v>
      </c>
      <c r="X220" s="201">
        <f t="shared" si="20"/>
        <v>0</v>
      </c>
    </row>
    <row r="221" spans="1:24" s="169" customFormat="1" ht="27.6">
      <c r="A221" s="192" t="s">
        <v>769</v>
      </c>
      <c r="B221" s="165" t="s">
        <v>770</v>
      </c>
      <c r="C221" s="183" t="str">
        <f t="shared" si="21"/>
        <v>1029870</v>
      </c>
      <c r="D221" s="182" t="str">
        <f t="shared" si="22"/>
        <v>-Trường PhS thông dân tộc Nội trú huyện Tu Mơ Rông</v>
      </c>
      <c r="E221" s="206"/>
      <c r="F221" s="207"/>
      <c r="G221" s="207"/>
      <c r="H221" s="205"/>
      <c r="I221" s="167">
        <v>11160435000</v>
      </c>
      <c r="J221" s="166"/>
      <c r="K221" s="167">
        <v>10464770000</v>
      </c>
      <c r="L221" s="168">
        <v>695665000</v>
      </c>
      <c r="M221" s="168">
        <f t="shared" si="23"/>
        <v>11160435000</v>
      </c>
      <c r="N221" s="168"/>
      <c r="O221" s="167">
        <v>10289322500</v>
      </c>
      <c r="P221" s="167">
        <f t="shared" si="24"/>
        <v>10289322500</v>
      </c>
      <c r="Q221" s="167"/>
      <c r="S221" s="201">
        <f t="shared" si="25"/>
        <v>11160.434999999999</v>
      </c>
      <c r="T221" s="201">
        <f t="shared" si="20"/>
        <v>11160.434999999999</v>
      </c>
      <c r="U221" s="201">
        <f t="shared" si="20"/>
        <v>0</v>
      </c>
      <c r="V221" s="201">
        <f t="shared" si="20"/>
        <v>10289.3225</v>
      </c>
      <c r="W221" s="201">
        <f t="shared" si="20"/>
        <v>10289.3225</v>
      </c>
      <c r="X221" s="201">
        <f t="shared" si="20"/>
        <v>0</v>
      </c>
    </row>
    <row r="222" spans="1:24" s="169" customFormat="1" ht="13.8">
      <c r="A222" s="192" t="s">
        <v>771</v>
      </c>
      <c r="B222" s="170" t="s">
        <v>689</v>
      </c>
      <c r="C222" s="183" t="str">
        <f t="shared" si="21"/>
        <v/>
      </c>
      <c r="D222" s="182" t="str">
        <f t="shared" si="22"/>
        <v/>
      </c>
      <c r="E222" s="206"/>
      <c r="F222" s="207"/>
      <c r="G222" s="207"/>
      <c r="H222" s="205"/>
      <c r="I222" s="167">
        <v>11160435000</v>
      </c>
      <c r="J222" s="166"/>
      <c r="K222" s="167">
        <v>10464770000</v>
      </c>
      <c r="L222" s="168">
        <v>695665000</v>
      </c>
      <c r="M222" s="168">
        <f t="shared" si="23"/>
        <v>11160435000</v>
      </c>
      <c r="N222" s="168"/>
      <c r="O222" s="167">
        <v>10289322500</v>
      </c>
      <c r="P222" s="167">
        <f t="shared" si="24"/>
        <v>10289322500</v>
      </c>
      <c r="Q222" s="167"/>
      <c r="S222" s="201">
        <f t="shared" si="25"/>
        <v>11160.434999999999</v>
      </c>
      <c r="T222" s="201">
        <f t="shared" si="20"/>
        <v>11160.434999999999</v>
      </c>
      <c r="U222" s="201">
        <f t="shared" si="20"/>
        <v>0</v>
      </c>
      <c r="V222" s="201">
        <f t="shared" si="20"/>
        <v>10289.3225</v>
      </c>
      <c r="W222" s="201">
        <f t="shared" si="20"/>
        <v>10289.3225</v>
      </c>
      <c r="X222" s="201">
        <f t="shared" si="20"/>
        <v>0</v>
      </c>
    </row>
    <row r="223" spans="1:24" s="169" customFormat="1" ht="13.8">
      <c r="A223" s="192"/>
      <c r="B223" s="170" t="s">
        <v>690</v>
      </c>
      <c r="C223" s="183" t="str">
        <f t="shared" si="21"/>
        <v/>
      </c>
      <c r="D223" s="182" t="str">
        <f t="shared" si="22"/>
        <v/>
      </c>
      <c r="E223" s="206"/>
      <c r="F223" s="207"/>
      <c r="G223" s="207"/>
      <c r="H223" s="205"/>
      <c r="I223" s="167">
        <v>6627298000</v>
      </c>
      <c r="J223" s="166"/>
      <c r="K223" s="167">
        <v>6403033000</v>
      </c>
      <c r="L223" s="168">
        <v>224265000</v>
      </c>
      <c r="M223" s="168">
        <f t="shared" si="23"/>
        <v>6627298000</v>
      </c>
      <c r="N223" s="168"/>
      <c r="O223" s="167">
        <v>6627298000</v>
      </c>
      <c r="P223" s="167">
        <f t="shared" si="24"/>
        <v>6627298000</v>
      </c>
      <c r="Q223" s="167"/>
      <c r="S223" s="201">
        <f t="shared" si="25"/>
        <v>6627.2979999999998</v>
      </c>
      <c r="T223" s="201">
        <f t="shared" si="20"/>
        <v>6627.2979999999998</v>
      </c>
      <c r="U223" s="201">
        <f t="shared" si="20"/>
        <v>0</v>
      </c>
      <c r="V223" s="201">
        <f t="shared" si="20"/>
        <v>6627.2979999999998</v>
      </c>
      <c r="W223" s="201">
        <f t="shared" si="20"/>
        <v>6627.2979999999998</v>
      </c>
      <c r="X223" s="201">
        <f t="shared" si="20"/>
        <v>0</v>
      </c>
    </row>
    <row r="224" spans="1:24" s="169" customFormat="1" ht="13.8">
      <c r="A224" s="193"/>
      <c r="B224" s="187"/>
      <c r="C224" s="183" t="str">
        <f t="shared" si="21"/>
        <v/>
      </c>
      <c r="D224" s="182" t="str">
        <f t="shared" si="22"/>
        <v/>
      </c>
      <c r="E224" s="192" t="s">
        <v>666</v>
      </c>
      <c r="F224" s="192" t="s">
        <v>677</v>
      </c>
      <c r="G224" s="192" t="s">
        <v>685</v>
      </c>
      <c r="H224" s="210" t="s">
        <v>1440</v>
      </c>
      <c r="I224" s="167">
        <v>6403033000</v>
      </c>
      <c r="J224" s="166"/>
      <c r="K224" s="167">
        <v>6403033000</v>
      </c>
      <c r="L224" s="171"/>
      <c r="M224" s="168">
        <f t="shared" si="23"/>
        <v>6403033000</v>
      </c>
      <c r="N224" s="171"/>
      <c r="O224" s="167">
        <v>6403033000</v>
      </c>
      <c r="P224" s="167">
        <f t="shared" si="24"/>
        <v>6403033000</v>
      </c>
      <c r="Q224" s="167"/>
      <c r="S224" s="201">
        <f t="shared" si="25"/>
        <v>6403.0330000000004</v>
      </c>
      <c r="T224" s="201">
        <f t="shared" si="20"/>
        <v>6403.0330000000004</v>
      </c>
      <c r="U224" s="201">
        <f t="shared" si="20"/>
        <v>0</v>
      </c>
      <c r="V224" s="201">
        <f t="shared" si="20"/>
        <v>6403.0330000000004</v>
      </c>
      <c r="W224" s="201">
        <f t="shared" si="20"/>
        <v>6403.0330000000004</v>
      </c>
      <c r="X224" s="201">
        <f t="shared" si="20"/>
        <v>0</v>
      </c>
    </row>
    <row r="225" spans="1:24" s="169" customFormat="1" ht="13.8">
      <c r="A225" s="194"/>
      <c r="B225" s="184"/>
      <c r="C225" s="183" t="str">
        <f t="shared" si="21"/>
        <v/>
      </c>
      <c r="D225" s="182" t="str">
        <f t="shared" si="22"/>
        <v/>
      </c>
      <c r="E225" s="192" t="s">
        <v>679</v>
      </c>
      <c r="F225" s="192" t="s">
        <v>677</v>
      </c>
      <c r="G225" s="192" t="s">
        <v>685</v>
      </c>
      <c r="H225" s="210" t="s">
        <v>1440</v>
      </c>
      <c r="I225" s="167">
        <v>198000000</v>
      </c>
      <c r="J225" s="166"/>
      <c r="K225" s="166"/>
      <c r="L225" s="168">
        <v>198000000</v>
      </c>
      <c r="M225" s="168">
        <f t="shared" si="23"/>
        <v>198000000</v>
      </c>
      <c r="N225" s="168"/>
      <c r="O225" s="167">
        <v>198000000</v>
      </c>
      <c r="P225" s="167">
        <f t="shared" si="24"/>
        <v>198000000</v>
      </c>
      <c r="Q225" s="167"/>
      <c r="S225" s="201">
        <f t="shared" si="25"/>
        <v>198</v>
      </c>
      <c r="T225" s="201">
        <f t="shared" si="20"/>
        <v>198</v>
      </c>
      <c r="U225" s="201">
        <f t="shared" si="20"/>
        <v>0</v>
      </c>
      <c r="V225" s="201">
        <f t="shared" si="20"/>
        <v>198</v>
      </c>
      <c r="W225" s="201">
        <f t="shared" si="20"/>
        <v>198</v>
      </c>
      <c r="X225" s="201">
        <f t="shared" si="20"/>
        <v>0</v>
      </c>
    </row>
    <row r="226" spans="1:24" s="169" customFormat="1" ht="13.8">
      <c r="A226" s="195"/>
      <c r="B226" s="188"/>
      <c r="C226" s="183" t="str">
        <f t="shared" si="21"/>
        <v/>
      </c>
      <c r="D226" s="182" t="str">
        <f t="shared" si="22"/>
        <v/>
      </c>
      <c r="E226" s="192" t="s">
        <v>669</v>
      </c>
      <c r="F226" s="192" t="s">
        <v>677</v>
      </c>
      <c r="G226" s="192" t="s">
        <v>685</v>
      </c>
      <c r="H226" s="210" t="s">
        <v>1440</v>
      </c>
      <c r="I226" s="167">
        <v>26265000</v>
      </c>
      <c r="J226" s="166"/>
      <c r="K226" s="166"/>
      <c r="L226" s="168">
        <v>26265000</v>
      </c>
      <c r="M226" s="168">
        <f t="shared" si="23"/>
        <v>26265000</v>
      </c>
      <c r="N226" s="168"/>
      <c r="O226" s="167">
        <v>26265000</v>
      </c>
      <c r="P226" s="167">
        <f t="shared" si="24"/>
        <v>26265000</v>
      </c>
      <c r="Q226" s="167"/>
      <c r="S226" s="201">
        <f t="shared" si="25"/>
        <v>26.265000000000001</v>
      </c>
      <c r="T226" s="201">
        <f t="shared" si="20"/>
        <v>26.265000000000001</v>
      </c>
      <c r="U226" s="201">
        <f t="shared" si="20"/>
        <v>0</v>
      </c>
      <c r="V226" s="201">
        <f t="shared" si="20"/>
        <v>26.265000000000001</v>
      </c>
      <c r="W226" s="201">
        <f t="shared" si="20"/>
        <v>26.265000000000001</v>
      </c>
      <c r="X226" s="201">
        <f t="shared" si="20"/>
        <v>0</v>
      </c>
    </row>
    <row r="227" spans="1:24" s="169" customFormat="1" ht="13.8">
      <c r="A227" s="192"/>
      <c r="B227" s="170" t="s">
        <v>686</v>
      </c>
      <c r="C227" s="183" t="str">
        <f t="shared" si="21"/>
        <v/>
      </c>
      <c r="D227" s="182" t="str">
        <f t="shared" si="22"/>
        <v/>
      </c>
      <c r="E227" s="206"/>
      <c r="F227" s="207"/>
      <c r="G227" s="207"/>
      <c r="H227" s="205"/>
      <c r="I227" s="167">
        <v>4533137000</v>
      </c>
      <c r="J227" s="166"/>
      <c r="K227" s="167">
        <v>4061737000</v>
      </c>
      <c r="L227" s="168">
        <v>471400000</v>
      </c>
      <c r="M227" s="168">
        <f t="shared" si="23"/>
        <v>4533137000</v>
      </c>
      <c r="N227" s="168"/>
      <c r="O227" s="167">
        <v>3662024500</v>
      </c>
      <c r="P227" s="167">
        <f t="shared" si="24"/>
        <v>3662024500</v>
      </c>
      <c r="Q227" s="167"/>
      <c r="S227" s="201">
        <f t="shared" si="25"/>
        <v>4533.1369999999997</v>
      </c>
      <c r="T227" s="201">
        <f t="shared" si="20"/>
        <v>4533.1369999999997</v>
      </c>
      <c r="U227" s="201">
        <f t="shared" si="20"/>
        <v>0</v>
      </c>
      <c r="V227" s="201">
        <f t="shared" si="20"/>
        <v>3662.0245</v>
      </c>
      <c r="W227" s="201">
        <f t="shared" si="20"/>
        <v>3662.0245</v>
      </c>
      <c r="X227" s="201">
        <f t="shared" si="20"/>
        <v>0</v>
      </c>
    </row>
    <row r="228" spans="1:24" s="169" customFormat="1" ht="13.8">
      <c r="A228" s="193"/>
      <c r="B228" s="187"/>
      <c r="C228" s="183" t="str">
        <f t="shared" si="21"/>
        <v/>
      </c>
      <c r="D228" s="182" t="str">
        <f t="shared" si="22"/>
        <v/>
      </c>
      <c r="E228" s="192" t="s">
        <v>681</v>
      </c>
      <c r="F228" s="192" t="s">
        <v>677</v>
      </c>
      <c r="G228" s="192" t="s">
        <v>685</v>
      </c>
      <c r="H228" s="210" t="s">
        <v>1440</v>
      </c>
      <c r="I228" s="167">
        <v>457370000</v>
      </c>
      <c r="J228" s="166"/>
      <c r="K228" s="167">
        <v>457370000</v>
      </c>
      <c r="L228" s="171"/>
      <c r="M228" s="168">
        <f t="shared" si="23"/>
        <v>457370000</v>
      </c>
      <c r="N228" s="171"/>
      <c r="O228" s="167">
        <v>457370000</v>
      </c>
      <c r="P228" s="167">
        <f t="shared" si="24"/>
        <v>457370000</v>
      </c>
      <c r="Q228" s="167"/>
      <c r="S228" s="201">
        <f t="shared" si="25"/>
        <v>457.37</v>
      </c>
      <c r="T228" s="201">
        <f t="shared" si="20"/>
        <v>457.37</v>
      </c>
      <c r="U228" s="201">
        <f t="shared" si="20"/>
        <v>0</v>
      </c>
      <c r="V228" s="201">
        <f t="shared" si="20"/>
        <v>457.37</v>
      </c>
      <c r="W228" s="201">
        <f t="shared" si="20"/>
        <v>457.37</v>
      </c>
      <c r="X228" s="201">
        <f t="shared" si="20"/>
        <v>0</v>
      </c>
    </row>
    <row r="229" spans="1:24" s="169" customFormat="1" ht="13.8">
      <c r="A229" s="194"/>
      <c r="B229" s="184"/>
      <c r="C229" s="183" t="str">
        <f t="shared" si="21"/>
        <v/>
      </c>
      <c r="D229" s="182" t="str">
        <f t="shared" si="22"/>
        <v/>
      </c>
      <c r="E229" s="192" t="s">
        <v>679</v>
      </c>
      <c r="F229" s="192" t="s">
        <v>677</v>
      </c>
      <c r="G229" s="192" t="s">
        <v>685</v>
      </c>
      <c r="H229" s="210" t="s">
        <v>1440</v>
      </c>
      <c r="I229" s="167">
        <v>3002704000</v>
      </c>
      <c r="J229" s="166"/>
      <c r="K229" s="167">
        <v>3002704000</v>
      </c>
      <c r="L229" s="171"/>
      <c r="M229" s="168">
        <f t="shared" si="23"/>
        <v>3002704000</v>
      </c>
      <c r="N229" s="171"/>
      <c r="O229" s="167">
        <v>2584272000</v>
      </c>
      <c r="P229" s="167">
        <f t="shared" si="24"/>
        <v>2584272000</v>
      </c>
      <c r="Q229" s="167"/>
      <c r="S229" s="201">
        <f t="shared" si="25"/>
        <v>3002.7040000000002</v>
      </c>
      <c r="T229" s="201">
        <f t="shared" si="20"/>
        <v>3002.7040000000002</v>
      </c>
      <c r="U229" s="201">
        <f t="shared" si="20"/>
        <v>0</v>
      </c>
      <c r="V229" s="201">
        <f t="shared" si="20"/>
        <v>2584.2719999999999</v>
      </c>
      <c r="W229" s="201">
        <f t="shared" si="20"/>
        <v>2584.2719999999999</v>
      </c>
      <c r="X229" s="201">
        <f t="shared" si="20"/>
        <v>0</v>
      </c>
    </row>
    <row r="230" spans="1:24" s="169" customFormat="1" ht="13.8">
      <c r="A230" s="194"/>
      <c r="B230" s="184"/>
      <c r="C230" s="183" t="str">
        <f t="shared" si="21"/>
        <v/>
      </c>
      <c r="D230" s="182" t="str">
        <f t="shared" si="22"/>
        <v/>
      </c>
      <c r="E230" s="192" t="s">
        <v>667</v>
      </c>
      <c r="F230" s="192" t="s">
        <v>677</v>
      </c>
      <c r="G230" s="192" t="s">
        <v>685</v>
      </c>
      <c r="H230" s="210" t="s">
        <v>1440</v>
      </c>
      <c r="I230" s="167">
        <v>400000000</v>
      </c>
      <c r="J230" s="166"/>
      <c r="K230" s="166"/>
      <c r="L230" s="168">
        <v>400000000</v>
      </c>
      <c r="M230" s="168">
        <f t="shared" si="23"/>
        <v>400000000</v>
      </c>
      <c r="N230" s="168"/>
      <c r="O230" s="166"/>
      <c r="P230" s="167">
        <f t="shared" si="24"/>
        <v>0</v>
      </c>
      <c r="Q230" s="166"/>
      <c r="S230" s="201">
        <f t="shared" si="25"/>
        <v>400</v>
      </c>
      <c r="T230" s="201">
        <f t="shared" si="20"/>
        <v>400</v>
      </c>
      <c r="U230" s="201">
        <f t="shared" si="20"/>
        <v>0</v>
      </c>
      <c r="V230" s="201">
        <f t="shared" si="20"/>
        <v>0</v>
      </c>
      <c r="W230" s="201">
        <f t="shared" si="20"/>
        <v>0</v>
      </c>
      <c r="X230" s="201">
        <f t="shared" si="20"/>
        <v>0</v>
      </c>
    </row>
    <row r="231" spans="1:24" s="169" customFormat="1" ht="13.8">
      <c r="A231" s="195"/>
      <c r="B231" s="188"/>
      <c r="C231" s="183" t="str">
        <f t="shared" si="21"/>
        <v/>
      </c>
      <c r="D231" s="182" t="str">
        <f t="shared" si="22"/>
        <v/>
      </c>
      <c r="E231" s="192" t="s">
        <v>669</v>
      </c>
      <c r="F231" s="192" t="s">
        <v>677</v>
      </c>
      <c r="G231" s="192" t="s">
        <v>685</v>
      </c>
      <c r="H231" s="210" t="s">
        <v>1440</v>
      </c>
      <c r="I231" s="167">
        <v>673063000</v>
      </c>
      <c r="J231" s="166"/>
      <c r="K231" s="167">
        <v>601663000</v>
      </c>
      <c r="L231" s="168">
        <v>71400000</v>
      </c>
      <c r="M231" s="168">
        <f t="shared" si="23"/>
        <v>673063000</v>
      </c>
      <c r="N231" s="168"/>
      <c r="O231" s="167">
        <v>620382500</v>
      </c>
      <c r="P231" s="167">
        <f t="shared" si="24"/>
        <v>620382500</v>
      </c>
      <c r="Q231" s="167"/>
      <c r="S231" s="201">
        <f t="shared" si="25"/>
        <v>673.06299999999999</v>
      </c>
      <c r="T231" s="201">
        <f t="shared" si="20"/>
        <v>673.06299999999999</v>
      </c>
      <c r="U231" s="201">
        <f t="shared" si="20"/>
        <v>0</v>
      </c>
      <c r="V231" s="201">
        <f t="shared" si="20"/>
        <v>620.38250000000005</v>
      </c>
      <c r="W231" s="201">
        <f t="shared" si="20"/>
        <v>620.38250000000005</v>
      </c>
      <c r="X231" s="201">
        <f t="shared" si="20"/>
        <v>0</v>
      </c>
    </row>
    <row r="232" spans="1:24" s="169" customFormat="1" ht="26.4">
      <c r="A232" s="192" t="s">
        <v>772</v>
      </c>
      <c r="B232" s="165" t="s">
        <v>773</v>
      </c>
      <c r="C232" s="183" t="str">
        <f t="shared" si="21"/>
        <v>1029922</v>
      </c>
      <c r="D232" s="182" t="str">
        <f t="shared" si="22"/>
        <v>-Trung tâm Kiểm dịch Y tẽ Quốc tẽ</v>
      </c>
      <c r="E232" s="206"/>
      <c r="F232" s="207"/>
      <c r="G232" s="207"/>
      <c r="H232" s="205"/>
      <c r="I232" s="167">
        <v>1699710000</v>
      </c>
      <c r="J232" s="166"/>
      <c r="K232" s="167">
        <v>2456750000</v>
      </c>
      <c r="L232" s="168">
        <v>-757040000</v>
      </c>
      <c r="M232" s="168">
        <f t="shared" si="23"/>
        <v>1699710000</v>
      </c>
      <c r="N232" s="168"/>
      <c r="O232" s="167">
        <v>1699702182</v>
      </c>
      <c r="P232" s="167">
        <f t="shared" si="24"/>
        <v>1699702182</v>
      </c>
      <c r="Q232" s="167"/>
      <c r="S232" s="201">
        <f t="shared" si="25"/>
        <v>1699.71</v>
      </c>
      <c r="T232" s="201">
        <f t="shared" si="20"/>
        <v>1699.71</v>
      </c>
      <c r="U232" s="201">
        <f t="shared" si="20"/>
        <v>0</v>
      </c>
      <c r="V232" s="201">
        <f t="shared" si="20"/>
        <v>1699.702182</v>
      </c>
      <c r="W232" s="201">
        <f t="shared" si="20"/>
        <v>1699.702182</v>
      </c>
      <c r="X232" s="201">
        <f t="shared" si="20"/>
        <v>0</v>
      </c>
    </row>
    <row r="233" spans="1:24" s="169" customFormat="1" ht="13.8">
      <c r="A233" s="192" t="s">
        <v>774</v>
      </c>
      <c r="B233" s="170" t="s">
        <v>689</v>
      </c>
      <c r="C233" s="183" t="str">
        <f t="shared" si="21"/>
        <v/>
      </c>
      <c r="D233" s="182" t="str">
        <f t="shared" si="22"/>
        <v/>
      </c>
      <c r="E233" s="206"/>
      <c r="F233" s="207"/>
      <c r="G233" s="207"/>
      <c r="H233" s="205"/>
      <c r="I233" s="167">
        <v>1699710000</v>
      </c>
      <c r="J233" s="166"/>
      <c r="K233" s="167">
        <v>2456750000</v>
      </c>
      <c r="L233" s="168">
        <v>-757040000</v>
      </c>
      <c r="M233" s="168">
        <f t="shared" si="23"/>
        <v>1699710000</v>
      </c>
      <c r="N233" s="168"/>
      <c r="O233" s="167">
        <v>1699702182</v>
      </c>
      <c r="P233" s="167">
        <f t="shared" si="24"/>
        <v>1699702182</v>
      </c>
      <c r="Q233" s="167"/>
      <c r="S233" s="201">
        <f t="shared" si="25"/>
        <v>1699.71</v>
      </c>
      <c r="T233" s="201">
        <f t="shared" ref="T233:X283" si="26">M233/1000000</f>
        <v>1699.71</v>
      </c>
      <c r="U233" s="201">
        <f t="shared" si="26"/>
        <v>0</v>
      </c>
      <c r="V233" s="201">
        <f t="shared" si="26"/>
        <v>1699.702182</v>
      </c>
      <c r="W233" s="201">
        <f t="shared" si="26"/>
        <v>1699.702182</v>
      </c>
      <c r="X233" s="201">
        <f t="shared" si="26"/>
        <v>0</v>
      </c>
    </row>
    <row r="234" spans="1:24" s="169" customFormat="1" ht="13.8">
      <c r="A234" s="192"/>
      <c r="B234" s="170" t="s">
        <v>690</v>
      </c>
      <c r="C234" s="183" t="str">
        <f t="shared" si="21"/>
        <v/>
      </c>
      <c r="D234" s="182" t="str">
        <f t="shared" si="22"/>
        <v/>
      </c>
      <c r="E234" s="206"/>
      <c r="F234" s="207"/>
      <c r="G234" s="207"/>
      <c r="H234" s="205"/>
      <c r="I234" s="167">
        <v>1123970000</v>
      </c>
      <c r="J234" s="166"/>
      <c r="K234" s="167">
        <v>1881010000</v>
      </c>
      <c r="L234" s="168">
        <v>-757040000</v>
      </c>
      <c r="M234" s="168">
        <f t="shared" si="23"/>
        <v>1123970000</v>
      </c>
      <c r="N234" s="168"/>
      <c r="O234" s="167">
        <v>1123968622</v>
      </c>
      <c r="P234" s="167">
        <f t="shared" si="24"/>
        <v>1123968622</v>
      </c>
      <c r="Q234" s="167"/>
      <c r="S234" s="201">
        <f t="shared" si="25"/>
        <v>1123.97</v>
      </c>
      <c r="T234" s="201">
        <f t="shared" si="26"/>
        <v>1123.97</v>
      </c>
      <c r="U234" s="201">
        <f t="shared" si="26"/>
        <v>0</v>
      </c>
      <c r="V234" s="201">
        <f t="shared" si="26"/>
        <v>1123.9686220000001</v>
      </c>
      <c r="W234" s="201">
        <f t="shared" si="26"/>
        <v>1123.9686220000001</v>
      </c>
      <c r="X234" s="201">
        <f t="shared" si="26"/>
        <v>0</v>
      </c>
    </row>
    <row r="235" spans="1:24" s="169" customFormat="1" ht="13.8">
      <c r="A235" s="192"/>
      <c r="B235" s="164"/>
      <c r="C235" s="183" t="str">
        <f t="shared" si="21"/>
        <v/>
      </c>
      <c r="D235" s="182" t="str">
        <f t="shared" si="22"/>
        <v/>
      </c>
      <c r="E235" s="192" t="s">
        <v>666</v>
      </c>
      <c r="F235" s="192" t="s">
        <v>705</v>
      </c>
      <c r="G235" s="192" t="s">
        <v>775</v>
      </c>
      <c r="H235" s="210" t="s">
        <v>1440</v>
      </c>
      <c r="I235" s="167">
        <v>1123970000</v>
      </c>
      <c r="J235" s="166"/>
      <c r="K235" s="167">
        <v>1881010000</v>
      </c>
      <c r="L235" s="168">
        <v>-757040000</v>
      </c>
      <c r="M235" s="168">
        <f t="shared" si="23"/>
        <v>1123970000</v>
      </c>
      <c r="N235" s="168"/>
      <c r="O235" s="167">
        <v>1123968622</v>
      </c>
      <c r="P235" s="167">
        <f t="shared" si="24"/>
        <v>1123968622</v>
      </c>
      <c r="Q235" s="167"/>
      <c r="S235" s="201">
        <f t="shared" si="25"/>
        <v>1123.97</v>
      </c>
      <c r="T235" s="201">
        <f t="shared" si="26"/>
        <v>1123.97</v>
      </c>
      <c r="U235" s="201">
        <f t="shared" si="26"/>
        <v>0</v>
      </c>
      <c r="V235" s="201">
        <f t="shared" si="26"/>
        <v>1123.9686220000001</v>
      </c>
      <c r="W235" s="201">
        <f t="shared" si="26"/>
        <v>1123.9686220000001</v>
      </c>
      <c r="X235" s="201">
        <f t="shared" si="26"/>
        <v>0</v>
      </c>
    </row>
    <row r="236" spans="1:24" s="169" customFormat="1" ht="13.8">
      <c r="A236" s="192"/>
      <c r="B236" s="170" t="s">
        <v>686</v>
      </c>
      <c r="C236" s="183" t="str">
        <f t="shared" si="21"/>
        <v/>
      </c>
      <c r="D236" s="182" t="str">
        <f t="shared" si="22"/>
        <v/>
      </c>
      <c r="E236" s="206"/>
      <c r="F236" s="207"/>
      <c r="G236" s="207"/>
      <c r="H236" s="205"/>
      <c r="I236" s="167">
        <v>575740000</v>
      </c>
      <c r="J236" s="166"/>
      <c r="K236" s="167">
        <v>575740000</v>
      </c>
      <c r="L236" s="171"/>
      <c r="M236" s="168">
        <f t="shared" si="23"/>
        <v>575740000</v>
      </c>
      <c r="N236" s="171"/>
      <c r="O236" s="167">
        <v>575733560</v>
      </c>
      <c r="P236" s="167">
        <f t="shared" si="24"/>
        <v>575733560</v>
      </c>
      <c r="Q236" s="167"/>
      <c r="S236" s="201">
        <f t="shared" si="25"/>
        <v>575.74</v>
      </c>
      <c r="T236" s="201">
        <f t="shared" si="26"/>
        <v>575.74</v>
      </c>
      <c r="U236" s="201">
        <f t="shared" si="26"/>
        <v>0</v>
      </c>
      <c r="V236" s="201">
        <f t="shared" si="26"/>
        <v>575.73356000000001</v>
      </c>
      <c r="W236" s="201">
        <f t="shared" si="26"/>
        <v>575.73356000000001</v>
      </c>
      <c r="X236" s="201">
        <f t="shared" si="26"/>
        <v>0</v>
      </c>
    </row>
    <row r="237" spans="1:24" s="169" customFormat="1" ht="13.8">
      <c r="A237" s="192"/>
      <c r="B237" s="164"/>
      <c r="C237" s="183" t="str">
        <f t="shared" si="21"/>
        <v/>
      </c>
      <c r="D237" s="182" t="str">
        <f t="shared" si="22"/>
        <v/>
      </c>
      <c r="E237" s="192" t="s">
        <v>681</v>
      </c>
      <c r="F237" s="192" t="s">
        <v>705</v>
      </c>
      <c r="G237" s="192" t="s">
        <v>775</v>
      </c>
      <c r="H237" s="210" t="s">
        <v>1440</v>
      </c>
      <c r="I237" s="167">
        <v>575740000</v>
      </c>
      <c r="J237" s="166"/>
      <c r="K237" s="167">
        <v>575740000</v>
      </c>
      <c r="L237" s="171"/>
      <c r="M237" s="168">
        <f t="shared" si="23"/>
        <v>575740000</v>
      </c>
      <c r="N237" s="171"/>
      <c r="O237" s="167">
        <v>575733560</v>
      </c>
      <c r="P237" s="167">
        <f t="shared" si="24"/>
        <v>575733560</v>
      </c>
      <c r="Q237" s="167"/>
      <c r="S237" s="201">
        <f t="shared" si="25"/>
        <v>575.74</v>
      </c>
      <c r="T237" s="201">
        <f t="shared" si="26"/>
        <v>575.74</v>
      </c>
      <c r="U237" s="201">
        <f t="shared" si="26"/>
        <v>0</v>
      </c>
      <c r="V237" s="201">
        <f t="shared" si="26"/>
        <v>575.73356000000001</v>
      </c>
      <c r="W237" s="201">
        <f t="shared" si="26"/>
        <v>575.73356000000001</v>
      </c>
      <c r="X237" s="201">
        <f t="shared" si="26"/>
        <v>0</v>
      </c>
    </row>
    <row r="238" spans="1:24" s="169" customFormat="1" ht="39.6">
      <c r="A238" s="192" t="s">
        <v>776</v>
      </c>
      <c r="B238" s="165" t="s">
        <v>777</v>
      </c>
      <c r="C238" s="183" t="str">
        <f t="shared" si="21"/>
        <v>1030058</v>
      </c>
      <c r="D238" s="182" t="str">
        <f t="shared" si="22"/>
        <v>-Ban Chỉ đạo phân giới, cắm mổc tỉnh Kontum (Việt nam - Lào)</v>
      </c>
      <c r="E238" s="206"/>
      <c r="F238" s="207"/>
      <c r="G238" s="207"/>
      <c r="H238" s="205"/>
      <c r="I238" s="167">
        <v>2387542157</v>
      </c>
      <c r="J238" s="167">
        <v>2387542157</v>
      </c>
      <c r="K238" s="166"/>
      <c r="L238" s="171"/>
      <c r="M238" s="168">
        <f t="shared" si="23"/>
        <v>2387542157</v>
      </c>
      <c r="N238" s="171"/>
      <c r="O238" s="167">
        <v>1130765675</v>
      </c>
      <c r="P238" s="167">
        <f t="shared" si="24"/>
        <v>1130765675</v>
      </c>
      <c r="Q238" s="167"/>
      <c r="S238" s="201">
        <f t="shared" si="25"/>
        <v>2387.5421569999999</v>
      </c>
      <c r="T238" s="201">
        <f t="shared" si="26"/>
        <v>2387.5421569999999</v>
      </c>
      <c r="U238" s="201">
        <f t="shared" si="26"/>
        <v>0</v>
      </c>
      <c r="V238" s="201">
        <f t="shared" si="26"/>
        <v>1130.7656750000001</v>
      </c>
      <c r="W238" s="201">
        <f t="shared" si="26"/>
        <v>1130.7656750000001</v>
      </c>
      <c r="X238" s="201">
        <f t="shared" si="26"/>
        <v>0</v>
      </c>
    </row>
    <row r="239" spans="1:24" s="169" customFormat="1" ht="13.8">
      <c r="A239" s="192" t="s">
        <v>778</v>
      </c>
      <c r="B239" s="170" t="s">
        <v>689</v>
      </c>
      <c r="C239" s="183" t="str">
        <f t="shared" si="21"/>
        <v/>
      </c>
      <c r="D239" s="182" t="str">
        <f t="shared" si="22"/>
        <v/>
      </c>
      <c r="E239" s="206"/>
      <c r="F239" s="207"/>
      <c r="G239" s="207"/>
      <c r="H239" s="205"/>
      <c r="I239" s="167">
        <v>2387542157</v>
      </c>
      <c r="J239" s="167">
        <v>2387542157</v>
      </c>
      <c r="K239" s="166"/>
      <c r="L239" s="171"/>
      <c r="M239" s="168">
        <f t="shared" si="23"/>
        <v>2387542157</v>
      </c>
      <c r="N239" s="171"/>
      <c r="O239" s="167">
        <v>1130765675</v>
      </c>
      <c r="P239" s="167">
        <f t="shared" si="24"/>
        <v>1130765675</v>
      </c>
      <c r="Q239" s="167"/>
      <c r="S239" s="201">
        <f t="shared" si="25"/>
        <v>2387.5421569999999</v>
      </c>
      <c r="T239" s="201">
        <f t="shared" si="26"/>
        <v>2387.5421569999999</v>
      </c>
      <c r="U239" s="201">
        <f t="shared" si="26"/>
        <v>0</v>
      </c>
      <c r="V239" s="201">
        <f t="shared" si="26"/>
        <v>1130.7656750000001</v>
      </c>
      <c r="W239" s="201">
        <f t="shared" si="26"/>
        <v>1130.7656750000001</v>
      </c>
      <c r="X239" s="201">
        <f t="shared" si="26"/>
        <v>0</v>
      </c>
    </row>
    <row r="240" spans="1:24" s="169" customFormat="1" ht="13.8">
      <c r="A240" s="192"/>
      <c r="B240" s="170" t="s">
        <v>686</v>
      </c>
      <c r="C240" s="183" t="str">
        <f t="shared" si="21"/>
        <v/>
      </c>
      <c r="D240" s="182" t="str">
        <f t="shared" si="22"/>
        <v/>
      </c>
      <c r="E240" s="206"/>
      <c r="F240" s="207"/>
      <c r="G240" s="207"/>
      <c r="H240" s="205"/>
      <c r="I240" s="167">
        <v>2387542157</v>
      </c>
      <c r="J240" s="167">
        <v>2387542157</v>
      </c>
      <c r="K240" s="166"/>
      <c r="L240" s="171"/>
      <c r="M240" s="168">
        <f t="shared" si="23"/>
        <v>2387542157</v>
      </c>
      <c r="N240" s="171"/>
      <c r="O240" s="167">
        <v>1130765675</v>
      </c>
      <c r="P240" s="167">
        <f t="shared" si="24"/>
        <v>1130765675</v>
      </c>
      <c r="Q240" s="167"/>
      <c r="S240" s="201">
        <f t="shared" si="25"/>
        <v>2387.5421569999999</v>
      </c>
      <c r="T240" s="201">
        <f t="shared" si="26"/>
        <v>2387.5421569999999</v>
      </c>
      <c r="U240" s="201">
        <f t="shared" si="26"/>
        <v>0</v>
      </c>
      <c r="V240" s="201">
        <f t="shared" si="26"/>
        <v>1130.7656750000001</v>
      </c>
      <c r="W240" s="201">
        <f t="shared" si="26"/>
        <v>1130.7656750000001</v>
      </c>
      <c r="X240" s="201">
        <f t="shared" si="26"/>
        <v>0</v>
      </c>
    </row>
    <row r="241" spans="1:24" s="169" customFormat="1" ht="13.8">
      <c r="A241" s="192"/>
      <c r="B241" s="164"/>
      <c r="C241" s="183" t="str">
        <f t="shared" si="21"/>
        <v/>
      </c>
      <c r="D241" s="182" t="str">
        <f t="shared" si="22"/>
        <v/>
      </c>
      <c r="E241" s="192" t="s">
        <v>751</v>
      </c>
      <c r="F241" s="192" t="s">
        <v>779</v>
      </c>
      <c r="G241" s="192" t="s">
        <v>780</v>
      </c>
      <c r="H241" s="210" t="s">
        <v>1440</v>
      </c>
      <c r="I241" s="167">
        <v>2387542157</v>
      </c>
      <c r="J241" s="167">
        <v>2387542157</v>
      </c>
      <c r="K241" s="166"/>
      <c r="L241" s="171"/>
      <c r="M241" s="168">
        <f t="shared" si="23"/>
        <v>2387542157</v>
      </c>
      <c r="N241" s="171"/>
      <c r="O241" s="167">
        <v>1130765675</v>
      </c>
      <c r="P241" s="167">
        <f t="shared" si="24"/>
        <v>1130765675</v>
      </c>
      <c r="Q241" s="167"/>
      <c r="S241" s="201">
        <f t="shared" si="25"/>
        <v>2387.5421569999999</v>
      </c>
      <c r="T241" s="201">
        <f t="shared" si="26"/>
        <v>2387.5421569999999</v>
      </c>
      <c r="U241" s="201">
        <f t="shared" si="26"/>
        <v>0</v>
      </c>
      <c r="V241" s="201">
        <f t="shared" si="26"/>
        <v>1130.7656750000001</v>
      </c>
      <c r="W241" s="201">
        <f t="shared" si="26"/>
        <v>1130.7656750000001</v>
      </c>
      <c r="X241" s="201">
        <f t="shared" si="26"/>
        <v>0</v>
      </c>
    </row>
    <row r="242" spans="1:24" s="169" customFormat="1" ht="26.4">
      <c r="A242" s="192" t="s">
        <v>781</v>
      </c>
      <c r="B242" s="165" t="s">
        <v>782</v>
      </c>
      <c r="C242" s="183" t="str">
        <f t="shared" si="21"/>
        <v>1030064</v>
      </c>
      <c r="D242" s="182" t="str">
        <f t="shared" si="22"/>
        <v>-Liên hiệp các Hội KH&amp;KT tỉnh Kontum</v>
      </c>
      <c r="E242" s="206"/>
      <c r="F242" s="207"/>
      <c r="G242" s="207"/>
      <c r="H242" s="205"/>
      <c r="I242" s="167">
        <v>1769100000</v>
      </c>
      <c r="J242" s="166"/>
      <c r="K242" s="167">
        <v>1664000000</v>
      </c>
      <c r="L242" s="168">
        <v>105100000</v>
      </c>
      <c r="M242" s="168">
        <f t="shared" si="23"/>
        <v>1769100000</v>
      </c>
      <c r="N242" s="168"/>
      <c r="O242" s="167">
        <v>1769100000</v>
      </c>
      <c r="P242" s="167">
        <f t="shared" si="24"/>
        <v>1769100000</v>
      </c>
      <c r="Q242" s="167"/>
      <c r="S242" s="201">
        <f t="shared" si="25"/>
        <v>1769.1</v>
      </c>
      <c r="T242" s="201">
        <f t="shared" si="26"/>
        <v>1769.1</v>
      </c>
      <c r="U242" s="201">
        <f t="shared" si="26"/>
        <v>0</v>
      </c>
      <c r="V242" s="201">
        <f t="shared" si="26"/>
        <v>1769.1</v>
      </c>
      <c r="W242" s="201">
        <f t="shared" si="26"/>
        <v>1769.1</v>
      </c>
      <c r="X242" s="201">
        <f t="shared" si="26"/>
        <v>0</v>
      </c>
    </row>
    <row r="243" spans="1:24" s="169" customFormat="1" ht="13.8">
      <c r="A243" s="192" t="s">
        <v>783</v>
      </c>
      <c r="B243" s="170" t="s">
        <v>689</v>
      </c>
      <c r="C243" s="183" t="str">
        <f t="shared" si="21"/>
        <v/>
      </c>
      <c r="D243" s="182" t="str">
        <f t="shared" si="22"/>
        <v/>
      </c>
      <c r="E243" s="206"/>
      <c r="F243" s="207"/>
      <c r="G243" s="207"/>
      <c r="H243" s="205"/>
      <c r="I243" s="167">
        <v>1769100000</v>
      </c>
      <c r="J243" s="166"/>
      <c r="K243" s="167">
        <v>1664000000</v>
      </c>
      <c r="L243" s="168">
        <v>105100000</v>
      </c>
      <c r="M243" s="168">
        <f t="shared" si="23"/>
        <v>1769100000</v>
      </c>
      <c r="N243" s="168"/>
      <c r="O243" s="167">
        <v>1769100000</v>
      </c>
      <c r="P243" s="167">
        <f t="shared" si="24"/>
        <v>1769100000</v>
      </c>
      <c r="Q243" s="167"/>
      <c r="S243" s="201">
        <f t="shared" si="25"/>
        <v>1769.1</v>
      </c>
      <c r="T243" s="201">
        <f t="shared" si="26"/>
        <v>1769.1</v>
      </c>
      <c r="U243" s="201">
        <f t="shared" si="26"/>
        <v>0</v>
      </c>
      <c r="V243" s="201">
        <f t="shared" si="26"/>
        <v>1769.1</v>
      </c>
      <c r="W243" s="201">
        <f t="shared" si="26"/>
        <v>1769.1</v>
      </c>
      <c r="X243" s="201">
        <f t="shared" si="26"/>
        <v>0</v>
      </c>
    </row>
    <row r="244" spans="1:24" s="169" customFormat="1" ht="13.8">
      <c r="A244" s="192"/>
      <c r="B244" s="170" t="s">
        <v>686</v>
      </c>
      <c r="C244" s="183" t="str">
        <f t="shared" si="21"/>
        <v/>
      </c>
      <c r="D244" s="182" t="str">
        <f t="shared" si="22"/>
        <v/>
      </c>
      <c r="E244" s="206"/>
      <c r="F244" s="207"/>
      <c r="G244" s="207"/>
      <c r="H244" s="205"/>
      <c r="I244" s="167">
        <v>1769100000</v>
      </c>
      <c r="J244" s="166"/>
      <c r="K244" s="167">
        <v>1664000000</v>
      </c>
      <c r="L244" s="168">
        <v>105100000</v>
      </c>
      <c r="M244" s="168">
        <f t="shared" si="23"/>
        <v>1769100000</v>
      </c>
      <c r="N244" s="168"/>
      <c r="O244" s="167">
        <v>1769100000</v>
      </c>
      <c r="P244" s="167">
        <f t="shared" si="24"/>
        <v>1769100000</v>
      </c>
      <c r="Q244" s="167"/>
      <c r="S244" s="201">
        <f t="shared" si="25"/>
        <v>1769.1</v>
      </c>
      <c r="T244" s="201">
        <f t="shared" si="26"/>
        <v>1769.1</v>
      </c>
      <c r="U244" s="201">
        <f t="shared" si="26"/>
        <v>0</v>
      </c>
      <c r="V244" s="201">
        <f t="shared" si="26"/>
        <v>1769.1</v>
      </c>
      <c r="W244" s="201">
        <f t="shared" si="26"/>
        <v>1769.1</v>
      </c>
      <c r="X244" s="201">
        <f t="shared" si="26"/>
        <v>0</v>
      </c>
    </row>
    <row r="245" spans="1:24" s="169" customFormat="1" ht="13.8">
      <c r="A245" s="193"/>
      <c r="B245" s="187"/>
      <c r="C245" s="183" t="str">
        <f t="shared" si="21"/>
        <v/>
      </c>
      <c r="D245" s="182" t="str">
        <f t="shared" si="22"/>
        <v/>
      </c>
      <c r="E245" s="192" t="s">
        <v>681</v>
      </c>
      <c r="F245" s="192" t="s">
        <v>784</v>
      </c>
      <c r="G245" s="192" t="s">
        <v>785</v>
      </c>
      <c r="H245" s="210" t="s">
        <v>1440</v>
      </c>
      <c r="I245" s="167">
        <v>324000000</v>
      </c>
      <c r="J245" s="166"/>
      <c r="K245" s="167">
        <v>324000000</v>
      </c>
      <c r="L245" s="171"/>
      <c r="M245" s="168">
        <f t="shared" si="23"/>
        <v>324000000</v>
      </c>
      <c r="N245" s="171"/>
      <c r="O245" s="167">
        <v>324000000</v>
      </c>
      <c r="P245" s="167">
        <f t="shared" si="24"/>
        <v>324000000</v>
      </c>
      <c r="Q245" s="167"/>
      <c r="S245" s="201">
        <f t="shared" si="25"/>
        <v>324</v>
      </c>
      <c r="T245" s="201">
        <f t="shared" si="26"/>
        <v>324</v>
      </c>
      <c r="U245" s="201">
        <f t="shared" si="26"/>
        <v>0</v>
      </c>
      <c r="V245" s="201">
        <f t="shared" si="26"/>
        <v>324</v>
      </c>
      <c r="W245" s="201">
        <f t="shared" si="26"/>
        <v>324</v>
      </c>
      <c r="X245" s="201">
        <f t="shared" si="26"/>
        <v>0</v>
      </c>
    </row>
    <row r="246" spans="1:24" s="169" customFormat="1" ht="13.8">
      <c r="A246" s="194"/>
      <c r="B246" s="184"/>
      <c r="C246" s="183" t="str">
        <f t="shared" si="21"/>
        <v/>
      </c>
      <c r="D246" s="182" t="str">
        <f t="shared" si="22"/>
        <v/>
      </c>
      <c r="E246" s="192" t="s">
        <v>681</v>
      </c>
      <c r="F246" s="192" t="s">
        <v>784</v>
      </c>
      <c r="G246" s="192" t="s">
        <v>786</v>
      </c>
      <c r="H246" s="210" t="s">
        <v>1440</v>
      </c>
      <c r="I246" s="167">
        <v>1428000000</v>
      </c>
      <c r="J246" s="166"/>
      <c r="K246" s="167">
        <v>1340000000</v>
      </c>
      <c r="L246" s="168">
        <v>88000000</v>
      </c>
      <c r="M246" s="168">
        <f t="shared" si="23"/>
        <v>1428000000</v>
      </c>
      <c r="N246" s="168"/>
      <c r="O246" s="167">
        <v>1428000000</v>
      </c>
      <c r="P246" s="167">
        <f t="shared" si="24"/>
        <v>1428000000</v>
      </c>
      <c r="Q246" s="167"/>
      <c r="S246" s="201">
        <f t="shared" si="25"/>
        <v>1428</v>
      </c>
      <c r="T246" s="201">
        <f t="shared" si="26"/>
        <v>1428</v>
      </c>
      <c r="U246" s="201">
        <f t="shared" si="26"/>
        <v>0</v>
      </c>
      <c r="V246" s="201">
        <f t="shared" si="26"/>
        <v>1428</v>
      </c>
      <c r="W246" s="201">
        <f t="shared" si="26"/>
        <v>1428</v>
      </c>
      <c r="X246" s="201">
        <f t="shared" si="26"/>
        <v>0</v>
      </c>
    </row>
    <row r="247" spans="1:24" s="169" customFormat="1" ht="13.8">
      <c r="A247" s="195"/>
      <c r="B247" s="188"/>
      <c r="C247" s="183" t="str">
        <f t="shared" si="21"/>
        <v/>
      </c>
      <c r="D247" s="182" t="str">
        <f t="shared" si="22"/>
        <v/>
      </c>
      <c r="E247" s="192" t="s">
        <v>679</v>
      </c>
      <c r="F247" s="192" t="s">
        <v>784</v>
      </c>
      <c r="G247" s="192" t="s">
        <v>786</v>
      </c>
      <c r="H247" s="210" t="s">
        <v>1440</v>
      </c>
      <c r="I247" s="167">
        <v>17100000</v>
      </c>
      <c r="J247" s="166"/>
      <c r="K247" s="166"/>
      <c r="L247" s="168">
        <v>17100000</v>
      </c>
      <c r="M247" s="168">
        <f t="shared" si="23"/>
        <v>17100000</v>
      </c>
      <c r="N247" s="168"/>
      <c r="O247" s="167">
        <v>17100000</v>
      </c>
      <c r="P247" s="167">
        <f t="shared" si="24"/>
        <v>17100000</v>
      </c>
      <c r="Q247" s="167"/>
      <c r="S247" s="201">
        <f t="shared" si="25"/>
        <v>17.100000000000001</v>
      </c>
      <c r="T247" s="201">
        <f t="shared" si="26"/>
        <v>17.100000000000001</v>
      </c>
      <c r="U247" s="201">
        <f t="shared" si="26"/>
        <v>0</v>
      </c>
      <c r="V247" s="201">
        <f t="shared" si="26"/>
        <v>17.100000000000001</v>
      </c>
      <c r="W247" s="201">
        <f t="shared" si="26"/>
        <v>17.100000000000001</v>
      </c>
      <c r="X247" s="201">
        <f t="shared" si="26"/>
        <v>0</v>
      </c>
    </row>
    <row r="248" spans="1:24" s="169" customFormat="1" ht="13.8">
      <c r="A248" s="192" t="s">
        <v>787</v>
      </c>
      <c r="B248" s="170" t="s">
        <v>788</v>
      </c>
      <c r="C248" s="183" t="str">
        <f t="shared" si="21"/>
        <v>1030065</v>
      </c>
      <c r="D248" s="182" t="str">
        <f t="shared" si="22"/>
        <v>-SỜ Ngoại vụ</v>
      </c>
      <c r="E248" s="206"/>
      <c r="F248" s="207"/>
      <c r="G248" s="207"/>
      <c r="H248" s="205"/>
      <c r="I248" s="167">
        <v>14915373000</v>
      </c>
      <c r="J248" s="167">
        <v>218373000</v>
      </c>
      <c r="K248" s="167">
        <v>5650000000</v>
      </c>
      <c r="L248" s="168">
        <v>9047000000</v>
      </c>
      <c r="M248" s="168">
        <f t="shared" si="23"/>
        <v>14915373000</v>
      </c>
      <c r="N248" s="168"/>
      <c r="O248" s="167">
        <v>14776002384</v>
      </c>
      <c r="P248" s="167">
        <f t="shared" si="24"/>
        <v>14776002384</v>
      </c>
      <c r="Q248" s="167"/>
      <c r="S248" s="201">
        <f t="shared" si="25"/>
        <v>14915.373</v>
      </c>
      <c r="T248" s="201">
        <f t="shared" si="26"/>
        <v>14915.373</v>
      </c>
      <c r="U248" s="201">
        <f t="shared" si="26"/>
        <v>0</v>
      </c>
      <c r="V248" s="201">
        <f t="shared" si="26"/>
        <v>14776.002383999999</v>
      </c>
      <c r="W248" s="201">
        <f t="shared" si="26"/>
        <v>14776.002383999999</v>
      </c>
      <c r="X248" s="201">
        <f t="shared" si="26"/>
        <v>0</v>
      </c>
    </row>
    <row r="249" spans="1:24" s="169" customFormat="1" ht="13.8">
      <c r="A249" s="192" t="s">
        <v>789</v>
      </c>
      <c r="B249" s="170" t="s">
        <v>689</v>
      </c>
      <c r="C249" s="183" t="str">
        <f t="shared" si="21"/>
        <v/>
      </c>
      <c r="D249" s="182" t="str">
        <f t="shared" si="22"/>
        <v/>
      </c>
      <c r="E249" s="206"/>
      <c r="F249" s="207"/>
      <c r="G249" s="207"/>
      <c r="H249" s="205"/>
      <c r="I249" s="167">
        <v>14915373000</v>
      </c>
      <c r="J249" s="167">
        <v>218373000</v>
      </c>
      <c r="K249" s="167">
        <v>5650000000</v>
      </c>
      <c r="L249" s="168">
        <v>9047000000</v>
      </c>
      <c r="M249" s="168">
        <f t="shared" si="23"/>
        <v>14915373000</v>
      </c>
      <c r="N249" s="168"/>
      <c r="O249" s="167">
        <v>14776002384</v>
      </c>
      <c r="P249" s="167">
        <f t="shared" si="24"/>
        <v>14776002384</v>
      </c>
      <c r="Q249" s="167"/>
      <c r="S249" s="201">
        <f t="shared" si="25"/>
        <v>14915.373</v>
      </c>
      <c r="T249" s="201">
        <f t="shared" si="26"/>
        <v>14915.373</v>
      </c>
      <c r="U249" s="201">
        <f t="shared" si="26"/>
        <v>0</v>
      </c>
      <c r="V249" s="201">
        <f t="shared" si="26"/>
        <v>14776.002383999999</v>
      </c>
      <c r="W249" s="201">
        <f t="shared" si="26"/>
        <v>14776.002383999999</v>
      </c>
      <c r="X249" s="201">
        <f t="shared" si="26"/>
        <v>0</v>
      </c>
    </row>
    <row r="250" spans="1:24" s="169" customFormat="1" ht="13.8">
      <c r="A250" s="192"/>
      <c r="B250" s="170" t="s">
        <v>690</v>
      </c>
      <c r="C250" s="183" t="str">
        <f t="shared" si="21"/>
        <v/>
      </c>
      <c r="D250" s="182" t="str">
        <f t="shared" si="22"/>
        <v/>
      </c>
      <c r="E250" s="206"/>
      <c r="F250" s="207"/>
      <c r="G250" s="207"/>
      <c r="H250" s="205"/>
      <c r="I250" s="167">
        <v>2086000000</v>
      </c>
      <c r="J250" s="166"/>
      <c r="K250" s="167">
        <v>2039000000</v>
      </c>
      <c r="L250" s="168">
        <v>47000000</v>
      </c>
      <c r="M250" s="168">
        <f t="shared" si="23"/>
        <v>2086000000</v>
      </c>
      <c r="N250" s="168"/>
      <c r="O250" s="167">
        <v>2086000000</v>
      </c>
      <c r="P250" s="167">
        <f t="shared" si="24"/>
        <v>2086000000</v>
      </c>
      <c r="Q250" s="167"/>
      <c r="S250" s="201">
        <f t="shared" si="25"/>
        <v>2086</v>
      </c>
      <c r="T250" s="201">
        <f t="shared" si="26"/>
        <v>2086</v>
      </c>
      <c r="U250" s="201">
        <f t="shared" si="26"/>
        <v>0</v>
      </c>
      <c r="V250" s="201">
        <f t="shared" si="26"/>
        <v>2086</v>
      </c>
      <c r="W250" s="201">
        <f t="shared" si="26"/>
        <v>2086</v>
      </c>
      <c r="X250" s="201">
        <f t="shared" si="26"/>
        <v>0</v>
      </c>
    </row>
    <row r="251" spans="1:24" s="169" customFormat="1" ht="13.8">
      <c r="A251" s="192"/>
      <c r="B251" s="173"/>
      <c r="C251" s="183" t="str">
        <f t="shared" si="21"/>
        <v/>
      </c>
      <c r="D251" s="182" t="str">
        <f t="shared" si="22"/>
        <v/>
      </c>
      <c r="E251" s="192"/>
      <c r="F251" s="192"/>
      <c r="G251" s="192"/>
      <c r="H251" s="210"/>
      <c r="I251" s="174"/>
      <c r="J251" s="174"/>
      <c r="K251" s="174"/>
      <c r="L251" s="175"/>
      <c r="M251" s="168">
        <f t="shared" si="23"/>
        <v>0</v>
      </c>
      <c r="N251" s="175"/>
      <c r="O251" s="174"/>
      <c r="P251" s="167">
        <f t="shared" si="24"/>
        <v>0</v>
      </c>
      <c r="Q251" s="174"/>
      <c r="S251" s="201">
        <f t="shared" si="25"/>
        <v>0</v>
      </c>
      <c r="T251" s="201">
        <f t="shared" si="26"/>
        <v>0</v>
      </c>
      <c r="U251" s="201">
        <f t="shared" si="26"/>
        <v>0</v>
      </c>
      <c r="V251" s="201">
        <f t="shared" si="26"/>
        <v>0</v>
      </c>
      <c r="W251" s="201">
        <f t="shared" si="26"/>
        <v>0</v>
      </c>
      <c r="X251" s="201">
        <f t="shared" si="26"/>
        <v>0</v>
      </c>
    </row>
    <row r="252" spans="1:24" s="169" customFormat="1" ht="13.8">
      <c r="A252" s="193"/>
      <c r="B252" s="187"/>
      <c r="C252" s="183" t="str">
        <f t="shared" si="21"/>
        <v/>
      </c>
      <c r="D252" s="182" t="str">
        <f t="shared" si="22"/>
        <v/>
      </c>
      <c r="E252" s="192" t="s">
        <v>666</v>
      </c>
      <c r="F252" s="192" t="s">
        <v>779</v>
      </c>
      <c r="G252" s="192" t="s">
        <v>695</v>
      </c>
      <c r="H252" s="210" t="s">
        <v>1440</v>
      </c>
      <c r="I252" s="167">
        <v>2039000000</v>
      </c>
      <c r="J252" s="166"/>
      <c r="K252" s="167">
        <v>2039000000</v>
      </c>
      <c r="L252" s="171"/>
      <c r="M252" s="168">
        <f t="shared" si="23"/>
        <v>2039000000</v>
      </c>
      <c r="N252" s="171"/>
      <c r="O252" s="167">
        <v>2039000000</v>
      </c>
      <c r="P252" s="167">
        <f t="shared" si="24"/>
        <v>2039000000</v>
      </c>
      <c r="Q252" s="167"/>
      <c r="S252" s="201">
        <f t="shared" si="25"/>
        <v>2039</v>
      </c>
      <c r="T252" s="201">
        <f t="shared" si="26"/>
        <v>2039</v>
      </c>
      <c r="U252" s="201">
        <f t="shared" si="26"/>
        <v>0</v>
      </c>
      <c r="V252" s="201">
        <f t="shared" si="26"/>
        <v>2039</v>
      </c>
      <c r="W252" s="201">
        <f t="shared" si="26"/>
        <v>2039</v>
      </c>
      <c r="X252" s="201">
        <f t="shared" si="26"/>
        <v>0</v>
      </c>
    </row>
    <row r="253" spans="1:24" s="169" customFormat="1" ht="13.8">
      <c r="A253" s="195"/>
      <c r="B253" s="188"/>
      <c r="C253" s="183" t="str">
        <f t="shared" si="21"/>
        <v/>
      </c>
      <c r="D253" s="182" t="str">
        <f t="shared" si="22"/>
        <v/>
      </c>
      <c r="E253" s="192" t="s">
        <v>679</v>
      </c>
      <c r="F253" s="192" t="s">
        <v>779</v>
      </c>
      <c r="G253" s="192" t="s">
        <v>695</v>
      </c>
      <c r="H253" s="210" t="s">
        <v>1440</v>
      </c>
      <c r="I253" s="167">
        <v>47000000</v>
      </c>
      <c r="J253" s="166"/>
      <c r="K253" s="166"/>
      <c r="L253" s="168">
        <v>47000000</v>
      </c>
      <c r="M253" s="168">
        <f t="shared" si="23"/>
        <v>47000000</v>
      </c>
      <c r="N253" s="168"/>
      <c r="O253" s="167">
        <v>47000000</v>
      </c>
      <c r="P253" s="167">
        <f t="shared" si="24"/>
        <v>47000000</v>
      </c>
      <c r="Q253" s="167"/>
      <c r="S253" s="201">
        <f t="shared" si="25"/>
        <v>47</v>
      </c>
      <c r="T253" s="201">
        <f t="shared" si="26"/>
        <v>47</v>
      </c>
      <c r="U253" s="201">
        <f t="shared" si="26"/>
        <v>0</v>
      </c>
      <c r="V253" s="201">
        <f t="shared" si="26"/>
        <v>47</v>
      </c>
      <c r="W253" s="201">
        <f t="shared" si="26"/>
        <v>47</v>
      </c>
      <c r="X253" s="201">
        <f t="shared" si="26"/>
        <v>0</v>
      </c>
    </row>
    <row r="254" spans="1:24" s="169" customFormat="1" ht="13.8">
      <c r="A254" s="192"/>
      <c r="B254" s="170" t="s">
        <v>686</v>
      </c>
      <c r="C254" s="183" t="str">
        <f t="shared" si="21"/>
        <v/>
      </c>
      <c r="D254" s="182" t="str">
        <f t="shared" si="22"/>
        <v/>
      </c>
      <c r="E254" s="206"/>
      <c r="F254" s="207"/>
      <c r="G254" s="207"/>
      <c r="H254" s="205"/>
      <c r="I254" s="167">
        <v>12829373000</v>
      </c>
      <c r="J254" s="167">
        <v>218373000</v>
      </c>
      <c r="K254" s="167">
        <v>3611000000</v>
      </c>
      <c r="L254" s="168">
        <v>9000000000</v>
      </c>
      <c r="M254" s="168">
        <f t="shared" si="23"/>
        <v>12829373000</v>
      </c>
      <c r="N254" s="168"/>
      <c r="O254" s="167">
        <v>12690002384</v>
      </c>
      <c r="P254" s="167">
        <f t="shared" si="24"/>
        <v>12690002384</v>
      </c>
      <c r="Q254" s="167"/>
      <c r="S254" s="201">
        <f t="shared" si="25"/>
        <v>12829.373</v>
      </c>
      <c r="T254" s="201">
        <f t="shared" si="26"/>
        <v>12829.373</v>
      </c>
      <c r="U254" s="201">
        <f t="shared" si="26"/>
        <v>0</v>
      </c>
      <c r="V254" s="201">
        <f t="shared" si="26"/>
        <v>12690.002383999999</v>
      </c>
      <c r="W254" s="201">
        <f t="shared" si="26"/>
        <v>12690.002383999999</v>
      </c>
      <c r="X254" s="201">
        <f t="shared" si="26"/>
        <v>0</v>
      </c>
    </row>
    <row r="255" spans="1:24" s="169" customFormat="1" ht="13.8">
      <c r="A255" s="193"/>
      <c r="B255" s="187"/>
      <c r="C255" s="183" t="str">
        <f t="shared" si="21"/>
        <v/>
      </c>
      <c r="D255" s="182" t="str">
        <f t="shared" si="22"/>
        <v/>
      </c>
      <c r="E255" s="192" t="s">
        <v>681</v>
      </c>
      <c r="F255" s="192" t="s">
        <v>779</v>
      </c>
      <c r="G255" s="192" t="s">
        <v>790</v>
      </c>
      <c r="H255" s="210" t="s">
        <v>1440</v>
      </c>
      <c r="I255" s="167">
        <v>9000000000</v>
      </c>
      <c r="J255" s="166"/>
      <c r="K255" s="166"/>
      <c r="L255" s="168">
        <v>9000000000</v>
      </c>
      <c r="M255" s="168">
        <f t="shared" si="23"/>
        <v>9000000000</v>
      </c>
      <c r="N255" s="168"/>
      <c r="O255" s="167">
        <v>9000000000</v>
      </c>
      <c r="P255" s="167">
        <f t="shared" si="24"/>
        <v>9000000000</v>
      </c>
      <c r="Q255" s="167"/>
      <c r="S255" s="201">
        <f t="shared" si="25"/>
        <v>9000</v>
      </c>
      <c r="T255" s="201">
        <f t="shared" si="26"/>
        <v>9000</v>
      </c>
      <c r="U255" s="201">
        <f t="shared" si="26"/>
        <v>0</v>
      </c>
      <c r="V255" s="201">
        <f t="shared" si="26"/>
        <v>9000</v>
      </c>
      <c r="W255" s="201">
        <f t="shared" si="26"/>
        <v>9000</v>
      </c>
      <c r="X255" s="201">
        <f t="shared" si="26"/>
        <v>0</v>
      </c>
    </row>
    <row r="256" spans="1:24" s="169" customFormat="1" ht="13.8">
      <c r="A256" s="194"/>
      <c r="B256" s="184"/>
      <c r="C256" s="183" t="str">
        <f t="shared" si="21"/>
        <v/>
      </c>
      <c r="D256" s="182" t="str">
        <f t="shared" si="22"/>
        <v/>
      </c>
      <c r="E256" s="192" t="s">
        <v>681</v>
      </c>
      <c r="F256" s="192" t="s">
        <v>779</v>
      </c>
      <c r="G256" s="192" t="s">
        <v>695</v>
      </c>
      <c r="H256" s="210" t="s">
        <v>1440</v>
      </c>
      <c r="I256" s="167">
        <v>2956373000</v>
      </c>
      <c r="J256" s="167">
        <v>218373000</v>
      </c>
      <c r="K256" s="167">
        <v>2738000000</v>
      </c>
      <c r="L256" s="171"/>
      <c r="M256" s="168">
        <f t="shared" si="23"/>
        <v>2956373000</v>
      </c>
      <c r="N256" s="171"/>
      <c r="O256" s="167">
        <v>2817266500</v>
      </c>
      <c r="P256" s="167">
        <f t="shared" si="24"/>
        <v>2817266500</v>
      </c>
      <c r="Q256" s="167"/>
      <c r="S256" s="201">
        <f t="shared" si="25"/>
        <v>2956.373</v>
      </c>
      <c r="T256" s="201">
        <f t="shared" si="26"/>
        <v>2956.373</v>
      </c>
      <c r="U256" s="201">
        <f t="shared" si="26"/>
        <v>0</v>
      </c>
      <c r="V256" s="201">
        <f t="shared" si="26"/>
        <v>2817.2665000000002</v>
      </c>
      <c r="W256" s="201">
        <f t="shared" si="26"/>
        <v>2817.2665000000002</v>
      </c>
      <c r="X256" s="201">
        <f t="shared" si="26"/>
        <v>0</v>
      </c>
    </row>
    <row r="257" spans="1:24" s="169" customFormat="1" ht="13.8">
      <c r="A257" s="195"/>
      <c r="B257" s="188"/>
      <c r="C257" s="183" t="str">
        <f t="shared" si="21"/>
        <v/>
      </c>
      <c r="D257" s="182" t="str">
        <f t="shared" si="22"/>
        <v/>
      </c>
      <c r="E257" s="192" t="s">
        <v>681</v>
      </c>
      <c r="F257" s="192" t="s">
        <v>779</v>
      </c>
      <c r="G257" s="192" t="s">
        <v>791</v>
      </c>
      <c r="H257" s="210" t="s">
        <v>1440</v>
      </c>
      <c r="I257" s="167">
        <v>873000000</v>
      </c>
      <c r="J257" s="166"/>
      <c r="K257" s="167">
        <v>873000000</v>
      </c>
      <c r="L257" s="171"/>
      <c r="M257" s="168">
        <f t="shared" si="23"/>
        <v>873000000</v>
      </c>
      <c r="N257" s="171"/>
      <c r="O257" s="167">
        <v>872735884</v>
      </c>
      <c r="P257" s="167">
        <f t="shared" si="24"/>
        <v>872735884</v>
      </c>
      <c r="Q257" s="167"/>
      <c r="S257" s="201">
        <f t="shared" si="25"/>
        <v>873</v>
      </c>
      <c r="T257" s="201">
        <f t="shared" si="26"/>
        <v>873</v>
      </c>
      <c r="U257" s="201">
        <f t="shared" si="26"/>
        <v>0</v>
      </c>
      <c r="V257" s="201">
        <f t="shared" si="26"/>
        <v>872.73588400000006</v>
      </c>
      <c r="W257" s="201">
        <f t="shared" si="26"/>
        <v>872.73588400000006</v>
      </c>
      <c r="X257" s="201">
        <f t="shared" si="26"/>
        <v>0</v>
      </c>
    </row>
    <row r="258" spans="1:24" s="169" customFormat="1" ht="27.6">
      <c r="A258" s="192" t="s">
        <v>792</v>
      </c>
      <c r="B258" s="165" t="s">
        <v>793</v>
      </c>
      <c r="C258" s="183" t="str">
        <f t="shared" si="21"/>
        <v>1030470</v>
      </c>
      <c r="D258" s="182" t="str">
        <f t="shared" si="22"/>
        <v>-Trung tâm Phát hành Phim &amp; Chiẽu bống tỉnh Kontum</v>
      </c>
      <c r="E258" s="206"/>
      <c r="F258" s="207"/>
      <c r="G258" s="207"/>
      <c r="H258" s="205"/>
      <c r="I258" s="167">
        <v>1301360000</v>
      </c>
      <c r="J258" s="166"/>
      <c r="K258" s="167">
        <v>1267000000</v>
      </c>
      <c r="L258" s="168">
        <v>34360000</v>
      </c>
      <c r="M258" s="168">
        <f t="shared" si="23"/>
        <v>1301360000</v>
      </c>
      <c r="N258" s="168"/>
      <c r="O258" s="167">
        <v>1298169800</v>
      </c>
      <c r="P258" s="167">
        <f t="shared" si="24"/>
        <v>1298169800</v>
      </c>
      <c r="Q258" s="167"/>
      <c r="S258" s="201">
        <f t="shared" si="25"/>
        <v>1301.3599999999999</v>
      </c>
      <c r="T258" s="201">
        <f t="shared" si="26"/>
        <v>1301.3599999999999</v>
      </c>
      <c r="U258" s="201">
        <f t="shared" si="26"/>
        <v>0</v>
      </c>
      <c r="V258" s="201">
        <f t="shared" si="26"/>
        <v>1298.1697999999999</v>
      </c>
      <c r="W258" s="201">
        <f t="shared" si="26"/>
        <v>1298.1697999999999</v>
      </c>
      <c r="X258" s="201">
        <f t="shared" si="26"/>
        <v>0</v>
      </c>
    </row>
    <row r="259" spans="1:24" s="169" customFormat="1" ht="13.8">
      <c r="A259" s="192" t="s">
        <v>794</v>
      </c>
      <c r="B259" s="170" t="s">
        <v>689</v>
      </c>
      <c r="C259" s="183" t="str">
        <f t="shared" si="21"/>
        <v/>
      </c>
      <c r="D259" s="182" t="str">
        <f t="shared" si="22"/>
        <v/>
      </c>
      <c r="E259" s="206"/>
      <c r="F259" s="207"/>
      <c r="G259" s="207"/>
      <c r="H259" s="205"/>
      <c r="I259" s="167">
        <v>1301360000</v>
      </c>
      <c r="J259" s="166"/>
      <c r="K259" s="167">
        <v>1267000000</v>
      </c>
      <c r="L259" s="168">
        <v>34360000</v>
      </c>
      <c r="M259" s="168">
        <f t="shared" si="23"/>
        <v>1301360000</v>
      </c>
      <c r="N259" s="168"/>
      <c r="O259" s="167">
        <v>1298169800</v>
      </c>
      <c r="P259" s="167">
        <f t="shared" si="24"/>
        <v>1298169800</v>
      </c>
      <c r="Q259" s="167"/>
      <c r="S259" s="201">
        <f t="shared" si="25"/>
        <v>1301.3599999999999</v>
      </c>
      <c r="T259" s="201">
        <f t="shared" si="26"/>
        <v>1301.3599999999999</v>
      </c>
      <c r="U259" s="201">
        <f t="shared" si="26"/>
        <v>0</v>
      </c>
      <c r="V259" s="201">
        <f t="shared" si="26"/>
        <v>1298.1697999999999</v>
      </c>
      <c r="W259" s="201">
        <f t="shared" si="26"/>
        <v>1298.1697999999999</v>
      </c>
      <c r="X259" s="201">
        <f t="shared" si="26"/>
        <v>0</v>
      </c>
    </row>
    <row r="260" spans="1:24" s="169" customFormat="1" ht="13.8">
      <c r="A260" s="192"/>
      <c r="B260" s="170" t="s">
        <v>690</v>
      </c>
      <c r="C260" s="183" t="str">
        <f t="shared" si="21"/>
        <v/>
      </c>
      <c r="D260" s="182" t="str">
        <f t="shared" si="22"/>
        <v/>
      </c>
      <c r="E260" s="206"/>
      <c r="F260" s="207"/>
      <c r="G260" s="207"/>
      <c r="H260" s="205"/>
      <c r="I260" s="167">
        <v>649360000</v>
      </c>
      <c r="J260" s="166"/>
      <c r="K260" s="167">
        <v>615000000</v>
      </c>
      <c r="L260" s="168">
        <v>34360000</v>
      </c>
      <c r="M260" s="168">
        <f t="shared" si="23"/>
        <v>649360000</v>
      </c>
      <c r="N260" s="168"/>
      <c r="O260" s="167">
        <v>649360000</v>
      </c>
      <c r="P260" s="167">
        <f t="shared" si="24"/>
        <v>649360000</v>
      </c>
      <c r="Q260" s="167"/>
      <c r="S260" s="201">
        <f t="shared" si="25"/>
        <v>649.36</v>
      </c>
      <c r="T260" s="201">
        <f t="shared" si="26"/>
        <v>649.36</v>
      </c>
      <c r="U260" s="201">
        <f t="shared" si="26"/>
        <v>0</v>
      </c>
      <c r="V260" s="201">
        <f t="shared" si="26"/>
        <v>649.36</v>
      </c>
      <c r="W260" s="201">
        <f t="shared" si="26"/>
        <v>649.36</v>
      </c>
      <c r="X260" s="201">
        <f t="shared" si="26"/>
        <v>0</v>
      </c>
    </row>
    <row r="261" spans="1:24" s="169" customFormat="1" ht="13.8">
      <c r="A261" s="193"/>
      <c r="B261" s="187"/>
      <c r="C261" s="183" t="str">
        <f t="shared" si="21"/>
        <v/>
      </c>
      <c r="D261" s="182" t="str">
        <f t="shared" si="22"/>
        <v/>
      </c>
      <c r="E261" s="192" t="s">
        <v>666</v>
      </c>
      <c r="F261" s="192" t="s">
        <v>795</v>
      </c>
      <c r="G261" s="192" t="s">
        <v>796</v>
      </c>
      <c r="H261" s="210" t="s">
        <v>1440</v>
      </c>
      <c r="I261" s="167">
        <v>632360000</v>
      </c>
      <c r="J261" s="166"/>
      <c r="K261" s="167">
        <v>615000000</v>
      </c>
      <c r="L261" s="168">
        <v>17360000</v>
      </c>
      <c r="M261" s="168">
        <f t="shared" si="23"/>
        <v>632360000</v>
      </c>
      <c r="N261" s="168"/>
      <c r="O261" s="167">
        <v>632360000</v>
      </c>
      <c r="P261" s="167">
        <f t="shared" si="24"/>
        <v>632360000</v>
      </c>
      <c r="Q261" s="167"/>
      <c r="S261" s="201">
        <f t="shared" si="25"/>
        <v>632.36</v>
      </c>
      <c r="T261" s="201">
        <f t="shared" si="26"/>
        <v>632.36</v>
      </c>
      <c r="U261" s="201">
        <f t="shared" si="26"/>
        <v>0</v>
      </c>
      <c r="V261" s="201">
        <f t="shared" si="26"/>
        <v>632.36</v>
      </c>
      <c r="W261" s="201">
        <f t="shared" si="26"/>
        <v>632.36</v>
      </c>
      <c r="X261" s="201">
        <f t="shared" si="26"/>
        <v>0</v>
      </c>
    </row>
    <row r="262" spans="1:24" s="169" customFormat="1" ht="13.8">
      <c r="A262" s="195"/>
      <c r="B262" s="188"/>
      <c r="C262" s="183" t="str">
        <f t="shared" si="21"/>
        <v/>
      </c>
      <c r="D262" s="182" t="str">
        <f t="shared" si="22"/>
        <v/>
      </c>
      <c r="E262" s="192" t="s">
        <v>679</v>
      </c>
      <c r="F262" s="192" t="s">
        <v>795</v>
      </c>
      <c r="G262" s="192" t="s">
        <v>796</v>
      </c>
      <c r="H262" s="210" t="s">
        <v>1440</v>
      </c>
      <c r="I262" s="167">
        <v>17000000</v>
      </c>
      <c r="J262" s="166"/>
      <c r="K262" s="166"/>
      <c r="L262" s="168">
        <v>17000000</v>
      </c>
      <c r="M262" s="168">
        <f t="shared" si="23"/>
        <v>17000000</v>
      </c>
      <c r="N262" s="168"/>
      <c r="O262" s="167">
        <v>17000000</v>
      </c>
      <c r="P262" s="167">
        <f t="shared" si="24"/>
        <v>17000000</v>
      </c>
      <c r="Q262" s="167"/>
      <c r="S262" s="201">
        <f t="shared" si="25"/>
        <v>17</v>
      </c>
      <c r="T262" s="201">
        <f t="shared" si="26"/>
        <v>17</v>
      </c>
      <c r="U262" s="201">
        <f t="shared" si="26"/>
        <v>0</v>
      </c>
      <c r="V262" s="201">
        <f t="shared" si="26"/>
        <v>17</v>
      </c>
      <c r="W262" s="201">
        <f t="shared" si="26"/>
        <v>17</v>
      </c>
      <c r="X262" s="201">
        <f t="shared" si="26"/>
        <v>0</v>
      </c>
    </row>
    <row r="263" spans="1:24" s="169" customFormat="1" ht="13.8">
      <c r="A263" s="192"/>
      <c r="B263" s="170" t="s">
        <v>686</v>
      </c>
      <c r="C263" s="183" t="str">
        <f t="shared" si="21"/>
        <v/>
      </c>
      <c r="D263" s="182" t="str">
        <f t="shared" si="22"/>
        <v/>
      </c>
      <c r="E263" s="206"/>
      <c r="F263" s="207"/>
      <c r="G263" s="207"/>
      <c r="H263" s="205"/>
      <c r="I263" s="167">
        <v>652000000</v>
      </c>
      <c r="J263" s="166"/>
      <c r="K263" s="167">
        <v>652000000</v>
      </c>
      <c r="L263" s="171"/>
      <c r="M263" s="168">
        <f t="shared" si="23"/>
        <v>652000000</v>
      </c>
      <c r="N263" s="171"/>
      <c r="O263" s="167">
        <v>648809800</v>
      </c>
      <c r="P263" s="167">
        <f t="shared" si="24"/>
        <v>648809800</v>
      </c>
      <c r="Q263" s="167"/>
      <c r="S263" s="201">
        <f t="shared" si="25"/>
        <v>652</v>
      </c>
      <c r="T263" s="201">
        <f t="shared" si="26"/>
        <v>652</v>
      </c>
      <c r="U263" s="201">
        <f t="shared" si="26"/>
        <v>0</v>
      </c>
      <c r="V263" s="201">
        <f t="shared" si="26"/>
        <v>648.8098</v>
      </c>
      <c r="W263" s="201">
        <f t="shared" si="26"/>
        <v>648.8098</v>
      </c>
      <c r="X263" s="201">
        <f t="shared" si="26"/>
        <v>0</v>
      </c>
    </row>
    <row r="264" spans="1:24" s="169" customFormat="1" ht="13.8">
      <c r="A264" s="192"/>
      <c r="B264" s="164"/>
      <c r="C264" s="183" t="str">
        <f t="shared" si="21"/>
        <v/>
      </c>
      <c r="D264" s="182" t="str">
        <f t="shared" si="22"/>
        <v/>
      </c>
      <c r="E264" s="192" t="s">
        <v>681</v>
      </c>
      <c r="F264" s="192" t="s">
        <v>795</v>
      </c>
      <c r="G264" s="192" t="s">
        <v>796</v>
      </c>
      <c r="H264" s="210" t="s">
        <v>1440</v>
      </c>
      <c r="I264" s="167">
        <v>652000000</v>
      </c>
      <c r="J264" s="166"/>
      <c r="K264" s="167">
        <v>652000000</v>
      </c>
      <c r="L264" s="171"/>
      <c r="M264" s="168">
        <f t="shared" si="23"/>
        <v>652000000</v>
      </c>
      <c r="N264" s="171"/>
      <c r="O264" s="167">
        <v>648809800</v>
      </c>
      <c r="P264" s="167">
        <f t="shared" si="24"/>
        <v>648809800</v>
      </c>
      <c r="Q264" s="167"/>
      <c r="S264" s="201">
        <f t="shared" si="25"/>
        <v>652</v>
      </c>
      <c r="T264" s="201">
        <f t="shared" si="26"/>
        <v>652</v>
      </c>
      <c r="U264" s="201">
        <f t="shared" si="26"/>
        <v>0</v>
      </c>
      <c r="V264" s="201">
        <f t="shared" si="26"/>
        <v>648.8098</v>
      </c>
      <c r="W264" s="201">
        <f t="shared" si="26"/>
        <v>648.8098</v>
      </c>
      <c r="X264" s="201">
        <f t="shared" si="26"/>
        <v>0</v>
      </c>
    </row>
    <row r="265" spans="1:24" s="169" customFormat="1" ht="26.4">
      <c r="A265" s="192" t="s">
        <v>797</v>
      </c>
      <c r="B265" s="165" t="s">
        <v>798</v>
      </c>
      <c r="C265" s="183" t="str">
        <f t="shared" si="21"/>
        <v>1035637</v>
      </c>
      <c r="D265" s="182" t="str">
        <f t="shared" si="22"/>
        <v>-Trường Trung học PhS thông Nguyễn Du</v>
      </c>
      <c r="E265" s="206"/>
      <c r="F265" s="207"/>
      <c r="G265" s="207"/>
      <c r="H265" s="205"/>
      <c r="I265" s="167">
        <v>4988381000</v>
      </c>
      <c r="J265" s="166"/>
      <c r="K265" s="167">
        <v>4940146000</v>
      </c>
      <c r="L265" s="168">
        <v>48235000</v>
      </c>
      <c r="M265" s="168">
        <f t="shared" si="23"/>
        <v>4988381000</v>
      </c>
      <c r="N265" s="168"/>
      <c r="O265" s="167">
        <v>4974983229</v>
      </c>
      <c r="P265" s="167">
        <f t="shared" si="24"/>
        <v>4974983229</v>
      </c>
      <c r="Q265" s="167"/>
      <c r="S265" s="201">
        <f t="shared" si="25"/>
        <v>4988.3810000000003</v>
      </c>
      <c r="T265" s="201">
        <f t="shared" si="26"/>
        <v>4988.3810000000003</v>
      </c>
      <c r="U265" s="201">
        <f t="shared" si="26"/>
        <v>0</v>
      </c>
      <c r="V265" s="201">
        <f t="shared" si="26"/>
        <v>4974.9832290000004</v>
      </c>
      <c r="W265" s="201">
        <f t="shared" si="26"/>
        <v>4974.9832290000004</v>
      </c>
      <c r="X265" s="201">
        <f t="shared" si="26"/>
        <v>0</v>
      </c>
    </row>
    <row r="266" spans="1:24" s="169" customFormat="1" ht="13.8">
      <c r="A266" s="192" t="s">
        <v>799</v>
      </c>
      <c r="B266" s="170" t="s">
        <v>689</v>
      </c>
      <c r="C266" s="183" t="str">
        <f t="shared" si="21"/>
        <v/>
      </c>
      <c r="D266" s="182" t="str">
        <f t="shared" si="22"/>
        <v/>
      </c>
      <c r="E266" s="206"/>
      <c r="F266" s="207"/>
      <c r="G266" s="207"/>
      <c r="H266" s="205"/>
      <c r="I266" s="167">
        <v>4988381000</v>
      </c>
      <c r="J266" s="166"/>
      <c r="K266" s="167">
        <v>4940146000</v>
      </c>
      <c r="L266" s="168">
        <v>48235000</v>
      </c>
      <c r="M266" s="168">
        <f t="shared" si="23"/>
        <v>4988381000</v>
      </c>
      <c r="N266" s="168"/>
      <c r="O266" s="167">
        <v>4974983229</v>
      </c>
      <c r="P266" s="167">
        <f t="shared" si="24"/>
        <v>4974983229</v>
      </c>
      <c r="Q266" s="167"/>
      <c r="S266" s="201">
        <f t="shared" si="25"/>
        <v>4988.3810000000003</v>
      </c>
      <c r="T266" s="201">
        <f t="shared" si="26"/>
        <v>4988.3810000000003</v>
      </c>
      <c r="U266" s="201">
        <f t="shared" si="26"/>
        <v>0</v>
      </c>
      <c r="V266" s="201">
        <f t="shared" si="26"/>
        <v>4974.9832290000004</v>
      </c>
      <c r="W266" s="201">
        <f t="shared" si="26"/>
        <v>4974.9832290000004</v>
      </c>
      <c r="X266" s="201">
        <f t="shared" si="26"/>
        <v>0</v>
      </c>
    </row>
    <row r="267" spans="1:24" s="169" customFormat="1" ht="13.8">
      <c r="A267" s="192"/>
      <c r="B267" s="170" t="s">
        <v>690</v>
      </c>
      <c r="C267" s="183" t="str">
        <f t="shared" si="21"/>
        <v/>
      </c>
      <c r="D267" s="182" t="str">
        <f t="shared" si="22"/>
        <v/>
      </c>
      <c r="E267" s="206"/>
      <c r="F267" s="207"/>
      <c r="G267" s="207"/>
      <c r="H267" s="205"/>
      <c r="I267" s="167">
        <v>4021856000</v>
      </c>
      <c r="J267" s="166"/>
      <c r="K267" s="167">
        <v>4006721000</v>
      </c>
      <c r="L267" s="168">
        <v>15135000</v>
      </c>
      <c r="M267" s="168">
        <f t="shared" si="23"/>
        <v>4021856000</v>
      </c>
      <c r="N267" s="168"/>
      <c r="O267" s="167">
        <v>4021856000</v>
      </c>
      <c r="P267" s="167">
        <f t="shared" si="24"/>
        <v>4021856000</v>
      </c>
      <c r="Q267" s="167"/>
      <c r="S267" s="201">
        <f t="shared" si="25"/>
        <v>4021.8560000000002</v>
      </c>
      <c r="T267" s="201">
        <f t="shared" si="26"/>
        <v>4021.8560000000002</v>
      </c>
      <c r="U267" s="201">
        <f t="shared" si="26"/>
        <v>0</v>
      </c>
      <c r="V267" s="201">
        <f t="shared" si="26"/>
        <v>4021.8560000000002</v>
      </c>
      <c r="W267" s="201">
        <f t="shared" si="26"/>
        <v>4021.8560000000002</v>
      </c>
      <c r="X267" s="201">
        <f t="shared" si="26"/>
        <v>0</v>
      </c>
    </row>
    <row r="268" spans="1:24" s="169" customFormat="1" ht="13.8">
      <c r="A268" s="193"/>
      <c r="B268" s="187"/>
      <c r="C268" s="183" t="str">
        <f t="shared" si="21"/>
        <v/>
      </c>
      <c r="D268" s="182" t="str">
        <f t="shared" si="22"/>
        <v/>
      </c>
      <c r="E268" s="192" t="s">
        <v>666</v>
      </c>
      <c r="F268" s="192" t="s">
        <v>677</v>
      </c>
      <c r="G268" s="192" t="s">
        <v>678</v>
      </c>
      <c r="H268" s="210" t="s">
        <v>1440</v>
      </c>
      <c r="I268" s="167">
        <v>3947721000</v>
      </c>
      <c r="J268" s="166"/>
      <c r="K268" s="167">
        <v>3947721000</v>
      </c>
      <c r="L268" s="171"/>
      <c r="M268" s="168">
        <f t="shared" si="23"/>
        <v>3947721000</v>
      </c>
      <c r="N268" s="171"/>
      <c r="O268" s="167">
        <v>3947721000</v>
      </c>
      <c r="P268" s="167">
        <f t="shared" si="24"/>
        <v>3947721000</v>
      </c>
      <c r="Q268" s="167"/>
      <c r="S268" s="201">
        <f t="shared" si="25"/>
        <v>3947.721</v>
      </c>
      <c r="T268" s="201">
        <f t="shared" si="26"/>
        <v>3947.721</v>
      </c>
      <c r="U268" s="201">
        <f t="shared" si="26"/>
        <v>0</v>
      </c>
      <c r="V268" s="201">
        <f t="shared" si="26"/>
        <v>3947.721</v>
      </c>
      <c r="W268" s="201">
        <f t="shared" si="26"/>
        <v>3947.721</v>
      </c>
      <c r="X268" s="201">
        <f t="shared" si="26"/>
        <v>0</v>
      </c>
    </row>
    <row r="269" spans="1:24" s="169" customFormat="1" ht="13.8">
      <c r="A269" s="194"/>
      <c r="B269" s="184"/>
      <c r="C269" s="183" t="str">
        <f t="shared" si="21"/>
        <v/>
      </c>
      <c r="D269" s="182" t="str">
        <f t="shared" si="22"/>
        <v/>
      </c>
      <c r="E269" s="192" t="s">
        <v>679</v>
      </c>
      <c r="F269" s="192" t="s">
        <v>677</v>
      </c>
      <c r="G269" s="192" t="s">
        <v>678</v>
      </c>
      <c r="H269" s="210" t="s">
        <v>1440</v>
      </c>
      <c r="I269" s="167">
        <v>59000000</v>
      </c>
      <c r="J269" s="166"/>
      <c r="K269" s="167">
        <v>59000000</v>
      </c>
      <c r="L269" s="171"/>
      <c r="M269" s="168">
        <f t="shared" si="23"/>
        <v>59000000</v>
      </c>
      <c r="N269" s="171"/>
      <c r="O269" s="167">
        <v>59000000</v>
      </c>
      <c r="P269" s="167">
        <f t="shared" si="24"/>
        <v>59000000</v>
      </c>
      <c r="Q269" s="167"/>
      <c r="S269" s="201">
        <f t="shared" si="25"/>
        <v>59</v>
      </c>
      <c r="T269" s="201">
        <f t="shared" si="26"/>
        <v>59</v>
      </c>
      <c r="U269" s="201">
        <f t="shared" si="26"/>
        <v>0</v>
      </c>
      <c r="V269" s="201">
        <f t="shared" si="26"/>
        <v>59</v>
      </c>
      <c r="W269" s="201">
        <f t="shared" si="26"/>
        <v>59</v>
      </c>
      <c r="X269" s="201">
        <f t="shared" si="26"/>
        <v>0</v>
      </c>
    </row>
    <row r="270" spans="1:24" s="169" customFormat="1" ht="13.8">
      <c r="A270" s="195"/>
      <c r="B270" s="188"/>
      <c r="C270" s="183" t="str">
        <f t="shared" si="21"/>
        <v/>
      </c>
      <c r="D270" s="182" t="str">
        <f t="shared" si="22"/>
        <v/>
      </c>
      <c r="E270" s="192" t="s">
        <v>669</v>
      </c>
      <c r="F270" s="192" t="s">
        <v>677</v>
      </c>
      <c r="G270" s="192" t="s">
        <v>678</v>
      </c>
      <c r="H270" s="210" t="s">
        <v>1440</v>
      </c>
      <c r="I270" s="167">
        <v>15135000</v>
      </c>
      <c r="J270" s="166"/>
      <c r="K270" s="166"/>
      <c r="L270" s="168">
        <v>15135000</v>
      </c>
      <c r="M270" s="168">
        <f t="shared" si="23"/>
        <v>15135000</v>
      </c>
      <c r="N270" s="168"/>
      <c r="O270" s="167">
        <v>15135000</v>
      </c>
      <c r="P270" s="167">
        <f t="shared" si="24"/>
        <v>15135000</v>
      </c>
      <c r="Q270" s="167"/>
      <c r="S270" s="201">
        <f t="shared" si="25"/>
        <v>15.135</v>
      </c>
      <c r="T270" s="201">
        <f t="shared" si="26"/>
        <v>15.135</v>
      </c>
      <c r="U270" s="201">
        <f t="shared" si="26"/>
        <v>0</v>
      </c>
      <c r="V270" s="201">
        <f t="shared" si="26"/>
        <v>15.135</v>
      </c>
      <c r="W270" s="201">
        <f t="shared" si="26"/>
        <v>15.135</v>
      </c>
      <c r="X270" s="201">
        <f t="shared" si="26"/>
        <v>0</v>
      </c>
    </row>
    <row r="271" spans="1:24" s="169" customFormat="1" ht="13.8">
      <c r="A271" s="192"/>
      <c r="B271" s="170" t="s">
        <v>686</v>
      </c>
      <c r="C271" s="183" t="str">
        <f t="shared" si="21"/>
        <v/>
      </c>
      <c r="D271" s="182" t="str">
        <f t="shared" si="22"/>
        <v/>
      </c>
      <c r="E271" s="206"/>
      <c r="F271" s="207"/>
      <c r="G271" s="207"/>
      <c r="H271" s="205"/>
      <c r="I271" s="167">
        <v>966525000</v>
      </c>
      <c r="J271" s="166"/>
      <c r="K271" s="167">
        <v>933425000</v>
      </c>
      <c r="L271" s="168">
        <v>33100000</v>
      </c>
      <c r="M271" s="168">
        <f t="shared" si="23"/>
        <v>966525000</v>
      </c>
      <c r="N271" s="168"/>
      <c r="O271" s="167">
        <v>953127229</v>
      </c>
      <c r="P271" s="167">
        <f t="shared" si="24"/>
        <v>953127229</v>
      </c>
      <c r="Q271" s="167"/>
      <c r="S271" s="201">
        <f t="shared" si="25"/>
        <v>966.52499999999998</v>
      </c>
      <c r="T271" s="201">
        <f t="shared" si="26"/>
        <v>966.52499999999998</v>
      </c>
      <c r="U271" s="201">
        <f t="shared" si="26"/>
        <v>0</v>
      </c>
      <c r="V271" s="201">
        <f t="shared" si="26"/>
        <v>953.12722900000006</v>
      </c>
      <c r="W271" s="201">
        <f t="shared" si="26"/>
        <v>953.12722900000006</v>
      </c>
      <c r="X271" s="201">
        <f t="shared" si="26"/>
        <v>0</v>
      </c>
    </row>
    <row r="272" spans="1:24" s="169" customFormat="1" ht="13.8">
      <c r="A272" s="193"/>
      <c r="B272" s="187"/>
      <c r="C272" s="183" t="str">
        <f t="shared" si="21"/>
        <v/>
      </c>
      <c r="D272" s="182" t="str">
        <f t="shared" si="22"/>
        <v/>
      </c>
      <c r="E272" s="192" t="s">
        <v>681</v>
      </c>
      <c r="F272" s="192" t="s">
        <v>677</v>
      </c>
      <c r="G272" s="192" t="s">
        <v>678</v>
      </c>
      <c r="H272" s="210" t="s">
        <v>1440</v>
      </c>
      <c r="I272" s="167">
        <v>759000000</v>
      </c>
      <c r="J272" s="166"/>
      <c r="K272" s="167">
        <v>759000000</v>
      </c>
      <c r="L272" s="171"/>
      <c r="M272" s="168">
        <f t="shared" si="23"/>
        <v>759000000</v>
      </c>
      <c r="N272" s="171"/>
      <c r="O272" s="167">
        <v>750902229</v>
      </c>
      <c r="P272" s="167">
        <f t="shared" si="24"/>
        <v>750902229</v>
      </c>
      <c r="Q272" s="167"/>
      <c r="S272" s="201">
        <f t="shared" si="25"/>
        <v>759</v>
      </c>
      <c r="T272" s="201">
        <f t="shared" si="26"/>
        <v>759</v>
      </c>
      <c r="U272" s="201">
        <f t="shared" si="26"/>
        <v>0</v>
      </c>
      <c r="V272" s="201">
        <f t="shared" si="26"/>
        <v>750.90222900000003</v>
      </c>
      <c r="W272" s="201">
        <f t="shared" si="26"/>
        <v>750.90222900000003</v>
      </c>
      <c r="X272" s="201">
        <f t="shared" si="26"/>
        <v>0</v>
      </c>
    </row>
    <row r="273" spans="1:24" s="169" customFormat="1" ht="13.8">
      <c r="A273" s="195"/>
      <c r="B273" s="188"/>
      <c r="C273" s="183" t="str">
        <f t="shared" si="21"/>
        <v/>
      </c>
      <c r="D273" s="182" t="str">
        <f t="shared" si="22"/>
        <v/>
      </c>
      <c r="E273" s="192" t="s">
        <v>669</v>
      </c>
      <c r="F273" s="192" t="s">
        <v>677</v>
      </c>
      <c r="G273" s="192" t="s">
        <v>678</v>
      </c>
      <c r="H273" s="210" t="s">
        <v>1440</v>
      </c>
      <c r="I273" s="167">
        <v>207525000</v>
      </c>
      <c r="J273" s="166"/>
      <c r="K273" s="167">
        <v>174425000</v>
      </c>
      <c r="L273" s="168">
        <v>33100000</v>
      </c>
      <c r="M273" s="168">
        <f t="shared" si="23"/>
        <v>207525000</v>
      </c>
      <c r="N273" s="168"/>
      <c r="O273" s="167">
        <v>202225000</v>
      </c>
      <c r="P273" s="167">
        <f t="shared" si="24"/>
        <v>202225000</v>
      </c>
      <c r="Q273" s="167"/>
      <c r="S273" s="201">
        <f t="shared" si="25"/>
        <v>207.52500000000001</v>
      </c>
      <c r="T273" s="201">
        <f t="shared" si="26"/>
        <v>207.52500000000001</v>
      </c>
      <c r="U273" s="201">
        <f t="shared" si="26"/>
        <v>0</v>
      </c>
      <c r="V273" s="201">
        <f t="shared" si="26"/>
        <v>202.22499999999999</v>
      </c>
      <c r="W273" s="201">
        <f t="shared" si="26"/>
        <v>202.22499999999999</v>
      </c>
      <c r="X273" s="201">
        <f t="shared" si="26"/>
        <v>0</v>
      </c>
    </row>
    <row r="274" spans="1:24" s="169" customFormat="1" ht="26.4">
      <c r="A274" s="192" t="s">
        <v>800</v>
      </c>
      <c r="B274" s="165" t="s">
        <v>801</v>
      </c>
      <c r="C274" s="183" t="str">
        <f t="shared" si="21"/>
        <v>1035734</v>
      </c>
      <c r="D274" s="182" t="str">
        <f t="shared" si="22"/>
        <v>-BQL Rừng Phòng hộ Đăk Nhoong</v>
      </c>
      <c r="E274" s="206"/>
      <c r="F274" s="207"/>
      <c r="G274" s="207"/>
      <c r="H274" s="205"/>
      <c r="I274" s="167">
        <v>5162270000</v>
      </c>
      <c r="J274" s="167">
        <v>528000000</v>
      </c>
      <c r="K274" s="167">
        <v>2944000000</v>
      </c>
      <c r="L274" s="168">
        <v>1690270000</v>
      </c>
      <c r="M274" s="168">
        <f t="shared" si="23"/>
        <v>5162270000</v>
      </c>
      <c r="N274" s="168"/>
      <c r="O274" s="167">
        <v>4734270000</v>
      </c>
      <c r="P274" s="167">
        <f t="shared" si="24"/>
        <v>4734270000</v>
      </c>
      <c r="Q274" s="167"/>
      <c r="S274" s="201">
        <f t="shared" si="25"/>
        <v>5162.2700000000004</v>
      </c>
      <c r="T274" s="201">
        <f t="shared" si="26"/>
        <v>5162.2700000000004</v>
      </c>
      <c r="U274" s="201">
        <f t="shared" si="26"/>
        <v>0</v>
      </c>
      <c r="V274" s="201">
        <f t="shared" si="26"/>
        <v>4734.2700000000004</v>
      </c>
      <c r="W274" s="201">
        <f t="shared" si="26"/>
        <v>4734.2700000000004</v>
      </c>
      <c r="X274" s="201">
        <f t="shared" si="26"/>
        <v>0</v>
      </c>
    </row>
    <row r="275" spans="1:24" s="169" customFormat="1" ht="13.8">
      <c r="A275" s="192" t="s">
        <v>802</v>
      </c>
      <c r="B275" s="170" t="s">
        <v>689</v>
      </c>
      <c r="C275" s="183" t="str">
        <f t="shared" si="21"/>
        <v/>
      </c>
      <c r="D275" s="182" t="str">
        <f t="shared" si="22"/>
        <v/>
      </c>
      <c r="E275" s="206"/>
      <c r="F275" s="207"/>
      <c r="G275" s="207"/>
      <c r="H275" s="205"/>
      <c r="I275" s="167">
        <v>3204770000</v>
      </c>
      <c r="J275" s="166"/>
      <c r="K275" s="167">
        <v>2944000000</v>
      </c>
      <c r="L275" s="168">
        <v>260770000</v>
      </c>
      <c r="M275" s="168">
        <f t="shared" si="23"/>
        <v>3204770000</v>
      </c>
      <c r="N275" s="168"/>
      <c r="O275" s="167">
        <v>3204770000</v>
      </c>
      <c r="P275" s="167">
        <f t="shared" si="24"/>
        <v>3204770000</v>
      </c>
      <c r="Q275" s="167"/>
      <c r="S275" s="201">
        <f t="shared" si="25"/>
        <v>3204.77</v>
      </c>
      <c r="T275" s="201">
        <f t="shared" si="26"/>
        <v>3204.77</v>
      </c>
      <c r="U275" s="201">
        <f t="shared" si="26"/>
        <v>0</v>
      </c>
      <c r="V275" s="201">
        <f t="shared" si="26"/>
        <v>3204.77</v>
      </c>
      <c r="W275" s="201">
        <f t="shared" si="26"/>
        <v>3204.77</v>
      </c>
      <c r="X275" s="201">
        <f t="shared" si="26"/>
        <v>0</v>
      </c>
    </row>
    <row r="276" spans="1:24" s="169" customFormat="1" ht="13.8">
      <c r="A276" s="192"/>
      <c r="B276" s="170" t="s">
        <v>686</v>
      </c>
      <c r="C276" s="183" t="str">
        <f t="shared" si="21"/>
        <v/>
      </c>
      <c r="D276" s="182" t="str">
        <f t="shared" si="22"/>
        <v/>
      </c>
      <c r="E276" s="206"/>
      <c r="F276" s="207"/>
      <c r="G276" s="207"/>
      <c r="H276" s="205"/>
      <c r="I276" s="167">
        <v>3204770000</v>
      </c>
      <c r="J276" s="166"/>
      <c r="K276" s="167">
        <v>2944000000</v>
      </c>
      <c r="L276" s="168">
        <v>260770000</v>
      </c>
      <c r="M276" s="168">
        <f t="shared" si="23"/>
        <v>3204770000</v>
      </c>
      <c r="N276" s="168"/>
      <c r="O276" s="167">
        <v>3204770000</v>
      </c>
      <c r="P276" s="167">
        <f t="shared" si="24"/>
        <v>3204770000</v>
      </c>
      <c r="Q276" s="167"/>
      <c r="S276" s="201">
        <f t="shared" si="25"/>
        <v>3204.77</v>
      </c>
      <c r="T276" s="201">
        <f t="shared" si="26"/>
        <v>3204.77</v>
      </c>
      <c r="U276" s="201">
        <f t="shared" si="26"/>
        <v>0</v>
      </c>
      <c r="V276" s="201">
        <f t="shared" si="26"/>
        <v>3204.77</v>
      </c>
      <c r="W276" s="201">
        <f t="shared" si="26"/>
        <v>3204.77</v>
      </c>
      <c r="X276" s="201">
        <f t="shared" si="26"/>
        <v>0</v>
      </c>
    </row>
    <row r="277" spans="1:24" s="169" customFormat="1" ht="13.8">
      <c r="A277" s="193"/>
      <c r="B277" s="187"/>
      <c r="C277" s="183" t="str">
        <f t="shared" si="21"/>
        <v/>
      </c>
      <c r="D277" s="182" t="str">
        <f t="shared" si="22"/>
        <v/>
      </c>
      <c r="E277" s="192" t="s">
        <v>681</v>
      </c>
      <c r="F277" s="192" t="s">
        <v>698</v>
      </c>
      <c r="G277" s="192" t="s">
        <v>699</v>
      </c>
      <c r="H277" s="210" t="s">
        <v>1440</v>
      </c>
      <c r="I277" s="167">
        <v>3123770000</v>
      </c>
      <c r="J277" s="166"/>
      <c r="K277" s="167">
        <v>2944000000</v>
      </c>
      <c r="L277" s="168">
        <v>179770000</v>
      </c>
      <c r="M277" s="168">
        <f t="shared" si="23"/>
        <v>3123770000</v>
      </c>
      <c r="N277" s="168"/>
      <c r="O277" s="167">
        <v>3123770000</v>
      </c>
      <c r="P277" s="167">
        <f t="shared" si="24"/>
        <v>3123770000</v>
      </c>
      <c r="Q277" s="167"/>
      <c r="S277" s="201">
        <f t="shared" si="25"/>
        <v>3123.77</v>
      </c>
      <c r="T277" s="201">
        <f t="shared" si="26"/>
        <v>3123.77</v>
      </c>
      <c r="U277" s="201">
        <f t="shared" si="26"/>
        <v>0</v>
      </c>
      <c r="V277" s="201">
        <f t="shared" si="26"/>
        <v>3123.77</v>
      </c>
      <c r="W277" s="201">
        <f t="shared" si="26"/>
        <v>3123.77</v>
      </c>
      <c r="X277" s="201">
        <f t="shared" si="26"/>
        <v>0</v>
      </c>
    </row>
    <row r="278" spans="1:24" s="169" customFormat="1" ht="13.8">
      <c r="A278" s="195"/>
      <c r="B278" s="188"/>
      <c r="C278" s="183" t="str">
        <f t="shared" ref="C278:C341" si="27">IF(B278&lt;&gt;"",IF(AND(LEFT(B278,1)&gt;="0",LEFT(B278,1)&lt;="9"),LEFT(B278,7),""),"")</f>
        <v/>
      </c>
      <c r="D278" s="182" t="str">
        <f t="shared" si="22"/>
        <v/>
      </c>
      <c r="E278" s="192" t="s">
        <v>679</v>
      </c>
      <c r="F278" s="192" t="s">
        <v>698</v>
      </c>
      <c r="G278" s="192" t="s">
        <v>699</v>
      </c>
      <c r="H278" s="210" t="s">
        <v>1440</v>
      </c>
      <c r="I278" s="167">
        <v>81000000</v>
      </c>
      <c r="J278" s="166"/>
      <c r="K278" s="166"/>
      <c r="L278" s="168">
        <v>81000000</v>
      </c>
      <c r="M278" s="168">
        <f t="shared" si="23"/>
        <v>81000000</v>
      </c>
      <c r="N278" s="168"/>
      <c r="O278" s="167">
        <v>81000000</v>
      </c>
      <c r="P278" s="167">
        <f t="shared" si="24"/>
        <v>81000000</v>
      </c>
      <c r="Q278" s="167"/>
      <c r="S278" s="201">
        <f t="shared" si="25"/>
        <v>81</v>
      </c>
      <c r="T278" s="201">
        <f t="shared" si="26"/>
        <v>81</v>
      </c>
      <c r="U278" s="201">
        <f t="shared" si="26"/>
        <v>0</v>
      </c>
      <c r="V278" s="201">
        <f t="shared" si="26"/>
        <v>81</v>
      </c>
      <c r="W278" s="201">
        <f t="shared" si="26"/>
        <v>81</v>
      </c>
      <c r="X278" s="201">
        <f t="shared" si="26"/>
        <v>0</v>
      </c>
    </row>
    <row r="279" spans="1:24" s="169" customFormat="1" ht="13.8">
      <c r="A279" s="192" t="s">
        <v>803</v>
      </c>
      <c r="B279" s="170" t="s">
        <v>701</v>
      </c>
      <c r="C279" s="183" t="str">
        <f t="shared" si="27"/>
        <v/>
      </c>
      <c r="D279" s="182" t="str">
        <f t="shared" ref="D279:D342" si="28">IF(C279&lt;&gt;"",RIGHT(B279,LEN(B279)-7),"")</f>
        <v/>
      </c>
      <c r="E279" s="206"/>
      <c r="F279" s="207"/>
      <c r="G279" s="207"/>
      <c r="H279" s="205"/>
      <c r="I279" s="167">
        <v>1957500000</v>
      </c>
      <c r="J279" s="167">
        <v>528000000</v>
      </c>
      <c r="K279" s="166"/>
      <c r="L279" s="168">
        <v>1429500000</v>
      </c>
      <c r="M279" s="168">
        <f t="shared" ref="M279:M342" si="29">I279-N279</f>
        <v>1957500000</v>
      </c>
      <c r="N279" s="168"/>
      <c r="O279" s="167">
        <v>1529500000</v>
      </c>
      <c r="P279" s="167">
        <f t="shared" ref="P279:P342" si="30">O279-Q279</f>
        <v>1529500000</v>
      </c>
      <c r="Q279" s="167"/>
      <c r="S279" s="201">
        <f t="shared" ref="S279:S342" si="31">I279/1000000</f>
        <v>1957.5</v>
      </c>
      <c r="T279" s="201">
        <f t="shared" si="26"/>
        <v>1957.5</v>
      </c>
      <c r="U279" s="201">
        <f t="shared" si="26"/>
        <v>0</v>
      </c>
      <c r="V279" s="201">
        <f t="shared" si="26"/>
        <v>1529.5</v>
      </c>
      <c r="W279" s="201">
        <f t="shared" si="26"/>
        <v>1529.5</v>
      </c>
      <c r="X279" s="201">
        <f t="shared" si="26"/>
        <v>0</v>
      </c>
    </row>
    <row r="280" spans="1:24" s="169" customFormat="1" ht="13.8">
      <c r="A280" s="193"/>
      <c r="B280" s="187"/>
      <c r="C280" s="183" t="str">
        <f t="shared" si="27"/>
        <v/>
      </c>
      <c r="D280" s="182" t="str">
        <f t="shared" si="28"/>
        <v/>
      </c>
      <c r="E280" s="192" t="s">
        <v>681</v>
      </c>
      <c r="F280" s="192" t="s">
        <v>698</v>
      </c>
      <c r="G280" s="192" t="s">
        <v>699</v>
      </c>
      <c r="H280" s="210" t="s">
        <v>1441</v>
      </c>
      <c r="I280" s="167">
        <v>528000000</v>
      </c>
      <c r="J280" s="167">
        <v>528000000</v>
      </c>
      <c r="K280" s="166"/>
      <c r="L280" s="171"/>
      <c r="M280" s="168">
        <f t="shared" si="29"/>
        <v>528000000</v>
      </c>
      <c r="N280" s="171"/>
      <c r="O280" s="167">
        <v>528000000</v>
      </c>
      <c r="P280" s="167">
        <f t="shared" si="30"/>
        <v>528000000</v>
      </c>
      <c r="Q280" s="167"/>
      <c r="S280" s="201">
        <f t="shared" si="31"/>
        <v>528</v>
      </c>
      <c r="T280" s="201">
        <f t="shared" si="26"/>
        <v>528</v>
      </c>
      <c r="U280" s="201">
        <f t="shared" si="26"/>
        <v>0</v>
      </c>
      <c r="V280" s="201">
        <f t="shared" si="26"/>
        <v>528</v>
      </c>
      <c r="W280" s="201">
        <f t="shared" si="26"/>
        <v>528</v>
      </c>
      <c r="X280" s="201">
        <f t="shared" si="26"/>
        <v>0</v>
      </c>
    </row>
    <row r="281" spans="1:24" s="169" customFormat="1" ht="13.8">
      <c r="A281" s="195"/>
      <c r="B281" s="188"/>
      <c r="C281" s="183" t="str">
        <f t="shared" si="27"/>
        <v/>
      </c>
      <c r="D281" s="182" t="str">
        <f t="shared" si="28"/>
        <v/>
      </c>
      <c r="E281" s="192" t="s">
        <v>667</v>
      </c>
      <c r="F281" s="192" t="s">
        <v>698</v>
      </c>
      <c r="G281" s="192" t="s">
        <v>699</v>
      </c>
      <c r="H281" s="210" t="s">
        <v>1441</v>
      </c>
      <c r="I281" s="167">
        <v>1429500000</v>
      </c>
      <c r="J281" s="166"/>
      <c r="K281" s="166"/>
      <c r="L281" s="168">
        <v>1429500000</v>
      </c>
      <c r="M281" s="168">
        <f t="shared" si="29"/>
        <v>1429500000</v>
      </c>
      <c r="N281" s="168"/>
      <c r="O281" s="167">
        <v>1001500000</v>
      </c>
      <c r="P281" s="167">
        <f t="shared" si="30"/>
        <v>1001500000</v>
      </c>
      <c r="Q281" s="167"/>
      <c r="S281" s="201">
        <f t="shared" si="31"/>
        <v>1429.5</v>
      </c>
      <c r="T281" s="201">
        <f t="shared" si="26"/>
        <v>1429.5</v>
      </c>
      <c r="U281" s="201">
        <f t="shared" si="26"/>
        <v>0</v>
      </c>
      <c r="V281" s="201">
        <f t="shared" si="26"/>
        <v>1001.5</v>
      </c>
      <c r="W281" s="201">
        <f t="shared" si="26"/>
        <v>1001.5</v>
      </c>
      <c r="X281" s="201">
        <f t="shared" si="26"/>
        <v>0</v>
      </c>
    </row>
    <row r="282" spans="1:24" s="169" customFormat="1" ht="13.8">
      <c r="A282" s="192"/>
      <c r="B282" s="173"/>
      <c r="C282" s="183" t="str">
        <f t="shared" si="27"/>
        <v/>
      </c>
      <c r="D282" s="182" t="str">
        <f t="shared" si="28"/>
        <v/>
      </c>
      <c r="E282" s="192"/>
      <c r="F282" s="192"/>
      <c r="G282" s="192"/>
      <c r="H282" s="210"/>
      <c r="I282" s="174"/>
      <c r="J282" s="174"/>
      <c r="K282" s="174"/>
      <c r="L282" s="175"/>
      <c r="M282" s="168">
        <f t="shared" si="29"/>
        <v>0</v>
      </c>
      <c r="N282" s="175"/>
      <c r="O282" s="174"/>
      <c r="P282" s="167">
        <f t="shared" si="30"/>
        <v>0</v>
      </c>
      <c r="Q282" s="174"/>
      <c r="S282" s="201">
        <f t="shared" si="31"/>
        <v>0</v>
      </c>
      <c r="T282" s="201">
        <f t="shared" si="26"/>
        <v>0</v>
      </c>
      <c r="U282" s="201">
        <f t="shared" si="26"/>
        <v>0</v>
      </c>
      <c r="V282" s="201">
        <f t="shared" si="26"/>
        <v>0</v>
      </c>
      <c r="W282" s="201">
        <f t="shared" si="26"/>
        <v>0</v>
      </c>
      <c r="X282" s="201">
        <f t="shared" si="26"/>
        <v>0</v>
      </c>
    </row>
    <row r="283" spans="1:24" s="169" customFormat="1" ht="26.4">
      <c r="A283" s="192" t="s">
        <v>804</v>
      </c>
      <c r="B283" s="165" t="s">
        <v>805</v>
      </c>
      <c r="C283" s="183" t="str">
        <f t="shared" si="27"/>
        <v>1035747</v>
      </c>
      <c r="D283" s="182" t="str">
        <f t="shared" si="28"/>
        <v>-BQL Rừng Phòng hộ Thạch Mham</v>
      </c>
      <c r="E283" s="206"/>
      <c r="F283" s="207"/>
      <c r="G283" s="207"/>
      <c r="H283" s="205"/>
      <c r="I283" s="167">
        <v>14179700000</v>
      </c>
      <c r="J283" s="167">
        <v>5593000000</v>
      </c>
      <c r="K283" s="167">
        <v>4061000000</v>
      </c>
      <c r="L283" s="168">
        <v>4525700000</v>
      </c>
      <c r="M283" s="168">
        <f t="shared" si="29"/>
        <v>14179700000</v>
      </c>
      <c r="N283" s="168"/>
      <c r="O283" s="167">
        <v>9877962452</v>
      </c>
      <c r="P283" s="167">
        <f t="shared" si="30"/>
        <v>9877962452</v>
      </c>
      <c r="Q283" s="167"/>
      <c r="S283" s="201">
        <f t="shared" si="31"/>
        <v>14179.7</v>
      </c>
      <c r="T283" s="201">
        <f t="shared" si="26"/>
        <v>14179.7</v>
      </c>
      <c r="U283" s="201">
        <f t="shared" si="26"/>
        <v>0</v>
      </c>
      <c r="V283" s="201">
        <f t="shared" si="26"/>
        <v>9877.9624519999998</v>
      </c>
      <c r="W283" s="201">
        <f t="shared" si="26"/>
        <v>9877.9624519999998</v>
      </c>
      <c r="X283" s="201">
        <f t="shared" si="26"/>
        <v>0</v>
      </c>
    </row>
    <row r="284" spans="1:24" s="169" customFormat="1" ht="13.8">
      <c r="A284" s="192" t="s">
        <v>806</v>
      </c>
      <c r="B284" s="170" t="s">
        <v>675</v>
      </c>
      <c r="C284" s="183" t="str">
        <f t="shared" si="27"/>
        <v/>
      </c>
      <c r="D284" s="182" t="str">
        <f t="shared" si="28"/>
        <v/>
      </c>
      <c r="E284" s="206"/>
      <c r="F284" s="207"/>
      <c r="G284" s="207"/>
      <c r="H284" s="205"/>
      <c r="I284" s="167">
        <v>4296000000</v>
      </c>
      <c r="J284" s="166"/>
      <c r="K284" s="167">
        <v>4061000000</v>
      </c>
      <c r="L284" s="168">
        <v>235000000</v>
      </c>
      <c r="M284" s="168">
        <f t="shared" si="29"/>
        <v>4296000000</v>
      </c>
      <c r="N284" s="168"/>
      <c r="O284" s="167">
        <v>4296000000</v>
      </c>
      <c r="P284" s="167">
        <f t="shared" si="30"/>
        <v>4296000000</v>
      </c>
      <c r="Q284" s="167"/>
      <c r="S284" s="201">
        <f t="shared" si="31"/>
        <v>4296</v>
      </c>
      <c r="T284" s="201">
        <f t="shared" ref="T284:X334" si="32">M284/1000000</f>
        <v>4296</v>
      </c>
      <c r="U284" s="201">
        <f t="shared" si="32"/>
        <v>0</v>
      </c>
      <c r="V284" s="201">
        <f t="shared" si="32"/>
        <v>4296</v>
      </c>
      <c r="W284" s="201">
        <f t="shared" si="32"/>
        <v>4296</v>
      </c>
      <c r="X284" s="201">
        <f t="shared" si="32"/>
        <v>0</v>
      </c>
    </row>
    <row r="285" spans="1:24" s="169" customFormat="1" ht="13.8">
      <c r="A285" s="192"/>
      <c r="B285" s="170" t="s">
        <v>680</v>
      </c>
      <c r="C285" s="183" t="str">
        <f t="shared" si="27"/>
        <v/>
      </c>
      <c r="D285" s="182" t="str">
        <f t="shared" si="28"/>
        <v/>
      </c>
      <c r="E285" s="206"/>
      <c r="F285" s="207"/>
      <c r="G285" s="207"/>
      <c r="H285" s="205"/>
      <c r="I285" s="167">
        <v>4296000000</v>
      </c>
      <c r="J285" s="166"/>
      <c r="K285" s="167">
        <v>4061000000</v>
      </c>
      <c r="L285" s="168">
        <v>235000000</v>
      </c>
      <c r="M285" s="168">
        <f t="shared" si="29"/>
        <v>4296000000</v>
      </c>
      <c r="N285" s="168"/>
      <c r="O285" s="167">
        <v>4296000000</v>
      </c>
      <c r="P285" s="167">
        <f t="shared" si="30"/>
        <v>4296000000</v>
      </c>
      <c r="Q285" s="167"/>
      <c r="S285" s="201">
        <f t="shared" si="31"/>
        <v>4296</v>
      </c>
      <c r="T285" s="201">
        <f t="shared" si="32"/>
        <v>4296</v>
      </c>
      <c r="U285" s="201">
        <f t="shared" si="32"/>
        <v>0</v>
      </c>
      <c r="V285" s="201">
        <f t="shared" si="32"/>
        <v>4296</v>
      </c>
      <c r="W285" s="201">
        <f t="shared" si="32"/>
        <v>4296</v>
      </c>
      <c r="X285" s="201">
        <f t="shared" si="32"/>
        <v>0</v>
      </c>
    </row>
    <row r="286" spans="1:24" s="169" customFormat="1" ht="13.8">
      <c r="A286" s="193"/>
      <c r="B286" s="187"/>
      <c r="C286" s="183" t="str">
        <f t="shared" si="27"/>
        <v/>
      </c>
      <c r="D286" s="182" t="str">
        <f t="shared" si="28"/>
        <v/>
      </c>
      <c r="E286" s="192" t="s">
        <v>681</v>
      </c>
      <c r="F286" s="192" t="s">
        <v>698</v>
      </c>
      <c r="G286" s="192" t="s">
        <v>699</v>
      </c>
      <c r="H286" s="210" t="s">
        <v>1440</v>
      </c>
      <c r="I286" s="167">
        <v>4204000000</v>
      </c>
      <c r="J286" s="166"/>
      <c r="K286" s="167">
        <v>4061000000</v>
      </c>
      <c r="L286" s="168">
        <v>143000000</v>
      </c>
      <c r="M286" s="168">
        <f t="shared" si="29"/>
        <v>4204000000</v>
      </c>
      <c r="N286" s="168"/>
      <c r="O286" s="167">
        <v>4204000000</v>
      </c>
      <c r="P286" s="167">
        <f t="shared" si="30"/>
        <v>4204000000</v>
      </c>
      <c r="Q286" s="167"/>
      <c r="S286" s="201">
        <f t="shared" si="31"/>
        <v>4204</v>
      </c>
      <c r="T286" s="201">
        <f t="shared" si="32"/>
        <v>4204</v>
      </c>
      <c r="U286" s="201">
        <f t="shared" si="32"/>
        <v>0</v>
      </c>
      <c r="V286" s="201">
        <f t="shared" si="32"/>
        <v>4204</v>
      </c>
      <c r="W286" s="201">
        <f t="shared" si="32"/>
        <v>4204</v>
      </c>
      <c r="X286" s="201">
        <f t="shared" si="32"/>
        <v>0</v>
      </c>
    </row>
    <row r="287" spans="1:24" s="169" customFormat="1" ht="13.8">
      <c r="A287" s="195"/>
      <c r="B287" s="188"/>
      <c r="C287" s="183" t="str">
        <f t="shared" si="27"/>
        <v/>
      </c>
      <c r="D287" s="182" t="str">
        <f t="shared" si="28"/>
        <v/>
      </c>
      <c r="E287" s="192" t="s">
        <v>679</v>
      </c>
      <c r="F287" s="192" t="s">
        <v>698</v>
      </c>
      <c r="G287" s="192" t="s">
        <v>699</v>
      </c>
      <c r="H287" s="210" t="s">
        <v>1440</v>
      </c>
      <c r="I287" s="167">
        <v>92000000</v>
      </c>
      <c r="J287" s="166"/>
      <c r="K287" s="166"/>
      <c r="L287" s="168">
        <v>92000000</v>
      </c>
      <c r="M287" s="168">
        <f t="shared" si="29"/>
        <v>92000000</v>
      </c>
      <c r="N287" s="168"/>
      <c r="O287" s="167">
        <v>92000000</v>
      </c>
      <c r="P287" s="167">
        <f t="shared" si="30"/>
        <v>92000000</v>
      </c>
      <c r="Q287" s="167"/>
      <c r="S287" s="201">
        <f t="shared" si="31"/>
        <v>92</v>
      </c>
      <c r="T287" s="201">
        <f t="shared" si="32"/>
        <v>92</v>
      </c>
      <c r="U287" s="201">
        <f t="shared" si="32"/>
        <v>0</v>
      </c>
      <c r="V287" s="201">
        <f t="shared" si="32"/>
        <v>92</v>
      </c>
      <c r="W287" s="201">
        <f t="shared" si="32"/>
        <v>92</v>
      </c>
      <c r="X287" s="201">
        <f t="shared" si="32"/>
        <v>0</v>
      </c>
    </row>
    <row r="288" spans="1:24" s="169" customFormat="1" ht="13.8">
      <c r="A288" s="192" t="s">
        <v>807</v>
      </c>
      <c r="B288" s="170" t="s">
        <v>731</v>
      </c>
      <c r="C288" s="183" t="str">
        <f t="shared" si="27"/>
        <v/>
      </c>
      <c r="D288" s="182" t="str">
        <f t="shared" si="28"/>
        <v/>
      </c>
      <c r="E288" s="206"/>
      <c r="F288" s="207"/>
      <c r="G288" s="207"/>
      <c r="H288" s="205"/>
      <c r="I288" s="167">
        <v>9883700000</v>
      </c>
      <c r="J288" s="167">
        <v>5593000000</v>
      </c>
      <c r="K288" s="166"/>
      <c r="L288" s="168">
        <v>4290700000</v>
      </c>
      <c r="M288" s="168">
        <f t="shared" si="29"/>
        <v>9883700000</v>
      </c>
      <c r="N288" s="168"/>
      <c r="O288" s="167">
        <v>5581962452</v>
      </c>
      <c r="P288" s="167">
        <f t="shared" si="30"/>
        <v>5581962452</v>
      </c>
      <c r="Q288" s="167"/>
      <c r="S288" s="201">
        <f t="shared" si="31"/>
        <v>9883.7000000000007</v>
      </c>
      <c r="T288" s="201">
        <f t="shared" si="32"/>
        <v>9883.7000000000007</v>
      </c>
      <c r="U288" s="201">
        <f t="shared" si="32"/>
        <v>0</v>
      </c>
      <c r="V288" s="201">
        <f t="shared" si="32"/>
        <v>5581.9624519999998</v>
      </c>
      <c r="W288" s="201">
        <f t="shared" si="32"/>
        <v>5581.9624519999998</v>
      </c>
      <c r="X288" s="201">
        <f t="shared" si="32"/>
        <v>0</v>
      </c>
    </row>
    <row r="289" spans="1:24" s="169" customFormat="1" ht="13.8">
      <c r="A289" s="193"/>
      <c r="B289" s="187"/>
      <c r="C289" s="183" t="str">
        <f t="shared" si="27"/>
        <v/>
      </c>
      <c r="D289" s="182" t="str">
        <f t="shared" si="28"/>
        <v/>
      </c>
      <c r="E289" s="192" t="s">
        <v>681</v>
      </c>
      <c r="F289" s="192" t="s">
        <v>698</v>
      </c>
      <c r="G289" s="192" t="s">
        <v>699</v>
      </c>
      <c r="H289" s="210" t="s">
        <v>1441</v>
      </c>
      <c r="I289" s="167">
        <v>5593000000</v>
      </c>
      <c r="J289" s="167">
        <v>5593000000</v>
      </c>
      <c r="K289" s="166"/>
      <c r="L289" s="171"/>
      <c r="M289" s="168">
        <f t="shared" si="29"/>
        <v>5593000000</v>
      </c>
      <c r="N289" s="171"/>
      <c r="O289" s="167">
        <v>5005962452</v>
      </c>
      <c r="P289" s="167">
        <f t="shared" si="30"/>
        <v>5005962452</v>
      </c>
      <c r="Q289" s="167"/>
      <c r="S289" s="201">
        <f t="shared" si="31"/>
        <v>5593</v>
      </c>
      <c r="T289" s="201">
        <f t="shared" si="32"/>
        <v>5593</v>
      </c>
      <c r="U289" s="201">
        <f t="shared" si="32"/>
        <v>0</v>
      </c>
      <c r="V289" s="201">
        <f t="shared" si="32"/>
        <v>5005.9624519999998</v>
      </c>
      <c r="W289" s="201">
        <f t="shared" si="32"/>
        <v>5005.9624519999998</v>
      </c>
      <c r="X289" s="201">
        <f t="shared" si="32"/>
        <v>0</v>
      </c>
    </row>
    <row r="290" spans="1:24" s="169" customFormat="1" ht="13.8">
      <c r="A290" s="195"/>
      <c r="B290" s="188"/>
      <c r="C290" s="183" t="str">
        <f t="shared" si="27"/>
        <v/>
      </c>
      <c r="D290" s="182" t="str">
        <f t="shared" si="28"/>
        <v/>
      </c>
      <c r="E290" s="192" t="s">
        <v>667</v>
      </c>
      <c r="F290" s="192" t="s">
        <v>698</v>
      </c>
      <c r="G290" s="192" t="s">
        <v>699</v>
      </c>
      <c r="H290" s="210" t="s">
        <v>1441</v>
      </c>
      <c r="I290" s="167">
        <v>4290700000</v>
      </c>
      <c r="J290" s="166"/>
      <c r="K290" s="166"/>
      <c r="L290" s="168">
        <v>4290700000</v>
      </c>
      <c r="M290" s="168">
        <f t="shared" si="29"/>
        <v>4290700000</v>
      </c>
      <c r="N290" s="168"/>
      <c r="O290" s="167">
        <v>576000000</v>
      </c>
      <c r="P290" s="167">
        <f t="shared" si="30"/>
        <v>576000000</v>
      </c>
      <c r="Q290" s="167"/>
      <c r="S290" s="201">
        <f t="shared" si="31"/>
        <v>4290.7</v>
      </c>
      <c r="T290" s="201">
        <f t="shared" si="32"/>
        <v>4290.7</v>
      </c>
      <c r="U290" s="201">
        <f t="shared" si="32"/>
        <v>0</v>
      </c>
      <c r="V290" s="201">
        <f t="shared" si="32"/>
        <v>576</v>
      </c>
      <c r="W290" s="201">
        <f t="shared" si="32"/>
        <v>576</v>
      </c>
      <c r="X290" s="201">
        <f t="shared" si="32"/>
        <v>0</v>
      </c>
    </row>
    <row r="291" spans="1:24" s="169" customFormat="1" ht="26.4">
      <c r="A291" s="192" t="s">
        <v>808</v>
      </c>
      <c r="B291" s="170" t="s">
        <v>809</v>
      </c>
      <c r="C291" s="183" t="str">
        <f t="shared" si="27"/>
        <v>1035748</v>
      </c>
      <c r="D291" s="182" t="str">
        <f t="shared" si="28"/>
        <v>-BQL Rừng Phòng Hộ ĐăkBlô</v>
      </c>
      <c r="E291" s="206"/>
      <c r="F291" s="207"/>
      <c r="G291" s="207"/>
      <c r="H291" s="205"/>
      <c r="I291" s="167">
        <v>8966996000</v>
      </c>
      <c r="J291" s="167">
        <v>3432000000</v>
      </c>
      <c r="K291" s="167">
        <v>2533700000</v>
      </c>
      <c r="L291" s="168">
        <v>3001296000</v>
      </c>
      <c r="M291" s="168">
        <f t="shared" si="29"/>
        <v>8966996000</v>
      </c>
      <c r="N291" s="168"/>
      <c r="O291" s="167">
        <v>6049303000</v>
      </c>
      <c r="P291" s="167">
        <f t="shared" si="30"/>
        <v>6049303000</v>
      </c>
      <c r="Q291" s="167"/>
      <c r="S291" s="201">
        <f t="shared" si="31"/>
        <v>8966.9959999999992</v>
      </c>
      <c r="T291" s="201">
        <f t="shared" si="32"/>
        <v>8966.9959999999992</v>
      </c>
      <c r="U291" s="201">
        <f t="shared" si="32"/>
        <v>0</v>
      </c>
      <c r="V291" s="201">
        <f t="shared" si="32"/>
        <v>6049.3029999999999</v>
      </c>
      <c r="W291" s="201">
        <f t="shared" si="32"/>
        <v>6049.3029999999999</v>
      </c>
      <c r="X291" s="201">
        <f t="shared" si="32"/>
        <v>0</v>
      </c>
    </row>
    <row r="292" spans="1:24" s="169" customFormat="1" ht="13.8">
      <c r="A292" s="192" t="s">
        <v>810</v>
      </c>
      <c r="B292" s="170" t="s">
        <v>675</v>
      </c>
      <c r="C292" s="183" t="str">
        <f t="shared" si="27"/>
        <v/>
      </c>
      <c r="D292" s="182" t="str">
        <f t="shared" si="28"/>
        <v/>
      </c>
      <c r="E292" s="206"/>
      <c r="F292" s="207"/>
      <c r="G292" s="207"/>
      <c r="H292" s="205"/>
      <c r="I292" s="167">
        <v>2774996000</v>
      </c>
      <c r="J292" s="166"/>
      <c r="K292" s="167">
        <v>2533700000</v>
      </c>
      <c r="L292" s="168">
        <v>241296000</v>
      </c>
      <c r="M292" s="168">
        <f t="shared" si="29"/>
        <v>2774996000</v>
      </c>
      <c r="N292" s="168"/>
      <c r="O292" s="167">
        <v>2774996000</v>
      </c>
      <c r="P292" s="167">
        <f t="shared" si="30"/>
        <v>2774996000</v>
      </c>
      <c r="Q292" s="167"/>
      <c r="S292" s="201">
        <f t="shared" si="31"/>
        <v>2774.9960000000001</v>
      </c>
      <c r="T292" s="201">
        <f t="shared" si="32"/>
        <v>2774.9960000000001</v>
      </c>
      <c r="U292" s="201">
        <f t="shared" si="32"/>
        <v>0</v>
      </c>
      <c r="V292" s="201">
        <f t="shared" si="32"/>
        <v>2774.9960000000001</v>
      </c>
      <c r="W292" s="201">
        <f t="shared" si="32"/>
        <v>2774.9960000000001</v>
      </c>
      <c r="X292" s="201">
        <f t="shared" si="32"/>
        <v>0</v>
      </c>
    </row>
    <row r="293" spans="1:24" s="169" customFormat="1" ht="13.8">
      <c r="A293" s="192"/>
      <c r="B293" s="170" t="s">
        <v>680</v>
      </c>
      <c r="C293" s="183" t="str">
        <f t="shared" si="27"/>
        <v/>
      </c>
      <c r="D293" s="182" t="str">
        <f t="shared" si="28"/>
        <v/>
      </c>
      <c r="E293" s="206"/>
      <c r="F293" s="207"/>
      <c r="G293" s="207"/>
      <c r="H293" s="205"/>
      <c r="I293" s="167">
        <v>2774996000</v>
      </c>
      <c r="J293" s="166"/>
      <c r="K293" s="167">
        <v>2533700000</v>
      </c>
      <c r="L293" s="168">
        <v>241296000</v>
      </c>
      <c r="M293" s="168">
        <f t="shared" si="29"/>
        <v>2774996000</v>
      </c>
      <c r="N293" s="168"/>
      <c r="O293" s="167">
        <v>2774996000</v>
      </c>
      <c r="P293" s="167">
        <f t="shared" si="30"/>
        <v>2774996000</v>
      </c>
      <c r="Q293" s="167"/>
      <c r="S293" s="201">
        <f t="shared" si="31"/>
        <v>2774.9960000000001</v>
      </c>
      <c r="T293" s="201">
        <f t="shared" si="32"/>
        <v>2774.9960000000001</v>
      </c>
      <c r="U293" s="201">
        <f t="shared" si="32"/>
        <v>0</v>
      </c>
      <c r="V293" s="201">
        <f t="shared" si="32"/>
        <v>2774.9960000000001</v>
      </c>
      <c r="W293" s="201">
        <f t="shared" si="32"/>
        <v>2774.9960000000001</v>
      </c>
      <c r="X293" s="201">
        <f t="shared" si="32"/>
        <v>0</v>
      </c>
    </row>
    <row r="294" spans="1:24" s="169" customFormat="1" ht="13.8">
      <c r="A294" s="193"/>
      <c r="B294" s="187"/>
      <c r="C294" s="183" t="str">
        <f t="shared" si="27"/>
        <v/>
      </c>
      <c r="D294" s="182" t="str">
        <f t="shared" si="28"/>
        <v/>
      </c>
      <c r="E294" s="192" t="s">
        <v>681</v>
      </c>
      <c r="F294" s="192" t="s">
        <v>698</v>
      </c>
      <c r="G294" s="192" t="s">
        <v>699</v>
      </c>
      <c r="H294" s="210" t="s">
        <v>1440</v>
      </c>
      <c r="I294" s="167">
        <v>2705496000</v>
      </c>
      <c r="J294" s="166"/>
      <c r="K294" s="167">
        <v>2533700000</v>
      </c>
      <c r="L294" s="168">
        <v>171796000</v>
      </c>
      <c r="M294" s="168">
        <f t="shared" si="29"/>
        <v>2705496000</v>
      </c>
      <c r="N294" s="168"/>
      <c r="O294" s="167">
        <v>2705496000</v>
      </c>
      <c r="P294" s="167">
        <f t="shared" si="30"/>
        <v>2705496000</v>
      </c>
      <c r="Q294" s="167"/>
      <c r="S294" s="201">
        <f t="shared" si="31"/>
        <v>2705.4960000000001</v>
      </c>
      <c r="T294" s="201">
        <f t="shared" si="32"/>
        <v>2705.4960000000001</v>
      </c>
      <c r="U294" s="201">
        <f t="shared" si="32"/>
        <v>0</v>
      </c>
      <c r="V294" s="201">
        <f t="shared" si="32"/>
        <v>2705.4960000000001</v>
      </c>
      <c r="W294" s="201">
        <f t="shared" si="32"/>
        <v>2705.4960000000001</v>
      </c>
      <c r="X294" s="201">
        <f t="shared" si="32"/>
        <v>0</v>
      </c>
    </row>
    <row r="295" spans="1:24" s="169" customFormat="1" ht="13.8">
      <c r="A295" s="195"/>
      <c r="B295" s="188"/>
      <c r="C295" s="183" t="str">
        <f t="shared" si="27"/>
        <v/>
      </c>
      <c r="D295" s="182" t="str">
        <f t="shared" si="28"/>
        <v/>
      </c>
      <c r="E295" s="192" t="s">
        <v>679</v>
      </c>
      <c r="F295" s="192" t="s">
        <v>698</v>
      </c>
      <c r="G295" s="192" t="s">
        <v>699</v>
      </c>
      <c r="H295" s="210" t="s">
        <v>1440</v>
      </c>
      <c r="I295" s="167">
        <v>69500000</v>
      </c>
      <c r="J295" s="166"/>
      <c r="K295" s="166"/>
      <c r="L295" s="168">
        <v>69500000</v>
      </c>
      <c r="M295" s="168">
        <f t="shared" si="29"/>
        <v>69500000</v>
      </c>
      <c r="N295" s="168"/>
      <c r="O295" s="167">
        <v>69500000</v>
      </c>
      <c r="P295" s="167">
        <f t="shared" si="30"/>
        <v>69500000</v>
      </c>
      <c r="Q295" s="167"/>
      <c r="S295" s="201">
        <f t="shared" si="31"/>
        <v>69.5</v>
      </c>
      <c r="T295" s="201">
        <f t="shared" si="32"/>
        <v>69.5</v>
      </c>
      <c r="U295" s="201">
        <f t="shared" si="32"/>
        <v>0</v>
      </c>
      <c r="V295" s="201">
        <f t="shared" si="32"/>
        <v>69.5</v>
      </c>
      <c r="W295" s="201">
        <f t="shared" si="32"/>
        <v>69.5</v>
      </c>
      <c r="X295" s="201">
        <f t="shared" si="32"/>
        <v>0</v>
      </c>
    </row>
    <row r="296" spans="1:24" s="169" customFormat="1" ht="13.8">
      <c r="A296" s="192" t="s">
        <v>811</v>
      </c>
      <c r="B296" s="170" t="s">
        <v>731</v>
      </c>
      <c r="C296" s="183" t="str">
        <f t="shared" si="27"/>
        <v/>
      </c>
      <c r="D296" s="182" t="str">
        <f t="shared" si="28"/>
        <v/>
      </c>
      <c r="E296" s="206"/>
      <c r="F296" s="207"/>
      <c r="G296" s="207"/>
      <c r="H296" s="205"/>
      <c r="I296" s="167">
        <v>6192000000</v>
      </c>
      <c r="J296" s="167">
        <v>3432000000</v>
      </c>
      <c r="K296" s="166"/>
      <c r="L296" s="168">
        <v>2760000000</v>
      </c>
      <c r="M296" s="168">
        <f t="shared" si="29"/>
        <v>6192000000</v>
      </c>
      <c r="N296" s="168"/>
      <c r="O296" s="167">
        <v>3274307000</v>
      </c>
      <c r="P296" s="167">
        <f t="shared" si="30"/>
        <v>3274307000</v>
      </c>
      <c r="Q296" s="167"/>
      <c r="S296" s="201">
        <f t="shared" si="31"/>
        <v>6192</v>
      </c>
      <c r="T296" s="201">
        <f t="shared" si="32"/>
        <v>6192</v>
      </c>
      <c r="U296" s="201">
        <f t="shared" si="32"/>
        <v>0</v>
      </c>
      <c r="V296" s="201">
        <f t="shared" si="32"/>
        <v>3274.3069999999998</v>
      </c>
      <c r="W296" s="201">
        <f t="shared" si="32"/>
        <v>3274.3069999999998</v>
      </c>
      <c r="X296" s="201">
        <f t="shared" si="32"/>
        <v>0</v>
      </c>
    </row>
    <row r="297" spans="1:24" s="169" customFormat="1" ht="13.8">
      <c r="A297" s="193"/>
      <c r="B297" s="187"/>
      <c r="C297" s="183" t="str">
        <f t="shared" si="27"/>
        <v/>
      </c>
      <c r="D297" s="182" t="str">
        <f t="shared" si="28"/>
        <v/>
      </c>
      <c r="E297" s="192" t="s">
        <v>681</v>
      </c>
      <c r="F297" s="192" t="s">
        <v>698</v>
      </c>
      <c r="G297" s="192" t="s">
        <v>699</v>
      </c>
      <c r="H297" s="210" t="s">
        <v>1441</v>
      </c>
      <c r="I297" s="167">
        <v>3432000000</v>
      </c>
      <c r="J297" s="167">
        <v>3432000000</v>
      </c>
      <c r="K297" s="166"/>
      <c r="L297" s="171"/>
      <c r="M297" s="168">
        <f t="shared" si="29"/>
        <v>3432000000</v>
      </c>
      <c r="N297" s="171"/>
      <c r="O297" s="167">
        <v>3274307000</v>
      </c>
      <c r="P297" s="167">
        <f t="shared" si="30"/>
        <v>3274307000</v>
      </c>
      <c r="Q297" s="167"/>
      <c r="S297" s="201">
        <f t="shared" si="31"/>
        <v>3432</v>
      </c>
      <c r="T297" s="201">
        <f t="shared" si="32"/>
        <v>3432</v>
      </c>
      <c r="U297" s="201">
        <f t="shared" si="32"/>
        <v>0</v>
      </c>
      <c r="V297" s="201">
        <f t="shared" si="32"/>
        <v>3274.3069999999998</v>
      </c>
      <c r="W297" s="201">
        <f t="shared" si="32"/>
        <v>3274.3069999999998</v>
      </c>
      <c r="X297" s="201">
        <f t="shared" si="32"/>
        <v>0</v>
      </c>
    </row>
    <row r="298" spans="1:24" s="169" customFormat="1" ht="13.8">
      <c r="A298" s="195"/>
      <c r="B298" s="188"/>
      <c r="C298" s="183" t="str">
        <f t="shared" si="27"/>
        <v/>
      </c>
      <c r="D298" s="182" t="str">
        <f t="shared" si="28"/>
        <v/>
      </c>
      <c r="E298" s="192" t="s">
        <v>667</v>
      </c>
      <c r="F298" s="192" t="s">
        <v>698</v>
      </c>
      <c r="G298" s="192" t="s">
        <v>699</v>
      </c>
      <c r="H298" s="210" t="s">
        <v>1441</v>
      </c>
      <c r="I298" s="167">
        <v>2760000000</v>
      </c>
      <c r="J298" s="166"/>
      <c r="K298" s="166"/>
      <c r="L298" s="168">
        <v>2760000000</v>
      </c>
      <c r="M298" s="168">
        <f t="shared" si="29"/>
        <v>2760000000</v>
      </c>
      <c r="N298" s="168"/>
      <c r="O298" s="166"/>
      <c r="P298" s="167">
        <f t="shared" si="30"/>
        <v>0</v>
      </c>
      <c r="Q298" s="166"/>
      <c r="S298" s="201">
        <f t="shared" si="31"/>
        <v>2760</v>
      </c>
      <c r="T298" s="201">
        <f t="shared" si="32"/>
        <v>2760</v>
      </c>
      <c r="U298" s="201">
        <f t="shared" si="32"/>
        <v>0</v>
      </c>
      <c r="V298" s="201">
        <f t="shared" si="32"/>
        <v>0</v>
      </c>
      <c r="W298" s="201">
        <f t="shared" si="32"/>
        <v>0</v>
      </c>
      <c r="X298" s="201">
        <f t="shared" si="32"/>
        <v>0</v>
      </c>
    </row>
    <row r="299" spans="1:24" s="169" customFormat="1" ht="26.4">
      <c r="A299" s="192" t="s">
        <v>812</v>
      </c>
      <c r="B299" s="165" t="s">
        <v>813</v>
      </c>
      <c r="C299" s="183" t="str">
        <f t="shared" si="27"/>
        <v>1035749</v>
      </c>
      <c r="D299" s="182" t="str">
        <f t="shared" si="28"/>
        <v>-BQL Dự án Phát triển Cao su Mhân dân</v>
      </c>
      <c r="E299" s="206"/>
      <c r="F299" s="207"/>
      <c r="G299" s="207"/>
      <c r="H299" s="205"/>
      <c r="I299" s="167">
        <v>343000000</v>
      </c>
      <c r="J299" s="166"/>
      <c r="K299" s="167">
        <v>343000000</v>
      </c>
      <c r="L299" s="171"/>
      <c r="M299" s="168">
        <f t="shared" si="29"/>
        <v>343000000</v>
      </c>
      <c r="N299" s="171"/>
      <c r="O299" s="167">
        <v>343000000</v>
      </c>
      <c r="P299" s="167">
        <f t="shared" si="30"/>
        <v>343000000</v>
      </c>
      <c r="Q299" s="167"/>
      <c r="S299" s="201">
        <f t="shared" si="31"/>
        <v>343</v>
      </c>
      <c r="T299" s="201">
        <f t="shared" si="32"/>
        <v>343</v>
      </c>
      <c r="U299" s="201">
        <f t="shared" si="32"/>
        <v>0</v>
      </c>
      <c r="V299" s="201">
        <f t="shared" si="32"/>
        <v>343</v>
      </c>
      <c r="W299" s="201">
        <f t="shared" si="32"/>
        <v>343</v>
      </c>
      <c r="X299" s="201">
        <f t="shared" si="32"/>
        <v>0</v>
      </c>
    </row>
    <row r="300" spans="1:24" s="169" customFormat="1" ht="13.8">
      <c r="A300" s="192" t="s">
        <v>814</v>
      </c>
      <c r="B300" s="170" t="s">
        <v>675</v>
      </c>
      <c r="C300" s="183" t="str">
        <f t="shared" si="27"/>
        <v/>
      </c>
      <c r="D300" s="182" t="str">
        <f t="shared" si="28"/>
        <v/>
      </c>
      <c r="E300" s="206"/>
      <c r="F300" s="207"/>
      <c r="G300" s="207"/>
      <c r="H300" s="205"/>
      <c r="I300" s="167">
        <v>343000000</v>
      </c>
      <c r="J300" s="166"/>
      <c r="K300" s="167">
        <v>343000000</v>
      </c>
      <c r="L300" s="171"/>
      <c r="M300" s="168">
        <f t="shared" si="29"/>
        <v>343000000</v>
      </c>
      <c r="N300" s="171"/>
      <c r="O300" s="167">
        <v>343000000</v>
      </c>
      <c r="P300" s="167">
        <f t="shared" si="30"/>
        <v>343000000</v>
      </c>
      <c r="Q300" s="167"/>
      <c r="S300" s="201">
        <f t="shared" si="31"/>
        <v>343</v>
      </c>
      <c r="T300" s="201">
        <f t="shared" si="32"/>
        <v>343</v>
      </c>
      <c r="U300" s="201">
        <f t="shared" si="32"/>
        <v>0</v>
      </c>
      <c r="V300" s="201">
        <f t="shared" si="32"/>
        <v>343</v>
      </c>
      <c r="W300" s="201">
        <f t="shared" si="32"/>
        <v>343</v>
      </c>
      <c r="X300" s="201">
        <f t="shared" si="32"/>
        <v>0</v>
      </c>
    </row>
    <row r="301" spans="1:24" s="169" customFormat="1" ht="13.8">
      <c r="A301" s="192"/>
      <c r="B301" s="170" t="s">
        <v>680</v>
      </c>
      <c r="C301" s="183" t="str">
        <f t="shared" si="27"/>
        <v/>
      </c>
      <c r="D301" s="182" t="str">
        <f t="shared" si="28"/>
        <v/>
      </c>
      <c r="E301" s="206"/>
      <c r="F301" s="207"/>
      <c r="G301" s="207"/>
      <c r="H301" s="205"/>
      <c r="I301" s="167">
        <v>343000000</v>
      </c>
      <c r="J301" s="166"/>
      <c r="K301" s="167">
        <v>343000000</v>
      </c>
      <c r="L301" s="171"/>
      <c r="M301" s="168">
        <f t="shared" si="29"/>
        <v>343000000</v>
      </c>
      <c r="N301" s="171"/>
      <c r="O301" s="167">
        <v>343000000</v>
      </c>
      <c r="P301" s="167">
        <f t="shared" si="30"/>
        <v>343000000</v>
      </c>
      <c r="Q301" s="167"/>
      <c r="S301" s="201">
        <f t="shared" si="31"/>
        <v>343</v>
      </c>
      <c r="T301" s="201">
        <f t="shared" si="32"/>
        <v>343</v>
      </c>
      <c r="U301" s="201">
        <f t="shared" si="32"/>
        <v>0</v>
      </c>
      <c r="V301" s="201">
        <f t="shared" si="32"/>
        <v>343</v>
      </c>
      <c r="W301" s="201">
        <f t="shared" si="32"/>
        <v>343</v>
      </c>
      <c r="X301" s="201">
        <f t="shared" si="32"/>
        <v>0</v>
      </c>
    </row>
    <row r="302" spans="1:24" s="169" customFormat="1" ht="13.8">
      <c r="A302" s="192"/>
      <c r="B302" s="164"/>
      <c r="C302" s="183" t="str">
        <f t="shared" si="27"/>
        <v/>
      </c>
      <c r="D302" s="182" t="str">
        <f t="shared" si="28"/>
        <v/>
      </c>
      <c r="E302" s="192" t="s">
        <v>681</v>
      </c>
      <c r="F302" s="192" t="s">
        <v>698</v>
      </c>
      <c r="G302" s="192" t="s">
        <v>739</v>
      </c>
      <c r="H302" s="210" t="s">
        <v>1440</v>
      </c>
      <c r="I302" s="167">
        <v>343000000</v>
      </c>
      <c r="J302" s="166"/>
      <c r="K302" s="167">
        <v>343000000</v>
      </c>
      <c r="L302" s="171"/>
      <c r="M302" s="168">
        <f t="shared" si="29"/>
        <v>343000000</v>
      </c>
      <c r="N302" s="171"/>
      <c r="O302" s="167">
        <v>343000000</v>
      </c>
      <c r="P302" s="167">
        <f t="shared" si="30"/>
        <v>343000000</v>
      </c>
      <c r="Q302" s="167"/>
      <c r="S302" s="201">
        <f t="shared" si="31"/>
        <v>343</v>
      </c>
      <c r="T302" s="201">
        <f t="shared" si="32"/>
        <v>343</v>
      </c>
      <c r="U302" s="201">
        <f t="shared" si="32"/>
        <v>0</v>
      </c>
      <c r="V302" s="201">
        <f t="shared" si="32"/>
        <v>343</v>
      </c>
      <c r="W302" s="201">
        <f t="shared" si="32"/>
        <v>343</v>
      </c>
      <c r="X302" s="201">
        <f t="shared" si="32"/>
        <v>0</v>
      </c>
    </row>
    <row r="303" spans="1:24" s="169" customFormat="1" ht="26.4">
      <c r="A303" s="192" t="s">
        <v>815</v>
      </c>
      <c r="B303" s="170" t="s">
        <v>816</v>
      </c>
      <c r="C303" s="183" t="str">
        <f t="shared" si="27"/>
        <v>1037416</v>
      </c>
      <c r="D303" s="182" t="str">
        <f t="shared" si="28"/>
        <v>-Hạt kiềm lâm huyện Đak Glei</v>
      </c>
      <c r="E303" s="206"/>
      <c r="F303" s="207"/>
      <c r="G303" s="207"/>
      <c r="H303" s="205"/>
      <c r="I303" s="167">
        <v>3838214000</v>
      </c>
      <c r="J303" s="166"/>
      <c r="K303" s="167">
        <v>3338300000</v>
      </c>
      <c r="L303" s="168">
        <v>499914000</v>
      </c>
      <c r="M303" s="168">
        <f t="shared" si="29"/>
        <v>3838214000</v>
      </c>
      <c r="N303" s="168"/>
      <c r="O303" s="167">
        <v>3826769000</v>
      </c>
      <c r="P303" s="167">
        <f t="shared" si="30"/>
        <v>3826769000</v>
      </c>
      <c r="Q303" s="167"/>
      <c r="S303" s="201">
        <f t="shared" si="31"/>
        <v>3838.2139999999999</v>
      </c>
      <c r="T303" s="201">
        <f t="shared" si="32"/>
        <v>3838.2139999999999</v>
      </c>
      <c r="U303" s="201">
        <f t="shared" si="32"/>
        <v>0</v>
      </c>
      <c r="V303" s="201">
        <f t="shared" si="32"/>
        <v>3826.7689999999998</v>
      </c>
      <c r="W303" s="201">
        <f t="shared" si="32"/>
        <v>3826.7689999999998</v>
      </c>
      <c r="X303" s="201">
        <f t="shared" si="32"/>
        <v>0</v>
      </c>
    </row>
    <row r="304" spans="1:24" s="169" customFormat="1" ht="13.8">
      <c r="A304" s="192" t="s">
        <v>817</v>
      </c>
      <c r="B304" s="170" t="s">
        <v>675</v>
      </c>
      <c r="C304" s="183" t="str">
        <f t="shared" si="27"/>
        <v/>
      </c>
      <c r="D304" s="182" t="str">
        <f t="shared" si="28"/>
        <v/>
      </c>
      <c r="E304" s="206"/>
      <c r="F304" s="207"/>
      <c r="G304" s="207"/>
      <c r="H304" s="205"/>
      <c r="I304" s="167">
        <v>3838214000</v>
      </c>
      <c r="J304" s="166"/>
      <c r="K304" s="167">
        <v>3338300000</v>
      </c>
      <c r="L304" s="168">
        <v>499914000</v>
      </c>
      <c r="M304" s="168">
        <f t="shared" si="29"/>
        <v>3838214000</v>
      </c>
      <c r="N304" s="168"/>
      <c r="O304" s="167">
        <v>3826769000</v>
      </c>
      <c r="P304" s="167">
        <f t="shared" si="30"/>
        <v>3826769000</v>
      </c>
      <c r="Q304" s="167"/>
      <c r="S304" s="201">
        <f t="shared" si="31"/>
        <v>3838.2139999999999</v>
      </c>
      <c r="T304" s="201">
        <f t="shared" si="32"/>
        <v>3838.2139999999999</v>
      </c>
      <c r="U304" s="201">
        <f t="shared" si="32"/>
        <v>0</v>
      </c>
      <c r="V304" s="201">
        <f t="shared" si="32"/>
        <v>3826.7689999999998</v>
      </c>
      <c r="W304" s="201">
        <f t="shared" si="32"/>
        <v>3826.7689999999998</v>
      </c>
      <c r="X304" s="201">
        <f t="shared" si="32"/>
        <v>0</v>
      </c>
    </row>
    <row r="305" spans="1:24" s="169" customFormat="1" ht="13.8">
      <c r="A305" s="192"/>
      <c r="B305" s="170" t="s">
        <v>676</v>
      </c>
      <c r="C305" s="183" t="str">
        <f t="shared" si="27"/>
        <v/>
      </c>
      <c r="D305" s="182" t="str">
        <f t="shared" si="28"/>
        <v/>
      </c>
      <c r="E305" s="206"/>
      <c r="F305" s="207"/>
      <c r="G305" s="207"/>
      <c r="H305" s="205"/>
      <c r="I305" s="167">
        <v>3084300000</v>
      </c>
      <c r="J305" s="166"/>
      <c r="K305" s="167">
        <v>3005300000</v>
      </c>
      <c r="L305" s="168">
        <v>79000000</v>
      </c>
      <c r="M305" s="168">
        <f t="shared" si="29"/>
        <v>3084300000</v>
      </c>
      <c r="N305" s="168"/>
      <c r="O305" s="167">
        <v>3084300000</v>
      </c>
      <c r="P305" s="167">
        <f t="shared" si="30"/>
        <v>3084300000</v>
      </c>
      <c r="Q305" s="167"/>
      <c r="S305" s="201">
        <f t="shared" si="31"/>
        <v>3084.3</v>
      </c>
      <c r="T305" s="201">
        <f t="shared" si="32"/>
        <v>3084.3</v>
      </c>
      <c r="U305" s="201">
        <f t="shared" si="32"/>
        <v>0</v>
      </c>
      <c r="V305" s="201">
        <f t="shared" si="32"/>
        <v>3084.3</v>
      </c>
      <c r="W305" s="201">
        <f t="shared" si="32"/>
        <v>3084.3</v>
      </c>
      <c r="X305" s="201">
        <f t="shared" si="32"/>
        <v>0</v>
      </c>
    </row>
    <row r="306" spans="1:24" s="169" customFormat="1" ht="13.8">
      <c r="A306" s="193"/>
      <c r="B306" s="187"/>
      <c r="C306" s="183" t="str">
        <f t="shared" si="27"/>
        <v/>
      </c>
      <c r="D306" s="182" t="str">
        <f t="shared" si="28"/>
        <v/>
      </c>
      <c r="E306" s="192" t="s">
        <v>666</v>
      </c>
      <c r="F306" s="192" t="s">
        <v>698</v>
      </c>
      <c r="G306" s="192" t="s">
        <v>695</v>
      </c>
      <c r="H306" s="210" t="s">
        <v>1440</v>
      </c>
      <c r="I306" s="167">
        <v>3005300000</v>
      </c>
      <c r="J306" s="166"/>
      <c r="K306" s="167">
        <v>3005300000</v>
      </c>
      <c r="L306" s="171"/>
      <c r="M306" s="168">
        <f t="shared" si="29"/>
        <v>3005300000</v>
      </c>
      <c r="N306" s="171"/>
      <c r="O306" s="167">
        <v>3005300000</v>
      </c>
      <c r="P306" s="167">
        <f t="shared" si="30"/>
        <v>3005300000</v>
      </c>
      <c r="Q306" s="167"/>
      <c r="S306" s="201">
        <f t="shared" si="31"/>
        <v>3005.3</v>
      </c>
      <c r="T306" s="201">
        <f t="shared" si="32"/>
        <v>3005.3</v>
      </c>
      <c r="U306" s="201">
        <f t="shared" si="32"/>
        <v>0</v>
      </c>
      <c r="V306" s="201">
        <f t="shared" si="32"/>
        <v>3005.3</v>
      </c>
      <c r="W306" s="201">
        <f t="shared" si="32"/>
        <v>3005.3</v>
      </c>
      <c r="X306" s="201">
        <f t="shared" si="32"/>
        <v>0</v>
      </c>
    </row>
    <row r="307" spans="1:24" s="169" customFormat="1" ht="13.8">
      <c r="A307" s="195"/>
      <c r="B307" s="188"/>
      <c r="C307" s="183" t="str">
        <f t="shared" si="27"/>
        <v/>
      </c>
      <c r="D307" s="182" t="str">
        <f t="shared" si="28"/>
        <v/>
      </c>
      <c r="E307" s="192" t="s">
        <v>679</v>
      </c>
      <c r="F307" s="192" t="s">
        <v>698</v>
      </c>
      <c r="G307" s="192" t="s">
        <v>695</v>
      </c>
      <c r="H307" s="210" t="s">
        <v>1440</v>
      </c>
      <c r="I307" s="167">
        <v>79000000</v>
      </c>
      <c r="J307" s="166"/>
      <c r="K307" s="166"/>
      <c r="L307" s="168">
        <v>79000000</v>
      </c>
      <c r="M307" s="168">
        <f t="shared" si="29"/>
        <v>79000000</v>
      </c>
      <c r="N307" s="168"/>
      <c r="O307" s="167">
        <v>79000000</v>
      </c>
      <c r="P307" s="167">
        <f t="shared" si="30"/>
        <v>79000000</v>
      </c>
      <c r="Q307" s="167"/>
      <c r="S307" s="201">
        <f t="shared" si="31"/>
        <v>79</v>
      </c>
      <c r="T307" s="201">
        <f t="shared" si="32"/>
        <v>79</v>
      </c>
      <c r="U307" s="201">
        <f t="shared" si="32"/>
        <v>0</v>
      </c>
      <c r="V307" s="201">
        <f t="shared" si="32"/>
        <v>79</v>
      </c>
      <c r="W307" s="201">
        <f t="shared" si="32"/>
        <v>79</v>
      </c>
      <c r="X307" s="201">
        <f t="shared" si="32"/>
        <v>0</v>
      </c>
    </row>
    <row r="308" spans="1:24" s="169" customFormat="1" ht="13.8">
      <c r="A308" s="192"/>
      <c r="B308" s="170" t="s">
        <v>680</v>
      </c>
      <c r="C308" s="183" t="str">
        <f t="shared" si="27"/>
        <v/>
      </c>
      <c r="D308" s="182" t="str">
        <f t="shared" si="28"/>
        <v/>
      </c>
      <c r="E308" s="206"/>
      <c r="F308" s="207"/>
      <c r="G308" s="207"/>
      <c r="H308" s="205"/>
      <c r="I308" s="167">
        <v>753914000</v>
      </c>
      <c r="J308" s="166"/>
      <c r="K308" s="167">
        <v>333000000</v>
      </c>
      <c r="L308" s="168">
        <v>420914000</v>
      </c>
      <c r="M308" s="168">
        <f t="shared" si="29"/>
        <v>753914000</v>
      </c>
      <c r="N308" s="168"/>
      <c r="O308" s="167">
        <v>742469000</v>
      </c>
      <c r="P308" s="167">
        <f t="shared" si="30"/>
        <v>742469000</v>
      </c>
      <c r="Q308" s="167"/>
      <c r="S308" s="201">
        <f t="shared" si="31"/>
        <v>753.91399999999999</v>
      </c>
      <c r="T308" s="201">
        <f t="shared" si="32"/>
        <v>753.91399999999999</v>
      </c>
      <c r="U308" s="201">
        <f t="shared" si="32"/>
        <v>0</v>
      </c>
      <c r="V308" s="201">
        <f t="shared" si="32"/>
        <v>742.46900000000005</v>
      </c>
      <c r="W308" s="201">
        <f t="shared" si="32"/>
        <v>742.46900000000005</v>
      </c>
      <c r="X308" s="201">
        <f t="shared" si="32"/>
        <v>0</v>
      </c>
    </row>
    <row r="309" spans="1:24" s="169" customFormat="1" ht="13.8">
      <c r="A309" s="193"/>
      <c r="B309" s="187"/>
      <c r="C309" s="183" t="str">
        <f t="shared" si="27"/>
        <v/>
      </c>
      <c r="D309" s="182" t="str">
        <f t="shared" si="28"/>
        <v/>
      </c>
      <c r="E309" s="192" t="s">
        <v>681</v>
      </c>
      <c r="F309" s="192" t="s">
        <v>698</v>
      </c>
      <c r="G309" s="192" t="s">
        <v>699</v>
      </c>
      <c r="H309" s="210" t="s">
        <v>1440</v>
      </c>
      <c r="I309" s="167">
        <v>133000000</v>
      </c>
      <c r="J309" s="166"/>
      <c r="K309" s="167">
        <v>133000000</v>
      </c>
      <c r="L309" s="171"/>
      <c r="M309" s="168">
        <f t="shared" si="29"/>
        <v>133000000</v>
      </c>
      <c r="N309" s="171"/>
      <c r="O309" s="167">
        <v>133000000</v>
      </c>
      <c r="P309" s="167">
        <f t="shared" si="30"/>
        <v>133000000</v>
      </c>
      <c r="Q309" s="167"/>
      <c r="S309" s="201">
        <f t="shared" si="31"/>
        <v>133</v>
      </c>
      <c r="T309" s="201">
        <f t="shared" si="32"/>
        <v>133</v>
      </c>
      <c r="U309" s="201">
        <f t="shared" si="32"/>
        <v>0</v>
      </c>
      <c r="V309" s="201">
        <f t="shared" si="32"/>
        <v>133</v>
      </c>
      <c r="W309" s="201">
        <f t="shared" si="32"/>
        <v>133</v>
      </c>
      <c r="X309" s="201">
        <f t="shared" si="32"/>
        <v>0</v>
      </c>
    </row>
    <row r="310" spans="1:24" s="169" customFormat="1" ht="13.8">
      <c r="A310" s="195"/>
      <c r="B310" s="188"/>
      <c r="C310" s="183" t="str">
        <f t="shared" si="27"/>
        <v/>
      </c>
      <c r="D310" s="182" t="str">
        <f t="shared" si="28"/>
        <v/>
      </c>
      <c r="E310" s="192" t="s">
        <v>681</v>
      </c>
      <c r="F310" s="192" t="s">
        <v>698</v>
      </c>
      <c r="G310" s="192" t="s">
        <v>695</v>
      </c>
      <c r="H310" s="210" t="s">
        <v>1440</v>
      </c>
      <c r="I310" s="167">
        <v>620914000</v>
      </c>
      <c r="J310" s="166"/>
      <c r="K310" s="167">
        <v>200000000</v>
      </c>
      <c r="L310" s="168">
        <v>420914000</v>
      </c>
      <c r="M310" s="168">
        <f t="shared" si="29"/>
        <v>620914000</v>
      </c>
      <c r="N310" s="168"/>
      <c r="O310" s="167">
        <v>609469000</v>
      </c>
      <c r="P310" s="167">
        <f t="shared" si="30"/>
        <v>609469000</v>
      </c>
      <c r="Q310" s="167"/>
      <c r="S310" s="201">
        <f t="shared" si="31"/>
        <v>620.91399999999999</v>
      </c>
      <c r="T310" s="201">
        <f t="shared" si="32"/>
        <v>620.91399999999999</v>
      </c>
      <c r="U310" s="201">
        <f t="shared" si="32"/>
        <v>0</v>
      </c>
      <c r="V310" s="201">
        <f t="shared" si="32"/>
        <v>609.46900000000005</v>
      </c>
      <c r="W310" s="201">
        <f t="shared" si="32"/>
        <v>609.46900000000005</v>
      </c>
      <c r="X310" s="201">
        <f t="shared" si="32"/>
        <v>0</v>
      </c>
    </row>
    <row r="311" spans="1:24" s="169" customFormat="1" ht="13.8">
      <c r="A311" s="192" t="s">
        <v>818</v>
      </c>
      <c r="B311" s="170" t="s">
        <v>819</v>
      </c>
      <c r="C311" s="183" t="str">
        <f t="shared" si="27"/>
        <v>1037418</v>
      </c>
      <c r="D311" s="182" t="str">
        <f t="shared" si="28"/>
        <v>-Hạt Kiểm lâm huyện Đak tô</v>
      </c>
      <c r="E311" s="206"/>
      <c r="F311" s="207"/>
      <c r="G311" s="207"/>
      <c r="H311" s="205"/>
      <c r="I311" s="167">
        <v>2673300000</v>
      </c>
      <c r="J311" s="166"/>
      <c r="K311" s="167">
        <v>2574300000</v>
      </c>
      <c r="L311" s="168">
        <v>99000000</v>
      </c>
      <c r="M311" s="168">
        <f t="shared" si="29"/>
        <v>2673300000</v>
      </c>
      <c r="N311" s="168"/>
      <c r="O311" s="167">
        <v>2664070000</v>
      </c>
      <c r="P311" s="167">
        <f t="shared" si="30"/>
        <v>2664070000</v>
      </c>
      <c r="Q311" s="167"/>
      <c r="S311" s="201">
        <f t="shared" si="31"/>
        <v>2673.3</v>
      </c>
      <c r="T311" s="201">
        <f t="shared" si="32"/>
        <v>2673.3</v>
      </c>
      <c r="U311" s="201">
        <f t="shared" si="32"/>
        <v>0</v>
      </c>
      <c r="V311" s="201">
        <f t="shared" si="32"/>
        <v>2664.07</v>
      </c>
      <c r="W311" s="201">
        <f t="shared" si="32"/>
        <v>2664.07</v>
      </c>
      <c r="X311" s="201">
        <f t="shared" si="32"/>
        <v>0</v>
      </c>
    </row>
    <row r="312" spans="1:24" s="169" customFormat="1" ht="13.8">
      <c r="A312" s="192" t="s">
        <v>820</v>
      </c>
      <c r="B312" s="170" t="s">
        <v>675</v>
      </c>
      <c r="C312" s="183" t="str">
        <f t="shared" si="27"/>
        <v/>
      </c>
      <c r="D312" s="182" t="str">
        <f t="shared" si="28"/>
        <v/>
      </c>
      <c r="E312" s="206"/>
      <c r="F312" s="207"/>
      <c r="G312" s="207"/>
      <c r="H312" s="205"/>
      <c r="I312" s="167">
        <v>2673300000</v>
      </c>
      <c r="J312" s="166"/>
      <c r="K312" s="167">
        <v>2574300000</v>
      </c>
      <c r="L312" s="168">
        <v>99000000</v>
      </c>
      <c r="M312" s="168">
        <f t="shared" si="29"/>
        <v>2673300000</v>
      </c>
      <c r="N312" s="168"/>
      <c r="O312" s="167">
        <v>2664070000</v>
      </c>
      <c r="P312" s="167">
        <f t="shared" si="30"/>
        <v>2664070000</v>
      </c>
      <c r="Q312" s="167"/>
      <c r="S312" s="201">
        <f t="shared" si="31"/>
        <v>2673.3</v>
      </c>
      <c r="T312" s="201">
        <f t="shared" si="32"/>
        <v>2673.3</v>
      </c>
      <c r="U312" s="201">
        <f t="shared" si="32"/>
        <v>0</v>
      </c>
      <c r="V312" s="201">
        <f t="shared" si="32"/>
        <v>2664.07</v>
      </c>
      <c r="W312" s="201">
        <f t="shared" si="32"/>
        <v>2664.07</v>
      </c>
      <c r="X312" s="201">
        <f t="shared" si="32"/>
        <v>0</v>
      </c>
    </row>
    <row r="313" spans="1:24" s="169" customFormat="1" ht="13.8">
      <c r="A313" s="192"/>
      <c r="B313" s="173"/>
      <c r="C313" s="183" t="str">
        <f t="shared" si="27"/>
        <v/>
      </c>
      <c r="D313" s="182" t="str">
        <f t="shared" si="28"/>
        <v/>
      </c>
      <c r="E313" s="192"/>
      <c r="F313" s="192"/>
      <c r="G313" s="192"/>
      <c r="H313" s="210"/>
      <c r="I313" s="174"/>
      <c r="J313" s="174"/>
      <c r="K313" s="174"/>
      <c r="L313" s="175"/>
      <c r="M313" s="168">
        <f t="shared" si="29"/>
        <v>0</v>
      </c>
      <c r="N313" s="175"/>
      <c r="O313" s="174"/>
      <c r="P313" s="167">
        <f t="shared" si="30"/>
        <v>0</v>
      </c>
      <c r="Q313" s="174"/>
      <c r="S313" s="201">
        <f t="shared" si="31"/>
        <v>0</v>
      </c>
      <c r="T313" s="201">
        <f t="shared" si="32"/>
        <v>0</v>
      </c>
      <c r="U313" s="201">
        <f t="shared" si="32"/>
        <v>0</v>
      </c>
      <c r="V313" s="201">
        <f t="shared" si="32"/>
        <v>0</v>
      </c>
      <c r="W313" s="201">
        <f t="shared" si="32"/>
        <v>0</v>
      </c>
      <c r="X313" s="201">
        <f t="shared" si="32"/>
        <v>0</v>
      </c>
    </row>
    <row r="314" spans="1:24" s="169" customFormat="1" ht="13.8">
      <c r="A314" s="192"/>
      <c r="B314" s="164" t="s">
        <v>676</v>
      </c>
      <c r="C314" s="183" t="str">
        <f t="shared" si="27"/>
        <v/>
      </c>
      <c r="D314" s="182" t="str">
        <f t="shared" si="28"/>
        <v/>
      </c>
      <c r="E314" s="206"/>
      <c r="F314" s="207"/>
      <c r="G314" s="207"/>
      <c r="H314" s="205"/>
      <c r="I314" s="167">
        <v>2517300000</v>
      </c>
      <c r="J314" s="166"/>
      <c r="K314" s="167">
        <v>2434300000</v>
      </c>
      <c r="L314" s="168">
        <v>83000000</v>
      </c>
      <c r="M314" s="168">
        <f t="shared" si="29"/>
        <v>2517300000</v>
      </c>
      <c r="N314" s="168"/>
      <c r="O314" s="167">
        <v>2517300000</v>
      </c>
      <c r="P314" s="167">
        <f t="shared" si="30"/>
        <v>2517300000</v>
      </c>
      <c r="Q314" s="167"/>
      <c r="S314" s="201">
        <f t="shared" si="31"/>
        <v>2517.3000000000002</v>
      </c>
      <c r="T314" s="201">
        <f t="shared" si="32"/>
        <v>2517.3000000000002</v>
      </c>
      <c r="U314" s="201">
        <f t="shared" si="32"/>
        <v>0</v>
      </c>
      <c r="V314" s="201">
        <f t="shared" si="32"/>
        <v>2517.3000000000002</v>
      </c>
      <c r="W314" s="201">
        <f t="shared" si="32"/>
        <v>2517.3000000000002</v>
      </c>
      <c r="X314" s="201">
        <f t="shared" si="32"/>
        <v>0</v>
      </c>
    </row>
    <row r="315" spans="1:24" s="169" customFormat="1" ht="13.8">
      <c r="A315" s="193"/>
      <c r="B315" s="187"/>
      <c r="C315" s="183" t="str">
        <f t="shared" si="27"/>
        <v/>
      </c>
      <c r="D315" s="182" t="str">
        <f t="shared" si="28"/>
        <v/>
      </c>
      <c r="E315" s="192" t="s">
        <v>666</v>
      </c>
      <c r="F315" s="192" t="s">
        <v>698</v>
      </c>
      <c r="G315" s="192" t="s">
        <v>695</v>
      </c>
      <c r="H315" s="210" t="s">
        <v>1440</v>
      </c>
      <c r="I315" s="167">
        <v>2434300000</v>
      </c>
      <c r="J315" s="166"/>
      <c r="K315" s="167">
        <v>2434300000</v>
      </c>
      <c r="L315" s="171"/>
      <c r="M315" s="168">
        <f t="shared" si="29"/>
        <v>2434300000</v>
      </c>
      <c r="N315" s="171"/>
      <c r="O315" s="167">
        <v>2434300000</v>
      </c>
      <c r="P315" s="167">
        <f t="shared" si="30"/>
        <v>2434300000</v>
      </c>
      <c r="Q315" s="167"/>
      <c r="S315" s="201">
        <f t="shared" si="31"/>
        <v>2434.3000000000002</v>
      </c>
      <c r="T315" s="201">
        <f t="shared" si="32"/>
        <v>2434.3000000000002</v>
      </c>
      <c r="U315" s="201">
        <f t="shared" si="32"/>
        <v>0</v>
      </c>
      <c r="V315" s="201">
        <f t="shared" si="32"/>
        <v>2434.3000000000002</v>
      </c>
      <c r="W315" s="201">
        <f t="shared" si="32"/>
        <v>2434.3000000000002</v>
      </c>
      <c r="X315" s="201">
        <f t="shared" si="32"/>
        <v>0</v>
      </c>
    </row>
    <row r="316" spans="1:24" s="169" customFormat="1" ht="13.8">
      <c r="A316" s="195"/>
      <c r="B316" s="188"/>
      <c r="C316" s="183" t="str">
        <f t="shared" si="27"/>
        <v/>
      </c>
      <c r="D316" s="182" t="str">
        <f t="shared" si="28"/>
        <v/>
      </c>
      <c r="E316" s="192" t="s">
        <v>679</v>
      </c>
      <c r="F316" s="192" t="s">
        <v>698</v>
      </c>
      <c r="G316" s="192" t="s">
        <v>695</v>
      </c>
      <c r="H316" s="210" t="s">
        <v>1440</v>
      </c>
      <c r="I316" s="167">
        <v>83000000</v>
      </c>
      <c r="J316" s="166"/>
      <c r="K316" s="166"/>
      <c r="L316" s="168">
        <v>83000000</v>
      </c>
      <c r="M316" s="168">
        <f t="shared" si="29"/>
        <v>83000000</v>
      </c>
      <c r="N316" s="168"/>
      <c r="O316" s="167">
        <v>83000000</v>
      </c>
      <c r="P316" s="167">
        <f t="shared" si="30"/>
        <v>83000000</v>
      </c>
      <c r="Q316" s="167"/>
      <c r="S316" s="201">
        <f t="shared" si="31"/>
        <v>83</v>
      </c>
      <c r="T316" s="201">
        <f t="shared" si="32"/>
        <v>83</v>
      </c>
      <c r="U316" s="201">
        <f t="shared" si="32"/>
        <v>0</v>
      </c>
      <c r="V316" s="201">
        <f t="shared" si="32"/>
        <v>83</v>
      </c>
      <c r="W316" s="201">
        <f t="shared" si="32"/>
        <v>83</v>
      </c>
      <c r="X316" s="201">
        <f t="shared" si="32"/>
        <v>0</v>
      </c>
    </row>
    <row r="317" spans="1:24" s="169" customFormat="1" ht="13.8">
      <c r="A317" s="192"/>
      <c r="B317" s="164" t="s">
        <v>680</v>
      </c>
      <c r="C317" s="183" t="str">
        <f t="shared" si="27"/>
        <v/>
      </c>
      <c r="D317" s="182" t="str">
        <f t="shared" si="28"/>
        <v/>
      </c>
      <c r="E317" s="206"/>
      <c r="F317" s="207"/>
      <c r="G317" s="207"/>
      <c r="H317" s="205"/>
      <c r="I317" s="167">
        <v>156000000</v>
      </c>
      <c r="J317" s="166"/>
      <c r="K317" s="167">
        <v>140000000</v>
      </c>
      <c r="L317" s="168">
        <v>16000000</v>
      </c>
      <c r="M317" s="168">
        <f t="shared" si="29"/>
        <v>156000000</v>
      </c>
      <c r="N317" s="168"/>
      <c r="O317" s="167">
        <v>146770000</v>
      </c>
      <c r="P317" s="167">
        <f t="shared" si="30"/>
        <v>146770000</v>
      </c>
      <c r="Q317" s="167"/>
      <c r="S317" s="201">
        <f t="shared" si="31"/>
        <v>156</v>
      </c>
      <c r="T317" s="201">
        <f t="shared" si="32"/>
        <v>156</v>
      </c>
      <c r="U317" s="201">
        <f t="shared" si="32"/>
        <v>0</v>
      </c>
      <c r="V317" s="201">
        <f t="shared" si="32"/>
        <v>146.77000000000001</v>
      </c>
      <c r="W317" s="201">
        <f t="shared" si="32"/>
        <v>146.77000000000001</v>
      </c>
      <c r="X317" s="201">
        <f t="shared" si="32"/>
        <v>0</v>
      </c>
    </row>
    <row r="318" spans="1:24" s="169" customFormat="1" ht="13.8">
      <c r="A318" s="193"/>
      <c r="B318" s="187"/>
      <c r="C318" s="183" t="str">
        <f t="shared" si="27"/>
        <v/>
      </c>
      <c r="D318" s="182" t="str">
        <f t="shared" si="28"/>
        <v/>
      </c>
      <c r="E318" s="192" t="s">
        <v>681</v>
      </c>
      <c r="F318" s="192" t="s">
        <v>698</v>
      </c>
      <c r="G318" s="192" t="s">
        <v>699</v>
      </c>
      <c r="H318" s="210" t="s">
        <v>1440</v>
      </c>
      <c r="I318" s="167">
        <v>140000000</v>
      </c>
      <c r="J318" s="166"/>
      <c r="K318" s="167">
        <v>140000000</v>
      </c>
      <c r="L318" s="171"/>
      <c r="M318" s="168">
        <f t="shared" si="29"/>
        <v>140000000</v>
      </c>
      <c r="N318" s="171"/>
      <c r="O318" s="167">
        <v>130770000</v>
      </c>
      <c r="P318" s="167">
        <f t="shared" si="30"/>
        <v>130770000</v>
      </c>
      <c r="Q318" s="167"/>
      <c r="S318" s="201">
        <f t="shared" si="31"/>
        <v>140</v>
      </c>
      <c r="T318" s="201">
        <f t="shared" si="32"/>
        <v>140</v>
      </c>
      <c r="U318" s="201">
        <f t="shared" si="32"/>
        <v>0</v>
      </c>
      <c r="V318" s="201">
        <f t="shared" si="32"/>
        <v>130.77000000000001</v>
      </c>
      <c r="W318" s="201">
        <f t="shared" si="32"/>
        <v>130.77000000000001</v>
      </c>
      <c r="X318" s="201">
        <f t="shared" si="32"/>
        <v>0</v>
      </c>
    </row>
    <row r="319" spans="1:24" s="169" customFormat="1" ht="13.8">
      <c r="A319" s="195"/>
      <c r="B319" s="188"/>
      <c r="C319" s="183" t="str">
        <f t="shared" si="27"/>
        <v/>
      </c>
      <c r="D319" s="182" t="str">
        <f t="shared" si="28"/>
        <v/>
      </c>
      <c r="E319" s="192" t="s">
        <v>681</v>
      </c>
      <c r="F319" s="192" t="s">
        <v>698</v>
      </c>
      <c r="G319" s="192" t="s">
        <v>695</v>
      </c>
      <c r="H319" s="210" t="s">
        <v>1440</v>
      </c>
      <c r="I319" s="167">
        <v>16000000</v>
      </c>
      <c r="J319" s="166"/>
      <c r="K319" s="166"/>
      <c r="L319" s="168">
        <v>16000000</v>
      </c>
      <c r="M319" s="168">
        <f t="shared" si="29"/>
        <v>16000000</v>
      </c>
      <c r="N319" s="168"/>
      <c r="O319" s="167">
        <v>16000000</v>
      </c>
      <c r="P319" s="167">
        <f t="shared" si="30"/>
        <v>16000000</v>
      </c>
      <c r="Q319" s="167"/>
      <c r="S319" s="201">
        <f t="shared" si="31"/>
        <v>16</v>
      </c>
      <c r="T319" s="201">
        <f t="shared" si="32"/>
        <v>16</v>
      </c>
      <c r="U319" s="201">
        <f t="shared" si="32"/>
        <v>0</v>
      </c>
      <c r="V319" s="201">
        <f t="shared" si="32"/>
        <v>16</v>
      </c>
      <c r="W319" s="201">
        <f t="shared" si="32"/>
        <v>16</v>
      </c>
      <c r="X319" s="201">
        <f t="shared" si="32"/>
        <v>0</v>
      </c>
    </row>
    <row r="320" spans="1:24" s="169" customFormat="1" ht="13.8">
      <c r="A320" s="192" t="s">
        <v>821</v>
      </c>
      <c r="B320" s="164" t="s">
        <v>822</v>
      </c>
      <c r="C320" s="183" t="str">
        <f t="shared" si="27"/>
        <v>1037419</v>
      </c>
      <c r="D320" s="182" t="str">
        <f t="shared" si="28"/>
        <v>-Hạt Kiềm lâm huyện Đak hà</v>
      </c>
      <c r="E320" s="206"/>
      <c r="F320" s="207"/>
      <c r="G320" s="207"/>
      <c r="H320" s="205"/>
      <c r="I320" s="167">
        <v>3136154000</v>
      </c>
      <c r="J320" s="166"/>
      <c r="K320" s="167">
        <v>2909000000</v>
      </c>
      <c r="L320" s="168">
        <v>227154000</v>
      </c>
      <c r="M320" s="168">
        <f t="shared" si="29"/>
        <v>3136154000</v>
      </c>
      <c r="N320" s="168"/>
      <c r="O320" s="167">
        <v>3123153000</v>
      </c>
      <c r="P320" s="167">
        <f t="shared" si="30"/>
        <v>3123153000</v>
      </c>
      <c r="Q320" s="167"/>
      <c r="S320" s="201">
        <f t="shared" si="31"/>
        <v>3136.154</v>
      </c>
      <c r="T320" s="201">
        <f t="shared" si="32"/>
        <v>3136.154</v>
      </c>
      <c r="U320" s="201">
        <f t="shared" si="32"/>
        <v>0</v>
      </c>
      <c r="V320" s="201">
        <f t="shared" si="32"/>
        <v>3123.1529999999998</v>
      </c>
      <c r="W320" s="201">
        <f t="shared" si="32"/>
        <v>3123.1529999999998</v>
      </c>
      <c r="X320" s="201">
        <f t="shared" si="32"/>
        <v>0</v>
      </c>
    </row>
    <row r="321" spans="1:24" s="169" customFormat="1" ht="13.8">
      <c r="A321" s="192" t="s">
        <v>823</v>
      </c>
      <c r="B321" s="164" t="s">
        <v>675</v>
      </c>
      <c r="C321" s="183" t="str">
        <f t="shared" si="27"/>
        <v/>
      </c>
      <c r="D321" s="182" t="str">
        <f t="shared" si="28"/>
        <v/>
      </c>
      <c r="E321" s="206"/>
      <c r="F321" s="207"/>
      <c r="G321" s="207"/>
      <c r="H321" s="205"/>
      <c r="I321" s="167">
        <v>3136154000</v>
      </c>
      <c r="J321" s="166"/>
      <c r="K321" s="167">
        <v>2909000000</v>
      </c>
      <c r="L321" s="168">
        <v>227154000</v>
      </c>
      <c r="M321" s="168">
        <f t="shared" si="29"/>
        <v>3136154000</v>
      </c>
      <c r="N321" s="168"/>
      <c r="O321" s="167">
        <v>3123153000</v>
      </c>
      <c r="P321" s="167">
        <f t="shared" si="30"/>
        <v>3123153000</v>
      </c>
      <c r="Q321" s="167"/>
      <c r="S321" s="201">
        <f t="shared" si="31"/>
        <v>3136.154</v>
      </c>
      <c r="T321" s="201">
        <f t="shared" si="32"/>
        <v>3136.154</v>
      </c>
      <c r="U321" s="201">
        <f t="shared" si="32"/>
        <v>0</v>
      </c>
      <c r="V321" s="201">
        <f t="shared" si="32"/>
        <v>3123.1529999999998</v>
      </c>
      <c r="W321" s="201">
        <f t="shared" si="32"/>
        <v>3123.1529999999998</v>
      </c>
      <c r="X321" s="201">
        <f t="shared" si="32"/>
        <v>0</v>
      </c>
    </row>
    <row r="322" spans="1:24" s="169" customFormat="1" ht="13.8">
      <c r="A322" s="192"/>
      <c r="B322" s="164" t="s">
        <v>676</v>
      </c>
      <c r="C322" s="183" t="str">
        <f t="shared" si="27"/>
        <v/>
      </c>
      <c r="D322" s="182" t="str">
        <f t="shared" si="28"/>
        <v/>
      </c>
      <c r="E322" s="206"/>
      <c r="F322" s="207"/>
      <c r="G322" s="207"/>
      <c r="H322" s="205"/>
      <c r="I322" s="167">
        <v>2862000000</v>
      </c>
      <c r="J322" s="166"/>
      <c r="K322" s="167">
        <v>2779000000</v>
      </c>
      <c r="L322" s="168">
        <v>83000000</v>
      </c>
      <c r="M322" s="168">
        <f t="shared" si="29"/>
        <v>2862000000</v>
      </c>
      <c r="N322" s="168"/>
      <c r="O322" s="167">
        <v>2849000000</v>
      </c>
      <c r="P322" s="167">
        <f t="shared" si="30"/>
        <v>2849000000</v>
      </c>
      <c r="Q322" s="167"/>
      <c r="S322" s="201">
        <f t="shared" si="31"/>
        <v>2862</v>
      </c>
      <c r="T322" s="201">
        <f t="shared" si="32"/>
        <v>2862</v>
      </c>
      <c r="U322" s="201">
        <f t="shared" si="32"/>
        <v>0</v>
      </c>
      <c r="V322" s="201">
        <f t="shared" si="32"/>
        <v>2849</v>
      </c>
      <c r="W322" s="201">
        <f t="shared" si="32"/>
        <v>2849</v>
      </c>
      <c r="X322" s="201">
        <f t="shared" si="32"/>
        <v>0</v>
      </c>
    </row>
    <row r="323" spans="1:24" s="169" customFormat="1" ht="13.8">
      <c r="A323" s="193"/>
      <c r="B323" s="187"/>
      <c r="C323" s="183" t="str">
        <f t="shared" si="27"/>
        <v/>
      </c>
      <c r="D323" s="182" t="str">
        <f t="shared" si="28"/>
        <v/>
      </c>
      <c r="E323" s="192" t="s">
        <v>666</v>
      </c>
      <c r="F323" s="192" t="s">
        <v>698</v>
      </c>
      <c r="G323" s="192" t="s">
        <v>695</v>
      </c>
      <c r="H323" s="210" t="s">
        <v>1440</v>
      </c>
      <c r="I323" s="167">
        <v>2779000000</v>
      </c>
      <c r="J323" s="166"/>
      <c r="K323" s="167">
        <v>2779000000</v>
      </c>
      <c r="L323" s="171"/>
      <c r="M323" s="168">
        <f t="shared" si="29"/>
        <v>2779000000</v>
      </c>
      <c r="N323" s="171"/>
      <c r="O323" s="167">
        <v>2779000000</v>
      </c>
      <c r="P323" s="167">
        <f t="shared" si="30"/>
        <v>2779000000</v>
      </c>
      <c r="Q323" s="167"/>
      <c r="S323" s="201">
        <f t="shared" si="31"/>
        <v>2779</v>
      </c>
      <c r="T323" s="201">
        <f t="shared" si="32"/>
        <v>2779</v>
      </c>
      <c r="U323" s="201">
        <f t="shared" si="32"/>
        <v>0</v>
      </c>
      <c r="V323" s="201">
        <f t="shared" si="32"/>
        <v>2779</v>
      </c>
      <c r="W323" s="201">
        <f t="shared" si="32"/>
        <v>2779</v>
      </c>
      <c r="X323" s="201">
        <f t="shared" si="32"/>
        <v>0</v>
      </c>
    </row>
    <row r="324" spans="1:24" s="169" customFormat="1" ht="13.8">
      <c r="A324" s="195"/>
      <c r="B324" s="188"/>
      <c r="C324" s="183" t="str">
        <f t="shared" si="27"/>
        <v/>
      </c>
      <c r="D324" s="182" t="str">
        <f t="shared" si="28"/>
        <v/>
      </c>
      <c r="E324" s="192" t="s">
        <v>679</v>
      </c>
      <c r="F324" s="192" t="s">
        <v>698</v>
      </c>
      <c r="G324" s="192" t="s">
        <v>695</v>
      </c>
      <c r="H324" s="210" t="s">
        <v>1440</v>
      </c>
      <c r="I324" s="167">
        <v>83000000</v>
      </c>
      <c r="J324" s="166"/>
      <c r="K324" s="166"/>
      <c r="L324" s="168">
        <v>83000000</v>
      </c>
      <c r="M324" s="168">
        <f t="shared" si="29"/>
        <v>83000000</v>
      </c>
      <c r="N324" s="168"/>
      <c r="O324" s="167">
        <v>70000000</v>
      </c>
      <c r="P324" s="167">
        <f t="shared" si="30"/>
        <v>70000000</v>
      </c>
      <c r="Q324" s="167"/>
      <c r="S324" s="201">
        <f t="shared" si="31"/>
        <v>83</v>
      </c>
      <c r="T324" s="201">
        <f t="shared" si="32"/>
        <v>83</v>
      </c>
      <c r="U324" s="201">
        <f t="shared" si="32"/>
        <v>0</v>
      </c>
      <c r="V324" s="201">
        <f t="shared" si="32"/>
        <v>70</v>
      </c>
      <c r="W324" s="201">
        <f t="shared" si="32"/>
        <v>70</v>
      </c>
      <c r="X324" s="201">
        <f t="shared" si="32"/>
        <v>0</v>
      </c>
    </row>
    <row r="325" spans="1:24" s="169" customFormat="1" ht="13.8">
      <c r="A325" s="192"/>
      <c r="B325" s="164" t="s">
        <v>680</v>
      </c>
      <c r="C325" s="183" t="str">
        <f t="shared" si="27"/>
        <v/>
      </c>
      <c r="D325" s="182" t="str">
        <f t="shared" si="28"/>
        <v/>
      </c>
      <c r="E325" s="206"/>
      <c r="F325" s="207"/>
      <c r="G325" s="207"/>
      <c r="H325" s="205"/>
      <c r="I325" s="167">
        <v>274154000</v>
      </c>
      <c r="J325" s="166"/>
      <c r="K325" s="167">
        <v>130000000</v>
      </c>
      <c r="L325" s="168">
        <v>144154000</v>
      </c>
      <c r="M325" s="168">
        <f t="shared" si="29"/>
        <v>274154000</v>
      </c>
      <c r="N325" s="168"/>
      <c r="O325" s="167">
        <v>274153000</v>
      </c>
      <c r="P325" s="167">
        <f t="shared" si="30"/>
        <v>274153000</v>
      </c>
      <c r="Q325" s="167"/>
      <c r="S325" s="201">
        <f t="shared" si="31"/>
        <v>274.154</v>
      </c>
      <c r="T325" s="201">
        <f t="shared" si="32"/>
        <v>274.154</v>
      </c>
      <c r="U325" s="201">
        <f t="shared" si="32"/>
        <v>0</v>
      </c>
      <c r="V325" s="201">
        <f t="shared" si="32"/>
        <v>274.15300000000002</v>
      </c>
      <c r="W325" s="201">
        <f t="shared" si="32"/>
        <v>274.15300000000002</v>
      </c>
      <c r="X325" s="201">
        <f t="shared" si="32"/>
        <v>0</v>
      </c>
    </row>
    <row r="326" spans="1:24" s="169" customFormat="1" ht="13.8">
      <c r="A326" s="193"/>
      <c r="B326" s="187"/>
      <c r="C326" s="183" t="str">
        <f t="shared" si="27"/>
        <v/>
      </c>
      <c r="D326" s="182" t="str">
        <f t="shared" si="28"/>
        <v/>
      </c>
      <c r="E326" s="192" t="s">
        <v>681</v>
      </c>
      <c r="F326" s="192" t="s">
        <v>698</v>
      </c>
      <c r="G326" s="192" t="s">
        <v>699</v>
      </c>
      <c r="H326" s="210" t="s">
        <v>1440</v>
      </c>
      <c r="I326" s="167">
        <v>130000000</v>
      </c>
      <c r="J326" s="166"/>
      <c r="K326" s="167">
        <v>130000000</v>
      </c>
      <c r="L326" s="171"/>
      <c r="M326" s="168">
        <f t="shared" si="29"/>
        <v>130000000</v>
      </c>
      <c r="N326" s="171"/>
      <c r="O326" s="167">
        <v>130000000</v>
      </c>
      <c r="P326" s="167">
        <f t="shared" si="30"/>
        <v>130000000</v>
      </c>
      <c r="Q326" s="167"/>
      <c r="S326" s="201">
        <f t="shared" si="31"/>
        <v>130</v>
      </c>
      <c r="T326" s="201">
        <f t="shared" si="32"/>
        <v>130</v>
      </c>
      <c r="U326" s="201">
        <f t="shared" si="32"/>
        <v>0</v>
      </c>
      <c r="V326" s="201">
        <f t="shared" si="32"/>
        <v>130</v>
      </c>
      <c r="W326" s="201">
        <f t="shared" si="32"/>
        <v>130</v>
      </c>
      <c r="X326" s="201">
        <f t="shared" si="32"/>
        <v>0</v>
      </c>
    </row>
    <row r="327" spans="1:24" s="169" customFormat="1" ht="13.8">
      <c r="A327" s="195"/>
      <c r="B327" s="188"/>
      <c r="C327" s="183" t="str">
        <f t="shared" si="27"/>
        <v/>
      </c>
      <c r="D327" s="182" t="str">
        <f t="shared" si="28"/>
        <v/>
      </c>
      <c r="E327" s="192" t="s">
        <v>681</v>
      </c>
      <c r="F327" s="192" t="s">
        <v>698</v>
      </c>
      <c r="G327" s="192" t="s">
        <v>695</v>
      </c>
      <c r="H327" s="210" t="s">
        <v>1440</v>
      </c>
      <c r="I327" s="167">
        <v>144154000</v>
      </c>
      <c r="J327" s="166"/>
      <c r="K327" s="166"/>
      <c r="L327" s="168">
        <v>144154000</v>
      </c>
      <c r="M327" s="168">
        <f t="shared" si="29"/>
        <v>144154000</v>
      </c>
      <c r="N327" s="168"/>
      <c r="O327" s="167">
        <v>144153000</v>
      </c>
      <c r="P327" s="167">
        <f t="shared" si="30"/>
        <v>144153000</v>
      </c>
      <c r="Q327" s="167"/>
      <c r="S327" s="201">
        <f t="shared" si="31"/>
        <v>144.154</v>
      </c>
      <c r="T327" s="201">
        <f t="shared" si="32"/>
        <v>144.154</v>
      </c>
      <c r="U327" s="201">
        <f t="shared" si="32"/>
        <v>0</v>
      </c>
      <c r="V327" s="201">
        <f t="shared" si="32"/>
        <v>144.15299999999999</v>
      </c>
      <c r="W327" s="201">
        <f t="shared" si="32"/>
        <v>144.15299999999999</v>
      </c>
      <c r="X327" s="201">
        <f t="shared" si="32"/>
        <v>0</v>
      </c>
    </row>
    <row r="328" spans="1:24" s="169" customFormat="1" ht="26.4">
      <c r="A328" s="192" t="s">
        <v>824</v>
      </c>
      <c r="B328" s="176" t="s">
        <v>825</v>
      </c>
      <c r="C328" s="183" t="str">
        <f t="shared" si="27"/>
        <v>1037420</v>
      </c>
      <c r="D328" s="182" t="str">
        <f t="shared" si="28"/>
        <v>-Hạt kiểm lâm huyện &lt;onPlong</v>
      </c>
      <c r="E328" s="206"/>
      <c r="F328" s="207"/>
      <c r="G328" s="207"/>
      <c r="H328" s="205"/>
      <c r="I328" s="167">
        <v>4487005292</v>
      </c>
      <c r="J328" s="167">
        <v>45405292</v>
      </c>
      <c r="K328" s="167">
        <v>3251800000</v>
      </c>
      <c r="L328" s="168">
        <v>1189800000</v>
      </c>
      <c r="M328" s="168">
        <f t="shared" si="29"/>
        <v>4487005292</v>
      </c>
      <c r="N328" s="168"/>
      <c r="O328" s="167">
        <v>3527800000</v>
      </c>
      <c r="P328" s="167">
        <f t="shared" si="30"/>
        <v>3527800000</v>
      </c>
      <c r="Q328" s="167"/>
      <c r="S328" s="201">
        <f t="shared" si="31"/>
        <v>4487.0052919999998</v>
      </c>
      <c r="T328" s="201">
        <f t="shared" si="32"/>
        <v>4487.0052919999998</v>
      </c>
      <c r="U328" s="201">
        <f t="shared" si="32"/>
        <v>0</v>
      </c>
      <c r="V328" s="201">
        <f t="shared" si="32"/>
        <v>3527.8</v>
      </c>
      <c r="W328" s="201">
        <f t="shared" si="32"/>
        <v>3527.8</v>
      </c>
      <c r="X328" s="201">
        <f t="shared" si="32"/>
        <v>0</v>
      </c>
    </row>
    <row r="329" spans="1:24" s="169" customFormat="1" ht="13.8">
      <c r="A329" s="192" t="s">
        <v>826</v>
      </c>
      <c r="B329" s="164" t="s">
        <v>675</v>
      </c>
      <c r="C329" s="183" t="str">
        <f t="shared" si="27"/>
        <v/>
      </c>
      <c r="D329" s="182" t="str">
        <f t="shared" si="28"/>
        <v/>
      </c>
      <c r="E329" s="206"/>
      <c r="F329" s="207"/>
      <c r="G329" s="207"/>
      <c r="H329" s="205"/>
      <c r="I329" s="167">
        <v>3530205292</v>
      </c>
      <c r="J329" s="167">
        <v>45405292</v>
      </c>
      <c r="K329" s="167">
        <v>3251800000</v>
      </c>
      <c r="L329" s="168">
        <v>233000000</v>
      </c>
      <c r="M329" s="168">
        <f t="shared" si="29"/>
        <v>3530205292</v>
      </c>
      <c r="N329" s="168"/>
      <c r="O329" s="167">
        <v>3527800000</v>
      </c>
      <c r="P329" s="167">
        <f t="shared" si="30"/>
        <v>3527800000</v>
      </c>
      <c r="Q329" s="167"/>
      <c r="S329" s="201">
        <f t="shared" si="31"/>
        <v>3530.2052920000001</v>
      </c>
      <c r="T329" s="201">
        <f t="shared" si="32"/>
        <v>3530.2052920000001</v>
      </c>
      <c r="U329" s="201">
        <f t="shared" si="32"/>
        <v>0</v>
      </c>
      <c r="V329" s="201">
        <f t="shared" si="32"/>
        <v>3527.8</v>
      </c>
      <c r="W329" s="201">
        <f t="shared" si="32"/>
        <v>3527.8</v>
      </c>
      <c r="X329" s="201">
        <f t="shared" si="32"/>
        <v>0</v>
      </c>
    </row>
    <row r="330" spans="1:24" s="169" customFormat="1" ht="13.8">
      <c r="A330" s="192"/>
      <c r="B330" s="164" t="s">
        <v>676</v>
      </c>
      <c r="C330" s="183" t="str">
        <f t="shared" si="27"/>
        <v/>
      </c>
      <c r="D330" s="182" t="str">
        <f t="shared" si="28"/>
        <v/>
      </c>
      <c r="E330" s="206"/>
      <c r="F330" s="207"/>
      <c r="G330" s="207"/>
      <c r="H330" s="205"/>
      <c r="I330" s="167">
        <v>3287205292</v>
      </c>
      <c r="J330" s="167">
        <v>45405292</v>
      </c>
      <c r="K330" s="167">
        <v>3131800000</v>
      </c>
      <c r="L330" s="168">
        <v>110000000</v>
      </c>
      <c r="M330" s="168">
        <f t="shared" si="29"/>
        <v>3287205292</v>
      </c>
      <c r="N330" s="168"/>
      <c r="O330" s="167">
        <v>3286800000</v>
      </c>
      <c r="P330" s="167">
        <f t="shared" si="30"/>
        <v>3286800000</v>
      </c>
      <c r="Q330" s="167"/>
      <c r="S330" s="201">
        <f t="shared" si="31"/>
        <v>3287.2052920000001</v>
      </c>
      <c r="T330" s="201">
        <f t="shared" si="32"/>
        <v>3287.2052920000001</v>
      </c>
      <c r="U330" s="201">
        <f t="shared" si="32"/>
        <v>0</v>
      </c>
      <c r="V330" s="201">
        <f t="shared" si="32"/>
        <v>3286.8</v>
      </c>
      <c r="W330" s="201">
        <f t="shared" si="32"/>
        <v>3286.8</v>
      </c>
      <c r="X330" s="201">
        <f t="shared" si="32"/>
        <v>0</v>
      </c>
    </row>
    <row r="331" spans="1:24" s="169" customFormat="1" ht="13.8">
      <c r="A331" s="193"/>
      <c r="B331" s="187"/>
      <c r="C331" s="183" t="str">
        <f t="shared" si="27"/>
        <v/>
      </c>
      <c r="D331" s="182" t="str">
        <f t="shared" si="28"/>
        <v/>
      </c>
      <c r="E331" s="192" t="s">
        <v>666</v>
      </c>
      <c r="F331" s="192" t="s">
        <v>698</v>
      </c>
      <c r="G331" s="192" t="s">
        <v>695</v>
      </c>
      <c r="H331" s="210" t="s">
        <v>1440</v>
      </c>
      <c r="I331" s="167">
        <v>3131800000</v>
      </c>
      <c r="J331" s="166"/>
      <c r="K331" s="167">
        <v>3131800000</v>
      </c>
      <c r="L331" s="171"/>
      <c r="M331" s="168">
        <f t="shared" si="29"/>
        <v>3131800000</v>
      </c>
      <c r="N331" s="171"/>
      <c r="O331" s="167">
        <v>3131800000</v>
      </c>
      <c r="P331" s="167">
        <f t="shared" si="30"/>
        <v>3131800000</v>
      </c>
      <c r="Q331" s="167"/>
      <c r="S331" s="201">
        <f t="shared" si="31"/>
        <v>3131.8</v>
      </c>
      <c r="T331" s="201">
        <f t="shared" si="32"/>
        <v>3131.8</v>
      </c>
      <c r="U331" s="201">
        <f t="shared" si="32"/>
        <v>0</v>
      </c>
      <c r="V331" s="201">
        <f t="shared" si="32"/>
        <v>3131.8</v>
      </c>
      <c r="W331" s="201">
        <f t="shared" si="32"/>
        <v>3131.8</v>
      </c>
      <c r="X331" s="201">
        <f t="shared" si="32"/>
        <v>0</v>
      </c>
    </row>
    <row r="332" spans="1:24" s="169" customFormat="1" ht="13.8">
      <c r="A332" s="195"/>
      <c r="B332" s="188"/>
      <c r="C332" s="183" t="str">
        <f t="shared" si="27"/>
        <v/>
      </c>
      <c r="D332" s="182" t="str">
        <f t="shared" si="28"/>
        <v/>
      </c>
      <c r="E332" s="192" t="s">
        <v>679</v>
      </c>
      <c r="F332" s="192" t="s">
        <v>698</v>
      </c>
      <c r="G332" s="192" t="s">
        <v>695</v>
      </c>
      <c r="H332" s="210" t="s">
        <v>1440</v>
      </c>
      <c r="I332" s="167">
        <v>155405292</v>
      </c>
      <c r="J332" s="167">
        <v>45405292</v>
      </c>
      <c r="K332" s="166"/>
      <c r="L332" s="168">
        <v>110000000</v>
      </c>
      <c r="M332" s="168">
        <f t="shared" si="29"/>
        <v>155405292</v>
      </c>
      <c r="N332" s="168"/>
      <c r="O332" s="167">
        <v>155000000</v>
      </c>
      <c r="P332" s="167">
        <f t="shared" si="30"/>
        <v>155000000</v>
      </c>
      <c r="Q332" s="167"/>
      <c r="S332" s="201">
        <f t="shared" si="31"/>
        <v>155.405292</v>
      </c>
      <c r="T332" s="201">
        <f t="shared" si="32"/>
        <v>155.405292</v>
      </c>
      <c r="U332" s="201">
        <f t="shared" si="32"/>
        <v>0</v>
      </c>
      <c r="V332" s="201">
        <f t="shared" si="32"/>
        <v>155</v>
      </c>
      <c r="W332" s="201">
        <f t="shared" si="32"/>
        <v>155</v>
      </c>
      <c r="X332" s="201">
        <f t="shared" si="32"/>
        <v>0</v>
      </c>
    </row>
    <row r="333" spans="1:24" s="169" customFormat="1" ht="13.8">
      <c r="A333" s="192"/>
      <c r="B333" s="164" t="s">
        <v>680</v>
      </c>
      <c r="C333" s="183" t="str">
        <f t="shared" si="27"/>
        <v/>
      </c>
      <c r="D333" s="182" t="str">
        <f t="shared" si="28"/>
        <v/>
      </c>
      <c r="E333" s="206"/>
      <c r="F333" s="207"/>
      <c r="G333" s="207"/>
      <c r="H333" s="205"/>
      <c r="I333" s="167">
        <v>243000000</v>
      </c>
      <c r="J333" s="166"/>
      <c r="K333" s="167">
        <v>120000000</v>
      </c>
      <c r="L333" s="168">
        <v>123000000</v>
      </c>
      <c r="M333" s="168">
        <f t="shared" si="29"/>
        <v>243000000</v>
      </c>
      <c r="N333" s="168"/>
      <c r="O333" s="167">
        <v>241000000</v>
      </c>
      <c r="P333" s="167">
        <f t="shared" si="30"/>
        <v>241000000</v>
      </c>
      <c r="Q333" s="167"/>
      <c r="S333" s="201">
        <f t="shared" si="31"/>
        <v>243</v>
      </c>
      <c r="T333" s="201">
        <f t="shared" si="32"/>
        <v>243</v>
      </c>
      <c r="U333" s="201">
        <f t="shared" si="32"/>
        <v>0</v>
      </c>
      <c r="V333" s="201">
        <f t="shared" si="32"/>
        <v>241</v>
      </c>
      <c r="W333" s="201">
        <f t="shared" si="32"/>
        <v>241</v>
      </c>
      <c r="X333" s="201">
        <f t="shared" si="32"/>
        <v>0</v>
      </c>
    </row>
    <row r="334" spans="1:24" s="169" customFormat="1" ht="13.8">
      <c r="A334" s="193"/>
      <c r="B334" s="187"/>
      <c r="C334" s="183" t="str">
        <f t="shared" si="27"/>
        <v/>
      </c>
      <c r="D334" s="182" t="str">
        <f t="shared" si="28"/>
        <v/>
      </c>
      <c r="E334" s="192" t="s">
        <v>681</v>
      </c>
      <c r="F334" s="192" t="s">
        <v>698</v>
      </c>
      <c r="G334" s="192" t="s">
        <v>699</v>
      </c>
      <c r="H334" s="210" t="s">
        <v>1440</v>
      </c>
      <c r="I334" s="167">
        <v>120000000</v>
      </c>
      <c r="J334" s="166"/>
      <c r="K334" s="167">
        <v>120000000</v>
      </c>
      <c r="L334" s="171"/>
      <c r="M334" s="168">
        <f t="shared" si="29"/>
        <v>120000000</v>
      </c>
      <c r="N334" s="171"/>
      <c r="O334" s="167">
        <v>118000000</v>
      </c>
      <c r="P334" s="167">
        <f t="shared" si="30"/>
        <v>118000000</v>
      </c>
      <c r="Q334" s="167"/>
      <c r="S334" s="201">
        <f t="shared" si="31"/>
        <v>120</v>
      </c>
      <c r="T334" s="201">
        <f t="shared" si="32"/>
        <v>120</v>
      </c>
      <c r="U334" s="201">
        <f t="shared" si="32"/>
        <v>0</v>
      </c>
      <c r="V334" s="201">
        <f t="shared" si="32"/>
        <v>118</v>
      </c>
      <c r="W334" s="201">
        <f t="shared" si="32"/>
        <v>118</v>
      </c>
      <c r="X334" s="201">
        <f t="shared" si="32"/>
        <v>0</v>
      </c>
    </row>
    <row r="335" spans="1:24" s="169" customFormat="1" ht="13.8">
      <c r="A335" s="195"/>
      <c r="B335" s="188"/>
      <c r="C335" s="183" t="str">
        <f t="shared" si="27"/>
        <v/>
      </c>
      <c r="D335" s="182" t="str">
        <f t="shared" si="28"/>
        <v/>
      </c>
      <c r="E335" s="192" t="s">
        <v>681</v>
      </c>
      <c r="F335" s="192" t="s">
        <v>698</v>
      </c>
      <c r="G335" s="192" t="s">
        <v>695</v>
      </c>
      <c r="H335" s="210" t="s">
        <v>1440</v>
      </c>
      <c r="I335" s="167">
        <v>123000000</v>
      </c>
      <c r="J335" s="166"/>
      <c r="K335" s="166"/>
      <c r="L335" s="168">
        <v>123000000</v>
      </c>
      <c r="M335" s="168">
        <f t="shared" si="29"/>
        <v>123000000</v>
      </c>
      <c r="N335" s="168"/>
      <c r="O335" s="167">
        <v>123000000</v>
      </c>
      <c r="P335" s="167">
        <f t="shared" si="30"/>
        <v>123000000</v>
      </c>
      <c r="Q335" s="167"/>
      <c r="S335" s="201">
        <f t="shared" si="31"/>
        <v>123</v>
      </c>
      <c r="T335" s="201">
        <f t="shared" ref="T335:X385" si="33">M335/1000000</f>
        <v>123</v>
      </c>
      <c r="U335" s="201">
        <f t="shared" si="33"/>
        <v>0</v>
      </c>
      <c r="V335" s="201">
        <f t="shared" si="33"/>
        <v>123</v>
      </c>
      <c r="W335" s="201">
        <f t="shared" si="33"/>
        <v>123</v>
      </c>
      <c r="X335" s="201">
        <f t="shared" si="33"/>
        <v>0</v>
      </c>
    </row>
    <row r="336" spans="1:24" s="169" customFormat="1" ht="13.8">
      <c r="A336" s="192" t="s">
        <v>827</v>
      </c>
      <c r="B336" s="164" t="s">
        <v>731</v>
      </c>
      <c r="C336" s="183" t="str">
        <f t="shared" si="27"/>
        <v/>
      </c>
      <c r="D336" s="182" t="str">
        <f t="shared" si="28"/>
        <v/>
      </c>
      <c r="E336" s="206"/>
      <c r="F336" s="207"/>
      <c r="G336" s="207"/>
      <c r="H336" s="205"/>
      <c r="I336" s="167">
        <v>956800000</v>
      </c>
      <c r="J336" s="166"/>
      <c r="K336" s="166"/>
      <c r="L336" s="168">
        <v>956800000</v>
      </c>
      <c r="M336" s="168">
        <f t="shared" si="29"/>
        <v>956800000</v>
      </c>
      <c r="N336" s="168"/>
      <c r="O336" s="166"/>
      <c r="P336" s="167">
        <f t="shared" si="30"/>
        <v>0</v>
      </c>
      <c r="Q336" s="166"/>
      <c r="S336" s="201">
        <f t="shared" si="31"/>
        <v>956.8</v>
      </c>
      <c r="T336" s="201">
        <f t="shared" si="33"/>
        <v>956.8</v>
      </c>
      <c r="U336" s="201">
        <f t="shared" si="33"/>
        <v>0</v>
      </c>
      <c r="V336" s="201">
        <f t="shared" si="33"/>
        <v>0</v>
      </c>
      <c r="W336" s="201">
        <f t="shared" si="33"/>
        <v>0</v>
      </c>
      <c r="X336" s="201">
        <f t="shared" si="33"/>
        <v>0</v>
      </c>
    </row>
    <row r="337" spans="1:24" s="169" customFormat="1" ht="13.8">
      <c r="A337" s="192"/>
      <c r="B337" s="164"/>
      <c r="C337" s="183" t="str">
        <f t="shared" si="27"/>
        <v/>
      </c>
      <c r="D337" s="182" t="str">
        <f t="shared" si="28"/>
        <v/>
      </c>
      <c r="E337" s="192" t="s">
        <v>667</v>
      </c>
      <c r="F337" s="192" t="s">
        <v>698</v>
      </c>
      <c r="G337" s="192" t="s">
        <v>699</v>
      </c>
      <c r="H337" s="210" t="s">
        <v>1441</v>
      </c>
      <c r="I337" s="167">
        <v>956800000</v>
      </c>
      <c r="J337" s="166"/>
      <c r="K337" s="166"/>
      <c r="L337" s="168">
        <v>956800000</v>
      </c>
      <c r="M337" s="168">
        <f t="shared" si="29"/>
        <v>956800000</v>
      </c>
      <c r="N337" s="168"/>
      <c r="O337" s="166"/>
      <c r="P337" s="167">
        <f t="shared" si="30"/>
        <v>0</v>
      </c>
      <c r="Q337" s="166"/>
      <c r="S337" s="201">
        <f t="shared" si="31"/>
        <v>956.8</v>
      </c>
      <c r="T337" s="201">
        <f t="shared" si="33"/>
        <v>956.8</v>
      </c>
      <c r="U337" s="201">
        <f t="shared" si="33"/>
        <v>0</v>
      </c>
      <c r="V337" s="201">
        <f t="shared" si="33"/>
        <v>0</v>
      </c>
      <c r="W337" s="201">
        <f t="shared" si="33"/>
        <v>0</v>
      </c>
      <c r="X337" s="201">
        <f t="shared" si="33"/>
        <v>0</v>
      </c>
    </row>
    <row r="338" spans="1:24" s="169" customFormat="1" ht="26.4">
      <c r="A338" s="192" t="s">
        <v>828</v>
      </c>
      <c r="B338" s="176" t="s">
        <v>829</v>
      </c>
      <c r="C338" s="183" t="str">
        <f t="shared" si="27"/>
        <v>1037422</v>
      </c>
      <c r="D338" s="182" t="str">
        <f t="shared" si="28"/>
        <v>-Hội cựu chiẽn binh tỉnh &lt;ontum</v>
      </c>
      <c r="E338" s="206"/>
      <c r="F338" s="207"/>
      <c r="G338" s="207"/>
      <c r="H338" s="205"/>
      <c r="I338" s="167">
        <v>3051810000</v>
      </c>
      <c r="J338" s="166"/>
      <c r="K338" s="167">
        <v>2742000000</v>
      </c>
      <c r="L338" s="168">
        <v>309810000</v>
      </c>
      <c r="M338" s="168">
        <f t="shared" si="29"/>
        <v>3051810000</v>
      </c>
      <c r="N338" s="168"/>
      <c r="O338" s="167">
        <v>3035507000</v>
      </c>
      <c r="P338" s="167">
        <f t="shared" si="30"/>
        <v>3035507000</v>
      </c>
      <c r="Q338" s="167"/>
      <c r="S338" s="201">
        <f t="shared" si="31"/>
        <v>3051.81</v>
      </c>
      <c r="T338" s="201">
        <f t="shared" si="33"/>
        <v>3051.81</v>
      </c>
      <c r="U338" s="201">
        <f t="shared" si="33"/>
        <v>0</v>
      </c>
      <c r="V338" s="201">
        <f t="shared" si="33"/>
        <v>3035.5070000000001</v>
      </c>
      <c r="W338" s="201">
        <f t="shared" si="33"/>
        <v>3035.5070000000001</v>
      </c>
      <c r="X338" s="201">
        <f t="shared" si="33"/>
        <v>0</v>
      </c>
    </row>
    <row r="339" spans="1:24" s="169" customFormat="1" ht="13.8">
      <c r="A339" s="192" t="s">
        <v>830</v>
      </c>
      <c r="B339" s="164" t="s">
        <v>675</v>
      </c>
      <c r="C339" s="183" t="str">
        <f t="shared" si="27"/>
        <v/>
      </c>
      <c r="D339" s="182" t="str">
        <f t="shared" si="28"/>
        <v/>
      </c>
      <c r="E339" s="206"/>
      <c r="F339" s="207"/>
      <c r="G339" s="207"/>
      <c r="H339" s="205"/>
      <c r="I339" s="167">
        <v>3051810000</v>
      </c>
      <c r="J339" s="166"/>
      <c r="K339" s="167">
        <v>2742000000</v>
      </c>
      <c r="L339" s="168">
        <v>309810000</v>
      </c>
      <c r="M339" s="168">
        <f t="shared" si="29"/>
        <v>3051810000</v>
      </c>
      <c r="N339" s="168"/>
      <c r="O339" s="167">
        <v>3035507000</v>
      </c>
      <c r="P339" s="167">
        <f t="shared" si="30"/>
        <v>3035507000</v>
      </c>
      <c r="Q339" s="167"/>
      <c r="S339" s="201">
        <f t="shared" si="31"/>
        <v>3051.81</v>
      </c>
      <c r="T339" s="201">
        <f t="shared" si="33"/>
        <v>3051.81</v>
      </c>
      <c r="U339" s="201">
        <f t="shared" si="33"/>
        <v>0</v>
      </c>
      <c r="V339" s="201">
        <f t="shared" si="33"/>
        <v>3035.5070000000001</v>
      </c>
      <c r="W339" s="201">
        <f t="shared" si="33"/>
        <v>3035.5070000000001</v>
      </c>
      <c r="X339" s="201">
        <f t="shared" si="33"/>
        <v>0</v>
      </c>
    </row>
    <row r="340" spans="1:24" s="169" customFormat="1" ht="13.8">
      <c r="A340" s="192"/>
      <c r="B340" s="164" t="s">
        <v>676</v>
      </c>
      <c r="C340" s="183" t="str">
        <f t="shared" si="27"/>
        <v/>
      </c>
      <c r="D340" s="182" t="str">
        <f t="shared" si="28"/>
        <v/>
      </c>
      <c r="E340" s="206"/>
      <c r="F340" s="207"/>
      <c r="G340" s="207"/>
      <c r="H340" s="205"/>
      <c r="I340" s="167">
        <v>2237300000</v>
      </c>
      <c r="J340" s="166"/>
      <c r="K340" s="167">
        <v>2096000000</v>
      </c>
      <c r="L340" s="168">
        <v>141300000</v>
      </c>
      <c r="M340" s="168">
        <f t="shared" si="29"/>
        <v>2237300000</v>
      </c>
      <c r="N340" s="168"/>
      <c r="O340" s="167">
        <v>2237300000</v>
      </c>
      <c r="P340" s="167">
        <f t="shared" si="30"/>
        <v>2237300000</v>
      </c>
      <c r="Q340" s="167"/>
      <c r="S340" s="201">
        <f t="shared" si="31"/>
        <v>2237.3000000000002</v>
      </c>
      <c r="T340" s="201">
        <f t="shared" si="33"/>
        <v>2237.3000000000002</v>
      </c>
      <c r="U340" s="201">
        <f t="shared" si="33"/>
        <v>0</v>
      </c>
      <c r="V340" s="201">
        <f t="shared" si="33"/>
        <v>2237.3000000000002</v>
      </c>
      <c r="W340" s="201">
        <f t="shared" si="33"/>
        <v>2237.3000000000002</v>
      </c>
      <c r="X340" s="201">
        <f t="shared" si="33"/>
        <v>0</v>
      </c>
    </row>
    <row r="341" spans="1:24" s="169" customFormat="1" ht="13.8">
      <c r="A341" s="193"/>
      <c r="B341" s="187"/>
      <c r="C341" s="183" t="str">
        <f t="shared" si="27"/>
        <v/>
      </c>
      <c r="D341" s="182" t="str">
        <f t="shared" si="28"/>
        <v/>
      </c>
      <c r="E341" s="192" t="s">
        <v>666</v>
      </c>
      <c r="F341" s="192" t="s">
        <v>831</v>
      </c>
      <c r="G341" s="192" t="s">
        <v>786</v>
      </c>
      <c r="H341" s="210" t="s">
        <v>1440</v>
      </c>
      <c r="I341" s="167">
        <v>2183300000</v>
      </c>
      <c r="J341" s="166"/>
      <c r="K341" s="167">
        <v>2096000000</v>
      </c>
      <c r="L341" s="168">
        <v>87300000</v>
      </c>
      <c r="M341" s="168">
        <f t="shared" si="29"/>
        <v>2183300000</v>
      </c>
      <c r="N341" s="168"/>
      <c r="O341" s="167">
        <v>2183300000</v>
      </c>
      <c r="P341" s="167">
        <f t="shared" si="30"/>
        <v>2183300000</v>
      </c>
      <c r="Q341" s="167"/>
      <c r="S341" s="201">
        <f t="shared" si="31"/>
        <v>2183.3000000000002</v>
      </c>
      <c r="T341" s="201">
        <f t="shared" si="33"/>
        <v>2183.3000000000002</v>
      </c>
      <c r="U341" s="201">
        <f t="shared" si="33"/>
        <v>0</v>
      </c>
      <c r="V341" s="201">
        <f t="shared" si="33"/>
        <v>2183.3000000000002</v>
      </c>
      <c r="W341" s="201">
        <f t="shared" si="33"/>
        <v>2183.3000000000002</v>
      </c>
      <c r="X341" s="201">
        <f t="shared" si="33"/>
        <v>0</v>
      </c>
    </row>
    <row r="342" spans="1:24" s="169" customFormat="1" ht="13.8">
      <c r="A342" s="195"/>
      <c r="B342" s="188"/>
      <c r="C342" s="183" t="str">
        <f t="shared" ref="C342:C405" si="34">IF(B342&lt;&gt;"",IF(AND(LEFT(B342,1)&gt;="0",LEFT(B342,1)&lt;="9"),LEFT(B342,7),""),"")</f>
        <v/>
      </c>
      <c r="D342" s="182" t="str">
        <f t="shared" si="28"/>
        <v/>
      </c>
      <c r="E342" s="192" t="s">
        <v>679</v>
      </c>
      <c r="F342" s="192" t="s">
        <v>831</v>
      </c>
      <c r="G342" s="192" t="s">
        <v>786</v>
      </c>
      <c r="H342" s="210" t="s">
        <v>1440</v>
      </c>
      <c r="I342" s="167">
        <v>54000000</v>
      </c>
      <c r="J342" s="166"/>
      <c r="K342" s="166"/>
      <c r="L342" s="168">
        <v>54000000</v>
      </c>
      <c r="M342" s="168">
        <f t="shared" si="29"/>
        <v>54000000</v>
      </c>
      <c r="N342" s="168"/>
      <c r="O342" s="167">
        <v>54000000</v>
      </c>
      <c r="P342" s="167">
        <f t="shared" si="30"/>
        <v>54000000</v>
      </c>
      <c r="Q342" s="167"/>
      <c r="S342" s="201">
        <f t="shared" si="31"/>
        <v>54</v>
      </c>
      <c r="T342" s="201">
        <f t="shared" si="33"/>
        <v>54</v>
      </c>
      <c r="U342" s="201">
        <f t="shared" si="33"/>
        <v>0</v>
      </c>
      <c r="V342" s="201">
        <f t="shared" si="33"/>
        <v>54</v>
      </c>
      <c r="W342" s="201">
        <f t="shared" si="33"/>
        <v>54</v>
      </c>
      <c r="X342" s="201">
        <f t="shared" si="33"/>
        <v>0</v>
      </c>
    </row>
    <row r="343" spans="1:24" s="169" customFormat="1" ht="13.8">
      <c r="A343" s="192"/>
      <c r="B343" s="164" t="s">
        <v>680</v>
      </c>
      <c r="C343" s="183" t="str">
        <f t="shared" si="34"/>
        <v/>
      </c>
      <c r="D343" s="182" t="str">
        <f t="shared" ref="D343:D406" si="35">IF(C343&lt;&gt;"",RIGHT(B343,LEN(B343)-7),"")</f>
        <v/>
      </c>
      <c r="E343" s="206"/>
      <c r="F343" s="207"/>
      <c r="G343" s="207"/>
      <c r="H343" s="205"/>
      <c r="I343" s="167">
        <v>814510000</v>
      </c>
      <c r="J343" s="166"/>
      <c r="K343" s="167">
        <v>646000000</v>
      </c>
      <c r="L343" s="168">
        <v>168510000</v>
      </c>
      <c r="M343" s="168">
        <f t="shared" ref="M343:M406" si="36">I343-N343</f>
        <v>814510000</v>
      </c>
      <c r="N343" s="168"/>
      <c r="O343" s="167">
        <v>798207000</v>
      </c>
      <c r="P343" s="167">
        <f t="shared" ref="P343:P406" si="37">O343-Q343</f>
        <v>798207000</v>
      </c>
      <c r="Q343" s="167"/>
      <c r="S343" s="201">
        <f t="shared" ref="S343:S406" si="38">I343/1000000</f>
        <v>814.51</v>
      </c>
      <c r="T343" s="201">
        <f t="shared" si="33"/>
        <v>814.51</v>
      </c>
      <c r="U343" s="201">
        <f t="shared" si="33"/>
        <v>0</v>
      </c>
      <c r="V343" s="201">
        <f t="shared" si="33"/>
        <v>798.20699999999999</v>
      </c>
      <c r="W343" s="201">
        <f t="shared" si="33"/>
        <v>798.20699999999999</v>
      </c>
      <c r="X343" s="201">
        <f t="shared" si="33"/>
        <v>0</v>
      </c>
    </row>
    <row r="344" spans="1:24" s="169" customFormat="1" ht="13.8">
      <c r="A344" s="192"/>
      <c r="B344" s="173"/>
      <c r="C344" s="183" t="str">
        <f t="shared" si="34"/>
        <v/>
      </c>
      <c r="D344" s="182" t="str">
        <f t="shared" si="35"/>
        <v/>
      </c>
      <c r="E344" s="192"/>
      <c r="F344" s="192"/>
      <c r="G344" s="192"/>
      <c r="H344" s="210"/>
      <c r="I344" s="174"/>
      <c r="J344" s="174"/>
      <c r="K344" s="174"/>
      <c r="L344" s="175"/>
      <c r="M344" s="168">
        <f t="shared" si="36"/>
        <v>0</v>
      </c>
      <c r="N344" s="175"/>
      <c r="O344" s="174"/>
      <c r="P344" s="167">
        <f t="shared" si="37"/>
        <v>0</v>
      </c>
      <c r="Q344" s="174"/>
      <c r="S344" s="201">
        <f t="shared" si="38"/>
        <v>0</v>
      </c>
      <c r="T344" s="201">
        <f t="shared" si="33"/>
        <v>0</v>
      </c>
      <c r="U344" s="201">
        <f t="shared" si="33"/>
        <v>0</v>
      </c>
      <c r="V344" s="201">
        <f t="shared" si="33"/>
        <v>0</v>
      </c>
      <c r="W344" s="201">
        <f t="shared" si="33"/>
        <v>0</v>
      </c>
      <c r="X344" s="201">
        <f t="shared" si="33"/>
        <v>0</v>
      </c>
    </row>
    <row r="345" spans="1:24" s="169" customFormat="1" ht="13.8">
      <c r="A345" s="193"/>
      <c r="B345" s="187"/>
      <c r="C345" s="183" t="str">
        <f t="shared" si="34"/>
        <v/>
      </c>
      <c r="D345" s="182" t="str">
        <f t="shared" si="35"/>
        <v/>
      </c>
      <c r="E345" s="192" t="s">
        <v>681</v>
      </c>
      <c r="F345" s="192" t="s">
        <v>831</v>
      </c>
      <c r="G345" s="192" t="s">
        <v>786</v>
      </c>
      <c r="H345" s="210" t="s">
        <v>1440</v>
      </c>
      <c r="I345" s="167">
        <v>679400000</v>
      </c>
      <c r="J345" s="166"/>
      <c r="K345" s="167">
        <v>646000000</v>
      </c>
      <c r="L345" s="168">
        <v>33400000</v>
      </c>
      <c r="M345" s="168">
        <f t="shared" si="36"/>
        <v>679400000</v>
      </c>
      <c r="N345" s="168"/>
      <c r="O345" s="167">
        <v>663097000</v>
      </c>
      <c r="P345" s="167">
        <f t="shared" si="37"/>
        <v>663097000</v>
      </c>
      <c r="Q345" s="167"/>
      <c r="S345" s="201">
        <f t="shared" si="38"/>
        <v>679.4</v>
      </c>
      <c r="T345" s="201">
        <f t="shared" si="33"/>
        <v>679.4</v>
      </c>
      <c r="U345" s="201">
        <f t="shared" si="33"/>
        <v>0</v>
      </c>
      <c r="V345" s="201">
        <f t="shared" si="33"/>
        <v>663.09699999999998</v>
      </c>
      <c r="W345" s="201">
        <f t="shared" si="33"/>
        <v>663.09699999999998</v>
      </c>
      <c r="X345" s="201">
        <f t="shared" si="33"/>
        <v>0</v>
      </c>
    </row>
    <row r="346" spans="1:24" s="169" customFormat="1" ht="13.8">
      <c r="A346" s="195"/>
      <c r="B346" s="188"/>
      <c r="C346" s="183" t="str">
        <f t="shared" si="34"/>
        <v/>
      </c>
      <c r="D346" s="182" t="str">
        <f t="shared" si="35"/>
        <v/>
      </c>
      <c r="E346" s="192" t="s">
        <v>667</v>
      </c>
      <c r="F346" s="192" t="s">
        <v>831</v>
      </c>
      <c r="G346" s="192" t="s">
        <v>786</v>
      </c>
      <c r="H346" s="210" t="s">
        <v>1440</v>
      </c>
      <c r="I346" s="167">
        <v>135110000</v>
      </c>
      <c r="J346" s="166"/>
      <c r="K346" s="166"/>
      <c r="L346" s="168">
        <v>135110000</v>
      </c>
      <c r="M346" s="168">
        <f t="shared" si="36"/>
        <v>135110000</v>
      </c>
      <c r="N346" s="168"/>
      <c r="O346" s="167">
        <v>135110000</v>
      </c>
      <c r="P346" s="167">
        <f t="shared" si="37"/>
        <v>135110000</v>
      </c>
      <c r="Q346" s="167"/>
      <c r="S346" s="201">
        <f t="shared" si="38"/>
        <v>135.11000000000001</v>
      </c>
      <c r="T346" s="201">
        <f t="shared" si="33"/>
        <v>135.11000000000001</v>
      </c>
      <c r="U346" s="201">
        <f t="shared" si="33"/>
        <v>0</v>
      </c>
      <c r="V346" s="201">
        <f t="shared" si="33"/>
        <v>135.11000000000001</v>
      </c>
      <c r="W346" s="201">
        <f t="shared" si="33"/>
        <v>135.11000000000001</v>
      </c>
      <c r="X346" s="201">
        <f t="shared" si="33"/>
        <v>0</v>
      </c>
    </row>
    <row r="347" spans="1:24" s="169" customFormat="1" ht="26.4">
      <c r="A347" s="192" t="s">
        <v>832</v>
      </c>
      <c r="B347" s="165" t="s">
        <v>833</v>
      </c>
      <c r="C347" s="183" t="str">
        <f t="shared" si="34"/>
        <v>1037424</v>
      </c>
      <c r="D347" s="182" t="str">
        <f t="shared" si="35"/>
        <v>-Trung tâm Ngoại ngữ - Tin 1ỌC Kontum</v>
      </c>
      <c r="E347" s="206"/>
      <c r="F347" s="207"/>
      <c r="G347" s="207"/>
      <c r="H347" s="205"/>
      <c r="I347" s="167">
        <v>1584079455</v>
      </c>
      <c r="J347" s="167">
        <v>300787455</v>
      </c>
      <c r="K347" s="167">
        <v>1283292000</v>
      </c>
      <c r="L347" s="171"/>
      <c r="M347" s="168">
        <f t="shared" si="36"/>
        <v>1584079455</v>
      </c>
      <c r="N347" s="171"/>
      <c r="O347" s="167">
        <v>1538012413</v>
      </c>
      <c r="P347" s="167">
        <f t="shared" si="37"/>
        <v>1538012413</v>
      </c>
      <c r="Q347" s="167"/>
      <c r="S347" s="201">
        <f t="shared" si="38"/>
        <v>1584.0794550000001</v>
      </c>
      <c r="T347" s="201">
        <f t="shared" si="33"/>
        <v>1584.0794550000001</v>
      </c>
      <c r="U347" s="201">
        <f t="shared" si="33"/>
        <v>0</v>
      </c>
      <c r="V347" s="201">
        <f t="shared" si="33"/>
        <v>1538.0124129999999</v>
      </c>
      <c r="W347" s="201">
        <f t="shared" si="33"/>
        <v>1538.0124129999999</v>
      </c>
      <c r="X347" s="201">
        <f t="shared" si="33"/>
        <v>0</v>
      </c>
    </row>
    <row r="348" spans="1:24" s="169" customFormat="1" ht="13.8">
      <c r="A348" s="192" t="s">
        <v>834</v>
      </c>
      <c r="B348" s="170" t="s">
        <v>689</v>
      </c>
      <c r="C348" s="183" t="str">
        <f t="shared" si="34"/>
        <v/>
      </c>
      <c r="D348" s="182" t="str">
        <f t="shared" si="35"/>
        <v/>
      </c>
      <c r="E348" s="206"/>
      <c r="F348" s="207"/>
      <c r="G348" s="207"/>
      <c r="H348" s="205"/>
      <c r="I348" s="167">
        <v>1584079455</v>
      </c>
      <c r="J348" s="167">
        <v>300787455</v>
      </c>
      <c r="K348" s="167">
        <v>1283292000</v>
      </c>
      <c r="L348" s="171"/>
      <c r="M348" s="168">
        <f t="shared" si="36"/>
        <v>1584079455</v>
      </c>
      <c r="N348" s="171"/>
      <c r="O348" s="167">
        <v>1538012413</v>
      </c>
      <c r="P348" s="167">
        <f t="shared" si="37"/>
        <v>1538012413</v>
      </c>
      <c r="Q348" s="167"/>
      <c r="S348" s="201">
        <f t="shared" si="38"/>
        <v>1584.0794550000001</v>
      </c>
      <c r="T348" s="201">
        <f t="shared" si="33"/>
        <v>1584.0794550000001</v>
      </c>
      <c r="U348" s="201">
        <f t="shared" si="33"/>
        <v>0</v>
      </c>
      <c r="V348" s="201">
        <f t="shared" si="33"/>
        <v>1538.0124129999999</v>
      </c>
      <c r="W348" s="201">
        <f t="shared" si="33"/>
        <v>1538.0124129999999</v>
      </c>
      <c r="X348" s="201">
        <f t="shared" si="33"/>
        <v>0</v>
      </c>
    </row>
    <row r="349" spans="1:24" s="169" customFormat="1" ht="13.8">
      <c r="A349" s="192"/>
      <c r="B349" s="170" t="s">
        <v>690</v>
      </c>
      <c r="C349" s="183" t="str">
        <f t="shared" si="34"/>
        <v/>
      </c>
      <c r="D349" s="182" t="str">
        <f t="shared" si="35"/>
        <v/>
      </c>
      <c r="E349" s="206"/>
      <c r="F349" s="207"/>
      <c r="G349" s="207"/>
      <c r="H349" s="205"/>
      <c r="I349" s="167">
        <v>1325079455</v>
      </c>
      <c r="J349" s="167">
        <v>300787455</v>
      </c>
      <c r="K349" s="167">
        <v>1024292000</v>
      </c>
      <c r="L349" s="171"/>
      <c r="M349" s="168">
        <f t="shared" si="36"/>
        <v>1325079455</v>
      </c>
      <c r="N349" s="171"/>
      <c r="O349" s="167">
        <v>1279012413</v>
      </c>
      <c r="P349" s="167">
        <f t="shared" si="37"/>
        <v>1279012413</v>
      </c>
      <c r="Q349" s="167"/>
      <c r="S349" s="201">
        <f t="shared" si="38"/>
        <v>1325.0794550000001</v>
      </c>
      <c r="T349" s="201">
        <f t="shared" si="33"/>
        <v>1325.0794550000001</v>
      </c>
      <c r="U349" s="201">
        <f t="shared" si="33"/>
        <v>0</v>
      </c>
      <c r="V349" s="201">
        <f t="shared" si="33"/>
        <v>1279.0124129999999</v>
      </c>
      <c r="W349" s="201">
        <f t="shared" si="33"/>
        <v>1279.0124129999999</v>
      </c>
      <c r="X349" s="201">
        <f t="shared" si="33"/>
        <v>0</v>
      </c>
    </row>
    <row r="350" spans="1:24" s="169" customFormat="1" ht="13.8">
      <c r="A350" s="193"/>
      <c r="B350" s="187"/>
      <c r="C350" s="183" t="str">
        <f t="shared" si="34"/>
        <v/>
      </c>
      <c r="D350" s="182" t="str">
        <f t="shared" si="35"/>
        <v/>
      </c>
      <c r="E350" s="192" t="s">
        <v>666</v>
      </c>
      <c r="F350" s="192" t="s">
        <v>677</v>
      </c>
      <c r="G350" s="192" t="s">
        <v>718</v>
      </c>
      <c r="H350" s="210" t="s">
        <v>1440</v>
      </c>
      <c r="I350" s="167">
        <v>1291079455</v>
      </c>
      <c r="J350" s="167">
        <v>300787455</v>
      </c>
      <c r="K350" s="167">
        <v>990292000</v>
      </c>
      <c r="L350" s="171"/>
      <c r="M350" s="168">
        <f t="shared" si="36"/>
        <v>1291079455</v>
      </c>
      <c r="N350" s="171"/>
      <c r="O350" s="167">
        <v>1245012413</v>
      </c>
      <c r="P350" s="167">
        <f t="shared" si="37"/>
        <v>1245012413</v>
      </c>
      <c r="Q350" s="167"/>
      <c r="S350" s="201">
        <f t="shared" si="38"/>
        <v>1291.0794550000001</v>
      </c>
      <c r="T350" s="201">
        <f t="shared" si="33"/>
        <v>1291.0794550000001</v>
      </c>
      <c r="U350" s="201">
        <f t="shared" si="33"/>
        <v>0</v>
      </c>
      <c r="V350" s="201">
        <f t="shared" si="33"/>
        <v>1245.0124129999999</v>
      </c>
      <c r="W350" s="201">
        <f t="shared" si="33"/>
        <v>1245.0124129999999</v>
      </c>
      <c r="X350" s="201">
        <f t="shared" si="33"/>
        <v>0</v>
      </c>
    </row>
    <row r="351" spans="1:24" s="169" customFormat="1" ht="13.8">
      <c r="A351" s="195"/>
      <c r="B351" s="188"/>
      <c r="C351" s="183" t="str">
        <f t="shared" si="34"/>
        <v/>
      </c>
      <c r="D351" s="182" t="str">
        <f t="shared" si="35"/>
        <v/>
      </c>
      <c r="E351" s="192" t="s">
        <v>679</v>
      </c>
      <c r="F351" s="192" t="s">
        <v>677</v>
      </c>
      <c r="G351" s="192" t="s">
        <v>718</v>
      </c>
      <c r="H351" s="210" t="s">
        <v>1440</v>
      </c>
      <c r="I351" s="167">
        <v>34000000</v>
      </c>
      <c r="J351" s="166"/>
      <c r="K351" s="167">
        <v>34000000</v>
      </c>
      <c r="L351" s="171"/>
      <c r="M351" s="168">
        <f t="shared" si="36"/>
        <v>34000000</v>
      </c>
      <c r="N351" s="171"/>
      <c r="O351" s="167">
        <v>34000000</v>
      </c>
      <c r="P351" s="167">
        <f t="shared" si="37"/>
        <v>34000000</v>
      </c>
      <c r="Q351" s="167"/>
      <c r="S351" s="201">
        <f t="shared" si="38"/>
        <v>34</v>
      </c>
      <c r="T351" s="201">
        <f t="shared" si="33"/>
        <v>34</v>
      </c>
      <c r="U351" s="201">
        <f t="shared" si="33"/>
        <v>0</v>
      </c>
      <c r="V351" s="201">
        <f t="shared" si="33"/>
        <v>34</v>
      </c>
      <c r="W351" s="201">
        <f t="shared" si="33"/>
        <v>34</v>
      </c>
      <c r="X351" s="201">
        <f t="shared" si="33"/>
        <v>0</v>
      </c>
    </row>
    <row r="352" spans="1:24" s="169" customFormat="1" ht="13.8">
      <c r="A352" s="192"/>
      <c r="B352" s="170" t="s">
        <v>686</v>
      </c>
      <c r="C352" s="183" t="str">
        <f t="shared" si="34"/>
        <v/>
      </c>
      <c r="D352" s="182" t="str">
        <f t="shared" si="35"/>
        <v/>
      </c>
      <c r="E352" s="206"/>
      <c r="F352" s="207"/>
      <c r="G352" s="207"/>
      <c r="H352" s="205"/>
      <c r="I352" s="167">
        <v>259000000</v>
      </c>
      <c r="J352" s="166"/>
      <c r="K352" s="167">
        <v>259000000</v>
      </c>
      <c r="L352" s="171"/>
      <c r="M352" s="168">
        <f t="shared" si="36"/>
        <v>259000000</v>
      </c>
      <c r="N352" s="171"/>
      <c r="O352" s="167">
        <v>259000000</v>
      </c>
      <c r="P352" s="167">
        <f t="shared" si="37"/>
        <v>259000000</v>
      </c>
      <c r="Q352" s="167"/>
      <c r="S352" s="201">
        <f t="shared" si="38"/>
        <v>259</v>
      </c>
      <c r="T352" s="201">
        <f t="shared" si="33"/>
        <v>259</v>
      </c>
      <c r="U352" s="201">
        <f t="shared" si="33"/>
        <v>0</v>
      </c>
      <c r="V352" s="201">
        <f t="shared" si="33"/>
        <v>259</v>
      </c>
      <c r="W352" s="201">
        <f t="shared" si="33"/>
        <v>259</v>
      </c>
      <c r="X352" s="201">
        <f t="shared" si="33"/>
        <v>0</v>
      </c>
    </row>
    <row r="353" spans="1:24" s="169" customFormat="1" ht="13.8">
      <c r="A353" s="192"/>
      <c r="B353" s="164"/>
      <c r="C353" s="183" t="str">
        <f t="shared" si="34"/>
        <v/>
      </c>
      <c r="D353" s="182" t="str">
        <f t="shared" si="35"/>
        <v/>
      </c>
      <c r="E353" s="192" t="s">
        <v>681</v>
      </c>
      <c r="F353" s="192" t="s">
        <v>677</v>
      </c>
      <c r="G353" s="192" t="s">
        <v>718</v>
      </c>
      <c r="H353" s="210" t="s">
        <v>1440</v>
      </c>
      <c r="I353" s="167">
        <v>259000000</v>
      </c>
      <c r="J353" s="166"/>
      <c r="K353" s="167">
        <v>259000000</v>
      </c>
      <c r="L353" s="171"/>
      <c r="M353" s="168">
        <f t="shared" si="36"/>
        <v>259000000</v>
      </c>
      <c r="N353" s="171"/>
      <c r="O353" s="167">
        <v>259000000</v>
      </c>
      <c r="P353" s="167">
        <f t="shared" si="37"/>
        <v>259000000</v>
      </c>
      <c r="Q353" s="167"/>
      <c r="S353" s="201">
        <f t="shared" si="38"/>
        <v>259</v>
      </c>
      <c r="T353" s="201">
        <f t="shared" si="33"/>
        <v>259</v>
      </c>
      <c r="U353" s="201">
        <f t="shared" si="33"/>
        <v>0</v>
      </c>
      <c r="V353" s="201">
        <f t="shared" si="33"/>
        <v>259</v>
      </c>
      <c r="W353" s="201">
        <f t="shared" si="33"/>
        <v>259</v>
      </c>
      <c r="X353" s="201">
        <f t="shared" si="33"/>
        <v>0</v>
      </c>
    </row>
    <row r="354" spans="1:24" s="169" customFormat="1" ht="26.4">
      <c r="A354" s="192" t="s">
        <v>835</v>
      </c>
      <c r="B354" s="165" t="s">
        <v>836</v>
      </c>
      <c r="C354" s="183" t="str">
        <f t="shared" si="34"/>
        <v>1037425</v>
      </c>
      <c r="D354" s="182" t="str">
        <f t="shared" si="35"/>
        <v>-Trường PT Dân tộc Nội trú luyện Đak hà</v>
      </c>
      <c r="E354" s="206"/>
      <c r="F354" s="207"/>
      <c r="G354" s="207"/>
      <c r="H354" s="205"/>
      <c r="I354" s="167">
        <v>11523083000</v>
      </c>
      <c r="J354" s="166"/>
      <c r="K354" s="167">
        <v>11235770000</v>
      </c>
      <c r="L354" s="168">
        <v>287313000</v>
      </c>
      <c r="M354" s="168">
        <f t="shared" si="36"/>
        <v>11523083000</v>
      </c>
      <c r="N354" s="168"/>
      <c r="O354" s="167">
        <v>11214569000</v>
      </c>
      <c r="P354" s="167">
        <f t="shared" si="37"/>
        <v>11214569000</v>
      </c>
      <c r="Q354" s="167"/>
      <c r="S354" s="201">
        <f t="shared" si="38"/>
        <v>11523.083000000001</v>
      </c>
      <c r="T354" s="201">
        <f t="shared" si="33"/>
        <v>11523.083000000001</v>
      </c>
      <c r="U354" s="201">
        <f t="shared" si="33"/>
        <v>0</v>
      </c>
      <c r="V354" s="201">
        <f t="shared" si="33"/>
        <v>11214.569</v>
      </c>
      <c r="W354" s="201">
        <f t="shared" si="33"/>
        <v>11214.569</v>
      </c>
      <c r="X354" s="201">
        <f t="shared" si="33"/>
        <v>0</v>
      </c>
    </row>
    <row r="355" spans="1:24" s="169" customFormat="1" ht="13.8">
      <c r="A355" s="192" t="s">
        <v>837</v>
      </c>
      <c r="B355" s="170" t="s">
        <v>689</v>
      </c>
      <c r="C355" s="183" t="str">
        <f t="shared" si="34"/>
        <v/>
      </c>
      <c r="D355" s="182" t="str">
        <f t="shared" si="35"/>
        <v/>
      </c>
      <c r="E355" s="206"/>
      <c r="F355" s="207"/>
      <c r="G355" s="207"/>
      <c r="H355" s="205"/>
      <c r="I355" s="167">
        <v>11523083000</v>
      </c>
      <c r="J355" s="166"/>
      <c r="K355" s="167">
        <v>11235770000</v>
      </c>
      <c r="L355" s="168">
        <v>287313000</v>
      </c>
      <c r="M355" s="168">
        <f t="shared" si="36"/>
        <v>11523083000</v>
      </c>
      <c r="N355" s="168"/>
      <c r="O355" s="167">
        <v>11214569000</v>
      </c>
      <c r="P355" s="167">
        <f t="shared" si="37"/>
        <v>11214569000</v>
      </c>
      <c r="Q355" s="167"/>
      <c r="S355" s="201">
        <f t="shared" si="38"/>
        <v>11523.083000000001</v>
      </c>
      <c r="T355" s="201">
        <f t="shared" si="33"/>
        <v>11523.083000000001</v>
      </c>
      <c r="U355" s="201">
        <f t="shared" si="33"/>
        <v>0</v>
      </c>
      <c r="V355" s="201">
        <f t="shared" si="33"/>
        <v>11214.569</v>
      </c>
      <c r="W355" s="201">
        <f t="shared" si="33"/>
        <v>11214.569</v>
      </c>
      <c r="X355" s="201">
        <f t="shared" si="33"/>
        <v>0</v>
      </c>
    </row>
    <row r="356" spans="1:24" s="169" customFormat="1" ht="13.8">
      <c r="A356" s="192"/>
      <c r="B356" s="170" t="s">
        <v>690</v>
      </c>
      <c r="C356" s="183" t="str">
        <f t="shared" si="34"/>
        <v/>
      </c>
      <c r="D356" s="182" t="str">
        <f t="shared" si="35"/>
        <v/>
      </c>
      <c r="E356" s="206"/>
      <c r="F356" s="207"/>
      <c r="G356" s="207"/>
      <c r="H356" s="205"/>
      <c r="I356" s="167">
        <v>7138633000</v>
      </c>
      <c r="J356" s="166"/>
      <c r="K356" s="167">
        <v>6917720000</v>
      </c>
      <c r="L356" s="168">
        <v>220913000</v>
      </c>
      <c r="M356" s="168">
        <f t="shared" si="36"/>
        <v>7138633000</v>
      </c>
      <c r="N356" s="168"/>
      <c r="O356" s="167">
        <v>7138633000</v>
      </c>
      <c r="P356" s="167">
        <f t="shared" si="37"/>
        <v>7138633000</v>
      </c>
      <c r="Q356" s="167"/>
      <c r="S356" s="201">
        <f t="shared" si="38"/>
        <v>7138.6329999999998</v>
      </c>
      <c r="T356" s="201">
        <f t="shared" si="33"/>
        <v>7138.6329999999998</v>
      </c>
      <c r="U356" s="201">
        <f t="shared" si="33"/>
        <v>0</v>
      </c>
      <c r="V356" s="201">
        <f t="shared" si="33"/>
        <v>7138.6329999999998</v>
      </c>
      <c r="W356" s="201">
        <f t="shared" si="33"/>
        <v>7138.6329999999998</v>
      </c>
      <c r="X356" s="201">
        <f t="shared" si="33"/>
        <v>0</v>
      </c>
    </row>
    <row r="357" spans="1:24" s="169" customFormat="1" ht="13.8">
      <c r="A357" s="193"/>
      <c r="B357" s="187"/>
      <c r="C357" s="183" t="str">
        <f t="shared" si="34"/>
        <v/>
      </c>
      <c r="D357" s="182" t="str">
        <f t="shared" si="35"/>
        <v/>
      </c>
      <c r="E357" s="192" t="s">
        <v>666</v>
      </c>
      <c r="F357" s="192" t="s">
        <v>677</v>
      </c>
      <c r="G357" s="192" t="s">
        <v>685</v>
      </c>
      <c r="H357" s="210" t="s">
        <v>1440</v>
      </c>
      <c r="I357" s="167">
        <v>6917720000</v>
      </c>
      <c r="J357" s="166"/>
      <c r="K357" s="167">
        <v>6917720000</v>
      </c>
      <c r="L357" s="171"/>
      <c r="M357" s="168">
        <f t="shared" si="36"/>
        <v>6917720000</v>
      </c>
      <c r="N357" s="171"/>
      <c r="O357" s="167">
        <v>6917720000</v>
      </c>
      <c r="P357" s="167">
        <f t="shared" si="37"/>
        <v>6917720000</v>
      </c>
      <c r="Q357" s="167"/>
      <c r="S357" s="201">
        <f t="shared" si="38"/>
        <v>6917.72</v>
      </c>
      <c r="T357" s="201">
        <f t="shared" si="33"/>
        <v>6917.72</v>
      </c>
      <c r="U357" s="201">
        <f t="shared" si="33"/>
        <v>0</v>
      </c>
      <c r="V357" s="201">
        <f t="shared" si="33"/>
        <v>6917.72</v>
      </c>
      <c r="W357" s="201">
        <f t="shared" si="33"/>
        <v>6917.72</v>
      </c>
      <c r="X357" s="201">
        <f t="shared" si="33"/>
        <v>0</v>
      </c>
    </row>
    <row r="358" spans="1:24" s="169" customFormat="1" ht="13.8">
      <c r="A358" s="194"/>
      <c r="B358" s="184"/>
      <c r="C358" s="183" t="str">
        <f t="shared" si="34"/>
        <v/>
      </c>
      <c r="D358" s="182" t="str">
        <f t="shared" si="35"/>
        <v/>
      </c>
      <c r="E358" s="192" t="s">
        <v>679</v>
      </c>
      <c r="F358" s="192" t="s">
        <v>677</v>
      </c>
      <c r="G358" s="192" t="s">
        <v>685</v>
      </c>
      <c r="H358" s="210" t="s">
        <v>1440</v>
      </c>
      <c r="I358" s="167">
        <v>191000000</v>
      </c>
      <c r="J358" s="166"/>
      <c r="K358" s="166"/>
      <c r="L358" s="168">
        <v>191000000</v>
      </c>
      <c r="M358" s="168">
        <f t="shared" si="36"/>
        <v>191000000</v>
      </c>
      <c r="N358" s="168"/>
      <c r="O358" s="167">
        <v>191000000</v>
      </c>
      <c r="P358" s="167">
        <f t="shared" si="37"/>
        <v>191000000</v>
      </c>
      <c r="Q358" s="167"/>
      <c r="S358" s="201">
        <f t="shared" si="38"/>
        <v>191</v>
      </c>
      <c r="T358" s="201">
        <f t="shared" si="33"/>
        <v>191</v>
      </c>
      <c r="U358" s="201">
        <f t="shared" si="33"/>
        <v>0</v>
      </c>
      <c r="V358" s="201">
        <f t="shared" si="33"/>
        <v>191</v>
      </c>
      <c r="W358" s="201">
        <f t="shared" si="33"/>
        <v>191</v>
      </c>
      <c r="X358" s="201">
        <f t="shared" si="33"/>
        <v>0</v>
      </c>
    </row>
    <row r="359" spans="1:24" s="169" customFormat="1" ht="13.8">
      <c r="A359" s="195"/>
      <c r="B359" s="188"/>
      <c r="C359" s="183" t="str">
        <f t="shared" si="34"/>
        <v/>
      </c>
      <c r="D359" s="182" t="str">
        <f t="shared" si="35"/>
        <v/>
      </c>
      <c r="E359" s="192" t="s">
        <v>669</v>
      </c>
      <c r="F359" s="192" t="s">
        <v>677</v>
      </c>
      <c r="G359" s="192" t="s">
        <v>685</v>
      </c>
      <c r="H359" s="210" t="s">
        <v>1440</v>
      </c>
      <c r="I359" s="167">
        <v>29913000</v>
      </c>
      <c r="J359" s="166"/>
      <c r="K359" s="166"/>
      <c r="L359" s="168">
        <v>29913000</v>
      </c>
      <c r="M359" s="168">
        <f t="shared" si="36"/>
        <v>29913000</v>
      </c>
      <c r="N359" s="168"/>
      <c r="O359" s="167">
        <v>29913000</v>
      </c>
      <c r="P359" s="167">
        <f t="shared" si="37"/>
        <v>29913000</v>
      </c>
      <c r="Q359" s="167"/>
      <c r="S359" s="201">
        <f t="shared" si="38"/>
        <v>29.913</v>
      </c>
      <c r="T359" s="201">
        <f t="shared" si="33"/>
        <v>29.913</v>
      </c>
      <c r="U359" s="201">
        <f t="shared" si="33"/>
        <v>0</v>
      </c>
      <c r="V359" s="201">
        <f t="shared" si="33"/>
        <v>29.913</v>
      </c>
      <c r="W359" s="201">
        <f t="shared" si="33"/>
        <v>29.913</v>
      </c>
      <c r="X359" s="201">
        <f t="shared" si="33"/>
        <v>0</v>
      </c>
    </row>
    <row r="360" spans="1:24" s="169" customFormat="1" ht="13.8">
      <c r="A360" s="192"/>
      <c r="B360" s="170" t="s">
        <v>686</v>
      </c>
      <c r="C360" s="183" t="str">
        <f t="shared" si="34"/>
        <v/>
      </c>
      <c r="D360" s="182" t="str">
        <f t="shared" si="35"/>
        <v/>
      </c>
      <c r="E360" s="206"/>
      <c r="F360" s="207"/>
      <c r="G360" s="207"/>
      <c r="H360" s="205"/>
      <c r="I360" s="167">
        <v>4384450000</v>
      </c>
      <c r="J360" s="166"/>
      <c r="K360" s="167">
        <v>4318050000</v>
      </c>
      <c r="L360" s="168">
        <v>66400000</v>
      </c>
      <c r="M360" s="168">
        <f t="shared" si="36"/>
        <v>4384450000</v>
      </c>
      <c r="N360" s="168"/>
      <c r="O360" s="167">
        <v>4075936000</v>
      </c>
      <c r="P360" s="167">
        <f t="shared" si="37"/>
        <v>4075936000</v>
      </c>
      <c r="Q360" s="167"/>
      <c r="S360" s="201">
        <f t="shared" si="38"/>
        <v>4384.45</v>
      </c>
      <c r="T360" s="201">
        <f t="shared" si="33"/>
        <v>4384.45</v>
      </c>
      <c r="U360" s="201">
        <f t="shared" si="33"/>
        <v>0</v>
      </c>
      <c r="V360" s="201">
        <f t="shared" si="33"/>
        <v>4075.9360000000001</v>
      </c>
      <c r="W360" s="201">
        <f t="shared" si="33"/>
        <v>4075.9360000000001</v>
      </c>
      <c r="X360" s="201">
        <f t="shared" si="33"/>
        <v>0</v>
      </c>
    </row>
    <row r="361" spans="1:24" s="169" customFormat="1" ht="13.8">
      <c r="A361" s="193"/>
      <c r="B361" s="187"/>
      <c r="C361" s="183" t="str">
        <f t="shared" si="34"/>
        <v/>
      </c>
      <c r="D361" s="182" t="str">
        <f t="shared" si="35"/>
        <v/>
      </c>
      <c r="E361" s="192" t="s">
        <v>681</v>
      </c>
      <c r="F361" s="192" t="s">
        <v>677</v>
      </c>
      <c r="G361" s="192" t="s">
        <v>685</v>
      </c>
      <c r="H361" s="210" t="s">
        <v>1440</v>
      </c>
      <c r="I361" s="167">
        <v>680250000</v>
      </c>
      <c r="J361" s="166"/>
      <c r="K361" s="167">
        <v>680250000</v>
      </c>
      <c r="L361" s="171"/>
      <c r="M361" s="168">
        <f t="shared" si="36"/>
        <v>680250000</v>
      </c>
      <c r="N361" s="171"/>
      <c r="O361" s="167">
        <v>677982000</v>
      </c>
      <c r="P361" s="167">
        <f t="shared" si="37"/>
        <v>677982000</v>
      </c>
      <c r="Q361" s="167"/>
      <c r="S361" s="201">
        <f t="shared" si="38"/>
        <v>680.25</v>
      </c>
      <c r="T361" s="201">
        <f t="shared" si="33"/>
        <v>680.25</v>
      </c>
      <c r="U361" s="201">
        <f t="shared" si="33"/>
        <v>0</v>
      </c>
      <c r="V361" s="201">
        <f t="shared" si="33"/>
        <v>677.98199999999997</v>
      </c>
      <c r="W361" s="201">
        <f t="shared" si="33"/>
        <v>677.98199999999997</v>
      </c>
      <c r="X361" s="201">
        <f t="shared" si="33"/>
        <v>0</v>
      </c>
    </row>
    <row r="362" spans="1:24" s="169" customFormat="1" ht="13.8">
      <c r="A362" s="194"/>
      <c r="B362" s="184"/>
      <c r="C362" s="183" t="str">
        <f t="shared" si="34"/>
        <v/>
      </c>
      <c r="D362" s="182" t="str">
        <f t="shared" si="35"/>
        <v/>
      </c>
      <c r="E362" s="192" t="s">
        <v>679</v>
      </c>
      <c r="F362" s="192" t="s">
        <v>677</v>
      </c>
      <c r="G362" s="192" t="s">
        <v>685</v>
      </c>
      <c r="H362" s="210" t="s">
        <v>1440</v>
      </c>
      <c r="I362" s="167">
        <v>2814800000</v>
      </c>
      <c r="J362" s="166"/>
      <c r="K362" s="167">
        <v>2814800000</v>
      </c>
      <c r="L362" s="171"/>
      <c r="M362" s="168">
        <f t="shared" si="36"/>
        <v>2814800000</v>
      </c>
      <c r="N362" s="171"/>
      <c r="O362" s="167">
        <v>2519004000</v>
      </c>
      <c r="P362" s="167">
        <f t="shared" si="37"/>
        <v>2519004000</v>
      </c>
      <c r="Q362" s="167"/>
      <c r="S362" s="201">
        <f t="shared" si="38"/>
        <v>2814.8</v>
      </c>
      <c r="T362" s="201">
        <f t="shared" si="33"/>
        <v>2814.8</v>
      </c>
      <c r="U362" s="201">
        <f t="shared" si="33"/>
        <v>0</v>
      </c>
      <c r="V362" s="201">
        <f t="shared" si="33"/>
        <v>2519.0039999999999</v>
      </c>
      <c r="W362" s="201">
        <f t="shared" si="33"/>
        <v>2519.0039999999999</v>
      </c>
      <c r="X362" s="201">
        <f t="shared" si="33"/>
        <v>0</v>
      </c>
    </row>
    <row r="363" spans="1:24" s="169" customFormat="1" ht="13.8">
      <c r="A363" s="195"/>
      <c r="B363" s="188"/>
      <c r="C363" s="183" t="str">
        <f t="shared" si="34"/>
        <v/>
      </c>
      <c r="D363" s="182" t="str">
        <f t="shared" si="35"/>
        <v/>
      </c>
      <c r="E363" s="192" t="s">
        <v>669</v>
      </c>
      <c r="F363" s="192" t="s">
        <v>677</v>
      </c>
      <c r="G363" s="192" t="s">
        <v>685</v>
      </c>
      <c r="H363" s="210" t="s">
        <v>1440</v>
      </c>
      <c r="I363" s="167">
        <v>889400000</v>
      </c>
      <c r="J363" s="166"/>
      <c r="K363" s="167">
        <v>823000000</v>
      </c>
      <c r="L363" s="168">
        <v>66400000</v>
      </c>
      <c r="M363" s="168">
        <f t="shared" si="36"/>
        <v>889400000</v>
      </c>
      <c r="N363" s="168"/>
      <c r="O363" s="167">
        <v>878950000</v>
      </c>
      <c r="P363" s="167">
        <f t="shared" si="37"/>
        <v>878950000</v>
      </c>
      <c r="Q363" s="167"/>
      <c r="S363" s="201">
        <f t="shared" si="38"/>
        <v>889.4</v>
      </c>
      <c r="T363" s="201">
        <f t="shared" si="33"/>
        <v>889.4</v>
      </c>
      <c r="U363" s="201">
        <f t="shared" si="33"/>
        <v>0</v>
      </c>
      <c r="V363" s="201">
        <f t="shared" si="33"/>
        <v>878.95</v>
      </c>
      <c r="W363" s="201">
        <f t="shared" si="33"/>
        <v>878.95</v>
      </c>
      <c r="X363" s="201">
        <f t="shared" si="33"/>
        <v>0</v>
      </c>
    </row>
    <row r="364" spans="1:24" s="169" customFormat="1" ht="27.6">
      <c r="A364" s="192" t="s">
        <v>838</v>
      </c>
      <c r="B364" s="165" t="s">
        <v>839</v>
      </c>
      <c r="C364" s="183" t="str">
        <f t="shared" si="34"/>
        <v>1037427</v>
      </c>
      <c r="D364" s="182" t="str">
        <f t="shared" si="35"/>
        <v>-Trường Trung học PhS thông Chuyên Nguyễn Tãt Thành</v>
      </c>
      <c r="E364" s="206"/>
      <c r="F364" s="207"/>
      <c r="G364" s="207"/>
      <c r="H364" s="205"/>
      <c r="I364" s="167">
        <v>12676065000</v>
      </c>
      <c r="J364" s="167">
        <v>2420000</v>
      </c>
      <c r="K364" s="167">
        <v>12605649000</v>
      </c>
      <c r="L364" s="168">
        <v>67996000</v>
      </c>
      <c r="M364" s="168">
        <f t="shared" si="36"/>
        <v>12676065000</v>
      </c>
      <c r="N364" s="168"/>
      <c r="O364" s="167">
        <v>12671505000</v>
      </c>
      <c r="P364" s="167">
        <f t="shared" si="37"/>
        <v>12671505000</v>
      </c>
      <c r="Q364" s="167"/>
      <c r="S364" s="201">
        <f t="shared" si="38"/>
        <v>12676.065000000001</v>
      </c>
      <c r="T364" s="201">
        <f t="shared" si="33"/>
        <v>12676.065000000001</v>
      </c>
      <c r="U364" s="201">
        <f t="shared" si="33"/>
        <v>0</v>
      </c>
      <c r="V364" s="201">
        <f t="shared" si="33"/>
        <v>12671.504999999999</v>
      </c>
      <c r="W364" s="201">
        <f t="shared" si="33"/>
        <v>12671.504999999999</v>
      </c>
      <c r="X364" s="201">
        <f t="shared" si="33"/>
        <v>0</v>
      </c>
    </row>
    <row r="365" spans="1:24" s="169" customFormat="1" ht="13.8">
      <c r="A365" s="192" t="s">
        <v>840</v>
      </c>
      <c r="B365" s="170" t="s">
        <v>689</v>
      </c>
      <c r="C365" s="183" t="str">
        <f t="shared" si="34"/>
        <v/>
      </c>
      <c r="D365" s="182" t="str">
        <f t="shared" si="35"/>
        <v/>
      </c>
      <c r="E365" s="206"/>
      <c r="F365" s="207"/>
      <c r="G365" s="207"/>
      <c r="H365" s="205"/>
      <c r="I365" s="167">
        <v>12676065000</v>
      </c>
      <c r="J365" s="167">
        <v>2420000</v>
      </c>
      <c r="K365" s="167">
        <v>12605649000</v>
      </c>
      <c r="L365" s="168">
        <v>67996000</v>
      </c>
      <c r="M365" s="168">
        <f t="shared" si="36"/>
        <v>12676065000</v>
      </c>
      <c r="N365" s="168"/>
      <c r="O365" s="167">
        <v>12671505000</v>
      </c>
      <c r="P365" s="167">
        <f t="shared" si="37"/>
        <v>12671505000</v>
      </c>
      <c r="Q365" s="167"/>
      <c r="S365" s="201">
        <f t="shared" si="38"/>
        <v>12676.065000000001</v>
      </c>
      <c r="T365" s="201">
        <f t="shared" si="33"/>
        <v>12676.065000000001</v>
      </c>
      <c r="U365" s="201">
        <f t="shared" si="33"/>
        <v>0</v>
      </c>
      <c r="V365" s="201">
        <f t="shared" si="33"/>
        <v>12671.504999999999</v>
      </c>
      <c r="W365" s="201">
        <f t="shared" si="33"/>
        <v>12671.504999999999</v>
      </c>
      <c r="X365" s="201">
        <f t="shared" si="33"/>
        <v>0</v>
      </c>
    </row>
    <row r="366" spans="1:24" s="169" customFormat="1" ht="13.8">
      <c r="A366" s="192"/>
      <c r="B366" s="170" t="s">
        <v>690</v>
      </c>
      <c r="C366" s="183" t="str">
        <f t="shared" si="34"/>
        <v/>
      </c>
      <c r="D366" s="182" t="str">
        <f t="shared" si="35"/>
        <v/>
      </c>
      <c r="E366" s="206"/>
      <c r="F366" s="207"/>
      <c r="G366" s="207"/>
      <c r="H366" s="205"/>
      <c r="I366" s="167">
        <v>11080359000</v>
      </c>
      <c r="J366" s="167">
        <v>2420000</v>
      </c>
      <c r="K366" s="167">
        <v>11013143000</v>
      </c>
      <c r="L366" s="168">
        <v>64796000</v>
      </c>
      <c r="M366" s="168">
        <f t="shared" si="36"/>
        <v>11080359000</v>
      </c>
      <c r="N366" s="168"/>
      <c r="O366" s="167">
        <v>11080359000</v>
      </c>
      <c r="P366" s="167">
        <f t="shared" si="37"/>
        <v>11080359000</v>
      </c>
      <c r="Q366" s="167"/>
      <c r="S366" s="201">
        <f t="shared" si="38"/>
        <v>11080.359</v>
      </c>
      <c r="T366" s="201">
        <f t="shared" si="33"/>
        <v>11080.359</v>
      </c>
      <c r="U366" s="201">
        <f t="shared" si="33"/>
        <v>0</v>
      </c>
      <c r="V366" s="201">
        <f t="shared" si="33"/>
        <v>11080.359</v>
      </c>
      <c r="W366" s="201">
        <f t="shared" si="33"/>
        <v>11080.359</v>
      </c>
      <c r="X366" s="201">
        <f t="shared" si="33"/>
        <v>0</v>
      </c>
    </row>
    <row r="367" spans="1:24" s="169" customFormat="1" ht="13.8">
      <c r="A367" s="193"/>
      <c r="B367" s="187"/>
      <c r="C367" s="183" t="str">
        <f t="shared" si="34"/>
        <v/>
      </c>
      <c r="D367" s="182" t="str">
        <f t="shared" si="35"/>
        <v/>
      </c>
      <c r="E367" s="192" t="s">
        <v>666</v>
      </c>
      <c r="F367" s="192" t="s">
        <v>677</v>
      </c>
      <c r="G367" s="192" t="s">
        <v>678</v>
      </c>
      <c r="H367" s="210" t="s">
        <v>1440</v>
      </c>
      <c r="I367" s="167">
        <v>11015563000</v>
      </c>
      <c r="J367" s="167">
        <v>2420000</v>
      </c>
      <c r="K367" s="167">
        <v>11013143000</v>
      </c>
      <c r="L367" s="171"/>
      <c r="M367" s="168">
        <f t="shared" si="36"/>
        <v>11015563000</v>
      </c>
      <c r="N367" s="171"/>
      <c r="O367" s="167">
        <v>11015563000</v>
      </c>
      <c r="P367" s="167">
        <f t="shared" si="37"/>
        <v>11015563000</v>
      </c>
      <c r="Q367" s="167"/>
      <c r="S367" s="201">
        <f t="shared" si="38"/>
        <v>11015.563</v>
      </c>
      <c r="T367" s="201">
        <f t="shared" si="33"/>
        <v>11015.563</v>
      </c>
      <c r="U367" s="201">
        <f t="shared" si="33"/>
        <v>0</v>
      </c>
      <c r="V367" s="201">
        <f t="shared" si="33"/>
        <v>11015.563</v>
      </c>
      <c r="W367" s="201">
        <f t="shared" si="33"/>
        <v>11015.563</v>
      </c>
      <c r="X367" s="201">
        <f t="shared" si="33"/>
        <v>0</v>
      </c>
    </row>
    <row r="368" spans="1:24" s="169" customFormat="1" ht="13.8">
      <c r="A368" s="194"/>
      <c r="B368" s="184"/>
      <c r="C368" s="183" t="str">
        <f t="shared" si="34"/>
        <v/>
      </c>
      <c r="D368" s="182" t="str">
        <f t="shared" si="35"/>
        <v/>
      </c>
      <c r="E368" s="192" t="s">
        <v>679</v>
      </c>
      <c r="F368" s="192" t="s">
        <v>677</v>
      </c>
      <c r="G368" s="192" t="s">
        <v>678</v>
      </c>
      <c r="H368" s="210" t="s">
        <v>1440</v>
      </c>
      <c r="I368" s="167">
        <v>61000000</v>
      </c>
      <c r="J368" s="166"/>
      <c r="K368" s="166"/>
      <c r="L368" s="168">
        <v>61000000</v>
      </c>
      <c r="M368" s="168">
        <f t="shared" si="36"/>
        <v>61000000</v>
      </c>
      <c r="N368" s="168"/>
      <c r="O368" s="167">
        <v>61000000</v>
      </c>
      <c r="P368" s="167">
        <f t="shared" si="37"/>
        <v>61000000</v>
      </c>
      <c r="Q368" s="167"/>
      <c r="S368" s="201">
        <f t="shared" si="38"/>
        <v>61</v>
      </c>
      <c r="T368" s="201">
        <f t="shared" si="33"/>
        <v>61</v>
      </c>
      <c r="U368" s="201">
        <f t="shared" si="33"/>
        <v>0</v>
      </c>
      <c r="V368" s="201">
        <f t="shared" si="33"/>
        <v>61</v>
      </c>
      <c r="W368" s="201">
        <f t="shared" si="33"/>
        <v>61</v>
      </c>
      <c r="X368" s="201">
        <f t="shared" si="33"/>
        <v>0</v>
      </c>
    </row>
    <row r="369" spans="1:24" s="169" customFormat="1" ht="13.8">
      <c r="A369" s="195"/>
      <c r="B369" s="188"/>
      <c r="C369" s="183" t="str">
        <f t="shared" si="34"/>
        <v/>
      </c>
      <c r="D369" s="182" t="str">
        <f t="shared" si="35"/>
        <v/>
      </c>
      <c r="E369" s="192" t="s">
        <v>669</v>
      </c>
      <c r="F369" s="192" t="s">
        <v>677</v>
      </c>
      <c r="G369" s="192" t="s">
        <v>678</v>
      </c>
      <c r="H369" s="210" t="s">
        <v>1440</v>
      </c>
      <c r="I369" s="167">
        <v>3796000</v>
      </c>
      <c r="J369" s="166"/>
      <c r="K369" s="166"/>
      <c r="L369" s="168">
        <v>3796000</v>
      </c>
      <c r="M369" s="168">
        <f t="shared" si="36"/>
        <v>3796000</v>
      </c>
      <c r="N369" s="168"/>
      <c r="O369" s="167">
        <v>3796000</v>
      </c>
      <c r="P369" s="167">
        <f t="shared" si="37"/>
        <v>3796000</v>
      </c>
      <c r="Q369" s="167"/>
      <c r="S369" s="201">
        <f t="shared" si="38"/>
        <v>3.7959999999999998</v>
      </c>
      <c r="T369" s="201">
        <f t="shared" si="33"/>
        <v>3.7959999999999998</v>
      </c>
      <c r="U369" s="201">
        <f t="shared" si="33"/>
        <v>0</v>
      </c>
      <c r="V369" s="201">
        <f t="shared" si="33"/>
        <v>3.7959999999999998</v>
      </c>
      <c r="W369" s="201">
        <f t="shared" si="33"/>
        <v>3.7959999999999998</v>
      </c>
      <c r="X369" s="201">
        <f t="shared" si="33"/>
        <v>0</v>
      </c>
    </row>
    <row r="370" spans="1:24" s="169" customFormat="1" ht="13.8">
      <c r="A370" s="192"/>
      <c r="B370" s="170" t="s">
        <v>686</v>
      </c>
      <c r="C370" s="183" t="str">
        <f t="shared" si="34"/>
        <v/>
      </c>
      <c r="D370" s="182" t="str">
        <f t="shared" si="35"/>
        <v/>
      </c>
      <c r="E370" s="206"/>
      <c r="F370" s="207"/>
      <c r="G370" s="207"/>
      <c r="H370" s="205"/>
      <c r="I370" s="167">
        <v>1595706000</v>
      </c>
      <c r="J370" s="166"/>
      <c r="K370" s="167">
        <v>1592506000</v>
      </c>
      <c r="L370" s="168">
        <v>3200000</v>
      </c>
      <c r="M370" s="168">
        <f t="shared" si="36"/>
        <v>1595706000</v>
      </c>
      <c r="N370" s="168"/>
      <c r="O370" s="167">
        <v>1591146000</v>
      </c>
      <c r="P370" s="167">
        <f t="shared" si="37"/>
        <v>1591146000</v>
      </c>
      <c r="Q370" s="167"/>
      <c r="S370" s="201">
        <f t="shared" si="38"/>
        <v>1595.7059999999999</v>
      </c>
      <c r="T370" s="201">
        <f t="shared" si="33"/>
        <v>1595.7059999999999</v>
      </c>
      <c r="U370" s="201">
        <f t="shared" si="33"/>
        <v>0</v>
      </c>
      <c r="V370" s="201">
        <f t="shared" si="33"/>
        <v>1591.146</v>
      </c>
      <c r="W370" s="201">
        <f t="shared" si="33"/>
        <v>1591.146</v>
      </c>
      <c r="X370" s="201">
        <f t="shared" si="33"/>
        <v>0</v>
      </c>
    </row>
    <row r="371" spans="1:24" s="169" customFormat="1" ht="13.8">
      <c r="A371" s="193"/>
      <c r="B371" s="187"/>
      <c r="C371" s="183" t="str">
        <f t="shared" si="34"/>
        <v/>
      </c>
      <c r="D371" s="182" t="str">
        <f t="shared" si="35"/>
        <v/>
      </c>
      <c r="E371" s="192" t="s">
        <v>681</v>
      </c>
      <c r="F371" s="192" t="s">
        <v>677</v>
      </c>
      <c r="G371" s="192" t="s">
        <v>678</v>
      </c>
      <c r="H371" s="210" t="s">
        <v>1440</v>
      </c>
      <c r="I371" s="167">
        <v>1583000000</v>
      </c>
      <c r="J371" s="166"/>
      <c r="K371" s="167">
        <v>1583000000</v>
      </c>
      <c r="L371" s="171"/>
      <c r="M371" s="168">
        <f t="shared" si="36"/>
        <v>1583000000</v>
      </c>
      <c r="N371" s="171"/>
      <c r="O371" s="167">
        <v>1578440000</v>
      </c>
      <c r="P371" s="167">
        <f t="shared" si="37"/>
        <v>1578440000</v>
      </c>
      <c r="Q371" s="167"/>
      <c r="S371" s="201">
        <f t="shared" si="38"/>
        <v>1583</v>
      </c>
      <c r="T371" s="201">
        <f t="shared" si="33"/>
        <v>1583</v>
      </c>
      <c r="U371" s="201">
        <f t="shared" si="33"/>
        <v>0</v>
      </c>
      <c r="V371" s="201">
        <f t="shared" si="33"/>
        <v>1578.44</v>
      </c>
      <c r="W371" s="201">
        <f t="shared" si="33"/>
        <v>1578.44</v>
      </c>
      <c r="X371" s="201">
        <f t="shared" si="33"/>
        <v>0</v>
      </c>
    </row>
    <row r="372" spans="1:24" s="169" customFormat="1" ht="13.8">
      <c r="A372" s="195"/>
      <c r="B372" s="188"/>
      <c r="C372" s="183" t="str">
        <f t="shared" si="34"/>
        <v/>
      </c>
      <c r="D372" s="182" t="str">
        <f t="shared" si="35"/>
        <v/>
      </c>
      <c r="E372" s="192" t="s">
        <v>669</v>
      </c>
      <c r="F372" s="192" t="s">
        <v>677</v>
      </c>
      <c r="G372" s="192" t="s">
        <v>678</v>
      </c>
      <c r="H372" s="210" t="s">
        <v>1440</v>
      </c>
      <c r="I372" s="167">
        <v>12706000</v>
      </c>
      <c r="J372" s="166"/>
      <c r="K372" s="167">
        <v>9506000</v>
      </c>
      <c r="L372" s="168">
        <v>3200000</v>
      </c>
      <c r="M372" s="168">
        <f t="shared" si="36"/>
        <v>12706000</v>
      </c>
      <c r="N372" s="168"/>
      <c r="O372" s="167">
        <v>12706000</v>
      </c>
      <c r="P372" s="167">
        <f t="shared" si="37"/>
        <v>12706000</v>
      </c>
      <c r="Q372" s="167"/>
      <c r="S372" s="201">
        <f t="shared" si="38"/>
        <v>12.706</v>
      </c>
      <c r="T372" s="201">
        <f t="shared" si="33"/>
        <v>12.706</v>
      </c>
      <c r="U372" s="201">
        <f t="shared" si="33"/>
        <v>0</v>
      </c>
      <c r="V372" s="201">
        <f t="shared" si="33"/>
        <v>12.706</v>
      </c>
      <c r="W372" s="201">
        <f t="shared" si="33"/>
        <v>12.706</v>
      </c>
      <c r="X372" s="201">
        <f t="shared" si="33"/>
        <v>0</v>
      </c>
    </row>
    <row r="373" spans="1:24" s="169" customFormat="1" ht="26.4">
      <c r="A373" s="192" t="s">
        <v>841</v>
      </c>
      <c r="B373" s="165" t="s">
        <v>842</v>
      </c>
      <c r="C373" s="183" t="str">
        <f t="shared" si="34"/>
        <v>1037433</v>
      </c>
      <c r="D373" s="182" t="str">
        <f t="shared" si="35"/>
        <v>-BQL vườn quốc gia Chư Mom Ray</v>
      </c>
      <c r="E373" s="206"/>
      <c r="F373" s="207"/>
      <c r="G373" s="207"/>
      <c r="H373" s="205"/>
      <c r="I373" s="167">
        <v>23149583821</v>
      </c>
      <c r="J373" s="167">
        <v>5483583821</v>
      </c>
      <c r="K373" s="167">
        <v>8004000000</v>
      </c>
      <c r="L373" s="168">
        <v>9662000000</v>
      </c>
      <c r="M373" s="168">
        <f t="shared" si="36"/>
        <v>23149583821</v>
      </c>
      <c r="N373" s="168"/>
      <c r="O373" s="167">
        <v>16909146563</v>
      </c>
      <c r="P373" s="167">
        <f t="shared" si="37"/>
        <v>16909146563</v>
      </c>
      <c r="Q373" s="167"/>
      <c r="S373" s="201">
        <f t="shared" si="38"/>
        <v>23149.583821</v>
      </c>
      <c r="T373" s="201">
        <f t="shared" si="33"/>
        <v>23149.583821</v>
      </c>
      <c r="U373" s="201">
        <f t="shared" si="33"/>
        <v>0</v>
      </c>
      <c r="V373" s="201">
        <f t="shared" si="33"/>
        <v>16909.146562999998</v>
      </c>
      <c r="W373" s="201">
        <f t="shared" si="33"/>
        <v>16909.146562999998</v>
      </c>
      <c r="X373" s="201">
        <f t="shared" si="33"/>
        <v>0</v>
      </c>
    </row>
    <row r="374" spans="1:24" s="169" customFormat="1" ht="13.8">
      <c r="A374" s="192" t="s">
        <v>843</v>
      </c>
      <c r="B374" s="170" t="s">
        <v>689</v>
      </c>
      <c r="C374" s="183" t="str">
        <f t="shared" si="34"/>
        <v/>
      </c>
      <c r="D374" s="182" t="str">
        <f t="shared" si="35"/>
        <v/>
      </c>
      <c r="E374" s="206"/>
      <c r="F374" s="207"/>
      <c r="G374" s="207"/>
      <c r="H374" s="205"/>
      <c r="I374" s="167">
        <v>8868833821</v>
      </c>
      <c r="J374" s="167">
        <v>266833821</v>
      </c>
      <c r="K374" s="167">
        <v>8004000000</v>
      </c>
      <c r="L374" s="168">
        <v>598000000</v>
      </c>
      <c r="M374" s="168">
        <f t="shared" si="36"/>
        <v>8868833821</v>
      </c>
      <c r="N374" s="168"/>
      <c r="O374" s="167">
        <v>8860886179</v>
      </c>
      <c r="P374" s="167">
        <f t="shared" si="37"/>
        <v>8860886179</v>
      </c>
      <c r="Q374" s="167"/>
      <c r="S374" s="201">
        <f t="shared" si="38"/>
        <v>8868.8338210000002</v>
      </c>
      <c r="T374" s="201">
        <f t="shared" si="33"/>
        <v>8868.8338210000002</v>
      </c>
      <c r="U374" s="201">
        <f t="shared" si="33"/>
        <v>0</v>
      </c>
      <c r="V374" s="201">
        <f t="shared" si="33"/>
        <v>8860.8861789999992</v>
      </c>
      <c r="W374" s="201">
        <f t="shared" si="33"/>
        <v>8860.8861789999992</v>
      </c>
      <c r="X374" s="201">
        <f t="shared" si="33"/>
        <v>0</v>
      </c>
    </row>
    <row r="375" spans="1:24" s="169" customFormat="1" ht="13.8">
      <c r="A375" s="192"/>
      <c r="B375" s="173"/>
      <c r="C375" s="183" t="str">
        <f t="shared" si="34"/>
        <v/>
      </c>
      <c r="D375" s="182" t="str">
        <f t="shared" si="35"/>
        <v/>
      </c>
      <c r="E375" s="192"/>
      <c r="F375" s="192"/>
      <c r="G375" s="192"/>
      <c r="H375" s="210"/>
      <c r="I375" s="174"/>
      <c r="J375" s="174"/>
      <c r="K375" s="174"/>
      <c r="L375" s="175"/>
      <c r="M375" s="168">
        <f t="shared" si="36"/>
        <v>0</v>
      </c>
      <c r="N375" s="175"/>
      <c r="O375" s="174"/>
      <c r="P375" s="167">
        <f t="shared" si="37"/>
        <v>0</v>
      </c>
      <c r="Q375" s="174"/>
      <c r="S375" s="201">
        <f t="shared" si="38"/>
        <v>0</v>
      </c>
      <c r="T375" s="201">
        <f t="shared" si="33"/>
        <v>0</v>
      </c>
      <c r="U375" s="201">
        <f t="shared" si="33"/>
        <v>0</v>
      </c>
      <c r="V375" s="201">
        <f t="shared" si="33"/>
        <v>0</v>
      </c>
      <c r="W375" s="201">
        <f t="shared" si="33"/>
        <v>0</v>
      </c>
      <c r="X375" s="201">
        <f t="shared" si="33"/>
        <v>0</v>
      </c>
    </row>
    <row r="376" spans="1:24" s="169" customFormat="1" ht="13.8">
      <c r="A376" s="192"/>
      <c r="B376" s="170" t="s">
        <v>690</v>
      </c>
      <c r="C376" s="183" t="str">
        <f t="shared" si="34"/>
        <v/>
      </c>
      <c r="D376" s="182" t="str">
        <f t="shared" si="35"/>
        <v/>
      </c>
      <c r="E376" s="206"/>
      <c r="F376" s="207"/>
      <c r="G376" s="207"/>
      <c r="H376" s="205"/>
      <c r="I376" s="166"/>
      <c r="J376" s="167">
        <v>237000000</v>
      </c>
      <c r="K376" s="166"/>
      <c r="L376" s="168">
        <v>-237000000</v>
      </c>
      <c r="M376" s="168">
        <f t="shared" si="36"/>
        <v>0</v>
      </c>
      <c r="N376" s="168"/>
      <c r="O376" s="166"/>
      <c r="P376" s="167">
        <f t="shared" si="37"/>
        <v>0</v>
      </c>
      <c r="Q376" s="166"/>
      <c r="S376" s="201">
        <f t="shared" si="38"/>
        <v>0</v>
      </c>
      <c r="T376" s="201">
        <f t="shared" si="33"/>
        <v>0</v>
      </c>
      <c r="U376" s="201">
        <f t="shared" si="33"/>
        <v>0</v>
      </c>
      <c r="V376" s="201">
        <f t="shared" si="33"/>
        <v>0</v>
      </c>
      <c r="W376" s="201">
        <f t="shared" si="33"/>
        <v>0</v>
      </c>
      <c r="X376" s="201">
        <f t="shared" si="33"/>
        <v>0</v>
      </c>
    </row>
    <row r="377" spans="1:24" s="169" customFormat="1" ht="13.8">
      <c r="A377" s="192"/>
      <c r="B377" s="164"/>
      <c r="C377" s="183" t="str">
        <f t="shared" si="34"/>
        <v/>
      </c>
      <c r="D377" s="182" t="str">
        <f t="shared" si="35"/>
        <v/>
      </c>
      <c r="E377" s="192" t="s">
        <v>679</v>
      </c>
      <c r="F377" s="192" t="s">
        <v>698</v>
      </c>
      <c r="G377" s="192" t="s">
        <v>699</v>
      </c>
      <c r="H377" s="210" t="s">
        <v>1440</v>
      </c>
      <c r="I377" s="166"/>
      <c r="J377" s="167">
        <v>237000000</v>
      </c>
      <c r="K377" s="166"/>
      <c r="L377" s="168">
        <v>-237000000</v>
      </c>
      <c r="M377" s="168">
        <f t="shared" si="36"/>
        <v>0</v>
      </c>
      <c r="N377" s="168"/>
      <c r="O377" s="166"/>
      <c r="P377" s="167">
        <f t="shared" si="37"/>
        <v>0</v>
      </c>
      <c r="Q377" s="166"/>
      <c r="S377" s="201">
        <f t="shared" si="38"/>
        <v>0</v>
      </c>
      <c r="T377" s="201">
        <f t="shared" si="33"/>
        <v>0</v>
      </c>
      <c r="U377" s="201">
        <f t="shared" si="33"/>
        <v>0</v>
      </c>
      <c r="V377" s="201">
        <f t="shared" si="33"/>
        <v>0</v>
      </c>
      <c r="W377" s="201">
        <f t="shared" si="33"/>
        <v>0</v>
      </c>
      <c r="X377" s="201">
        <f t="shared" si="33"/>
        <v>0</v>
      </c>
    </row>
    <row r="378" spans="1:24" s="169" customFormat="1" ht="13.8">
      <c r="A378" s="192"/>
      <c r="B378" s="170" t="s">
        <v>686</v>
      </c>
      <c r="C378" s="183" t="str">
        <f t="shared" si="34"/>
        <v/>
      </c>
      <c r="D378" s="182" t="str">
        <f t="shared" si="35"/>
        <v/>
      </c>
      <c r="E378" s="206"/>
      <c r="F378" s="207"/>
      <c r="G378" s="207"/>
      <c r="H378" s="205"/>
      <c r="I378" s="167">
        <v>8868833821</v>
      </c>
      <c r="J378" s="167">
        <v>29833821</v>
      </c>
      <c r="K378" s="167">
        <v>8004000000</v>
      </c>
      <c r="L378" s="168">
        <v>835000000</v>
      </c>
      <c r="M378" s="168">
        <f t="shared" si="36"/>
        <v>8868833821</v>
      </c>
      <c r="N378" s="168"/>
      <c r="O378" s="167">
        <v>8860886179</v>
      </c>
      <c r="P378" s="167">
        <f t="shared" si="37"/>
        <v>8860886179</v>
      </c>
      <c r="Q378" s="167"/>
      <c r="S378" s="201">
        <f t="shared" si="38"/>
        <v>8868.8338210000002</v>
      </c>
      <c r="T378" s="201">
        <f t="shared" si="33"/>
        <v>8868.8338210000002</v>
      </c>
      <c r="U378" s="201">
        <f t="shared" si="33"/>
        <v>0</v>
      </c>
      <c r="V378" s="201">
        <f t="shared" si="33"/>
        <v>8860.8861789999992</v>
      </c>
      <c r="W378" s="201">
        <f t="shared" si="33"/>
        <v>8860.8861789999992</v>
      </c>
      <c r="X378" s="201">
        <f t="shared" si="33"/>
        <v>0</v>
      </c>
    </row>
    <row r="379" spans="1:24" s="169" customFormat="1" ht="13.8">
      <c r="A379" s="193"/>
      <c r="B379" s="187"/>
      <c r="C379" s="183" t="str">
        <f t="shared" si="34"/>
        <v/>
      </c>
      <c r="D379" s="182" t="str">
        <f t="shared" si="35"/>
        <v/>
      </c>
      <c r="E379" s="192" t="s">
        <v>681</v>
      </c>
      <c r="F379" s="192" t="s">
        <v>698</v>
      </c>
      <c r="G379" s="192" t="s">
        <v>699</v>
      </c>
      <c r="H379" s="210" t="s">
        <v>1440</v>
      </c>
      <c r="I379" s="167">
        <v>8004000000</v>
      </c>
      <c r="J379" s="166"/>
      <c r="K379" s="167">
        <v>8004000000</v>
      </c>
      <c r="L379" s="171"/>
      <c r="M379" s="168">
        <f t="shared" si="36"/>
        <v>8004000000</v>
      </c>
      <c r="N379" s="171"/>
      <c r="O379" s="167">
        <v>8002052358</v>
      </c>
      <c r="P379" s="167">
        <f t="shared" si="37"/>
        <v>8002052358</v>
      </c>
      <c r="Q379" s="167"/>
      <c r="S379" s="201">
        <f t="shared" si="38"/>
        <v>8004</v>
      </c>
      <c r="T379" s="201">
        <f t="shared" si="33"/>
        <v>8004</v>
      </c>
      <c r="U379" s="201">
        <f t="shared" si="33"/>
        <v>0</v>
      </c>
      <c r="V379" s="201">
        <f t="shared" si="33"/>
        <v>8002.0523579999999</v>
      </c>
      <c r="W379" s="201">
        <f t="shared" si="33"/>
        <v>8002.0523579999999</v>
      </c>
      <c r="X379" s="201">
        <f t="shared" si="33"/>
        <v>0</v>
      </c>
    </row>
    <row r="380" spans="1:24" s="169" customFormat="1" ht="13.8">
      <c r="A380" s="194"/>
      <c r="B380" s="184"/>
      <c r="C380" s="183" t="str">
        <f t="shared" si="34"/>
        <v/>
      </c>
      <c r="D380" s="182" t="str">
        <f t="shared" si="35"/>
        <v/>
      </c>
      <c r="E380" s="192" t="s">
        <v>679</v>
      </c>
      <c r="F380" s="192" t="s">
        <v>698</v>
      </c>
      <c r="G380" s="192" t="s">
        <v>699</v>
      </c>
      <c r="H380" s="210" t="s">
        <v>1440</v>
      </c>
      <c r="I380" s="167">
        <v>858833821</v>
      </c>
      <c r="J380" s="167">
        <v>29833821</v>
      </c>
      <c r="K380" s="166"/>
      <c r="L380" s="168">
        <v>829000000</v>
      </c>
      <c r="M380" s="168">
        <f t="shared" si="36"/>
        <v>858833821</v>
      </c>
      <c r="N380" s="168"/>
      <c r="O380" s="167">
        <v>858833821</v>
      </c>
      <c r="P380" s="167">
        <f t="shared" si="37"/>
        <v>858833821</v>
      </c>
      <c r="Q380" s="167"/>
      <c r="S380" s="201">
        <f t="shared" si="38"/>
        <v>858.83382099999994</v>
      </c>
      <c r="T380" s="201">
        <f t="shared" si="33"/>
        <v>858.83382099999994</v>
      </c>
      <c r="U380" s="201">
        <f t="shared" si="33"/>
        <v>0</v>
      </c>
      <c r="V380" s="201">
        <f t="shared" si="33"/>
        <v>858.83382099999994</v>
      </c>
      <c r="W380" s="201">
        <f t="shared" si="33"/>
        <v>858.83382099999994</v>
      </c>
      <c r="X380" s="201">
        <f t="shared" si="33"/>
        <v>0</v>
      </c>
    </row>
    <row r="381" spans="1:24" s="169" customFormat="1" ht="13.8">
      <c r="A381" s="195"/>
      <c r="B381" s="188"/>
      <c r="C381" s="183" t="str">
        <f t="shared" si="34"/>
        <v/>
      </c>
      <c r="D381" s="182" t="str">
        <f t="shared" si="35"/>
        <v/>
      </c>
      <c r="E381" s="192" t="s">
        <v>667</v>
      </c>
      <c r="F381" s="192" t="s">
        <v>698</v>
      </c>
      <c r="G381" s="192" t="s">
        <v>699</v>
      </c>
      <c r="H381" s="210" t="s">
        <v>1440</v>
      </c>
      <c r="I381" s="167">
        <v>6000000</v>
      </c>
      <c r="J381" s="166"/>
      <c r="K381" s="166"/>
      <c r="L381" s="168">
        <v>6000000</v>
      </c>
      <c r="M381" s="168">
        <f t="shared" si="36"/>
        <v>6000000</v>
      </c>
      <c r="N381" s="168"/>
      <c r="O381" s="166"/>
      <c r="P381" s="167">
        <f t="shared" si="37"/>
        <v>0</v>
      </c>
      <c r="Q381" s="166"/>
      <c r="S381" s="201">
        <f t="shared" si="38"/>
        <v>6</v>
      </c>
      <c r="T381" s="201">
        <f t="shared" si="33"/>
        <v>6</v>
      </c>
      <c r="U381" s="201">
        <f t="shared" si="33"/>
        <v>0</v>
      </c>
      <c r="V381" s="201">
        <f t="shared" si="33"/>
        <v>0</v>
      </c>
      <c r="W381" s="201">
        <f t="shared" si="33"/>
        <v>0</v>
      </c>
      <c r="X381" s="201">
        <f t="shared" si="33"/>
        <v>0</v>
      </c>
    </row>
    <row r="382" spans="1:24" s="169" customFormat="1" ht="13.8">
      <c r="A382" s="192" t="s">
        <v>844</v>
      </c>
      <c r="B382" s="170" t="s">
        <v>701</v>
      </c>
      <c r="C382" s="183" t="str">
        <f t="shared" si="34"/>
        <v/>
      </c>
      <c r="D382" s="182" t="str">
        <f t="shared" si="35"/>
        <v/>
      </c>
      <c r="E382" s="206"/>
      <c r="F382" s="207"/>
      <c r="G382" s="207"/>
      <c r="H382" s="205"/>
      <c r="I382" s="167">
        <v>14280750000</v>
      </c>
      <c r="J382" s="167">
        <v>5216750000</v>
      </c>
      <c r="K382" s="166"/>
      <c r="L382" s="168">
        <v>9064000000</v>
      </c>
      <c r="M382" s="168">
        <f t="shared" si="36"/>
        <v>14280750000</v>
      </c>
      <c r="N382" s="168"/>
      <c r="O382" s="167">
        <v>8048260384</v>
      </c>
      <c r="P382" s="167">
        <f t="shared" si="37"/>
        <v>8048260384</v>
      </c>
      <c r="Q382" s="167"/>
      <c r="S382" s="201">
        <f t="shared" si="38"/>
        <v>14280.75</v>
      </c>
      <c r="T382" s="201">
        <f t="shared" si="33"/>
        <v>14280.75</v>
      </c>
      <c r="U382" s="201">
        <f t="shared" si="33"/>
        <v>0</v>
      </c>
      <c r="V382" s="201">
        <f t="shared" si="33"/>
        <v>8048.2603840000002</v>
      </c>
      <c r="W382" s="201">
        <f t="shared" si="33"/>
        <v>8048.2603840000002</v>
      </c>
      <c r="X382" s="201">
        <f t="shared" si="33"/>
        <v>0</v>
      </c>
    </row>
    <row r="383" spans="1:24" s="169" customFormat="1" ht="13.8">
      <c r="A383" s="193"/>
      <c r="B383" s="187"/>
      <c r="C383" s="183" t="str">
        <f t="shared" si="34"/>
        <v/>
      </c>
      <c r="D383" s="182" t="str">
        <f t="shared" si="35"/>
        <v/>
      </c>
      <c r="E383" s="192" t="s">
        <v>681</v>
      </c>
      <c r="F383" s="192" t="s">
        <v>698</v>
      </c>
      <c r="G383" s="192" t="s">
        <v>699</v>
      </c>
      <c r="H383" s="210" t="s">
        <v>1446</v>
      </c>
      <c r="I383" s="167">
        <v>5216750000</v>
      </c>
      <c r="J383" s="167">
        <v>5216750000</v>
      </c>
      <c r="K383" s="166"/>
      <c r="L383" s="171"/>
      <c r="M383" s="168">
        <f t="shared" si="36"/>
        <v>5216750000</v>
      </c>
      <c r="N383" s="171"/>
      <c r="O383" s="167">
        <v>5191261894</v>
      </c>
      <c r="P383" s="167">
        <f t="shared" si="37"/>
        <v>5191261894</v>
      </c>
      <c r="Q383" s="167"/>
      <c r="S383" s="201">
        <f t="shared" si="38"/>
        <v>5216.75</v>
      </c>
      <c r="T383" s="201">
        <f t="shared" si="33"/>
        <v>5216.75</v>
      </c>
      <c r="U383" s="201">
        <f t="shared" si="33"/>
        <v>0</v>
      </c>
      <c r="V383" s="201">
        <f t="shared" si="33"/>
        <v>5191.2618940000002</v>
      </c>
      <c r="W383" s="201">
        <f t="shared" si="33"/>
        <v>5191.2618940000002</v>
      </c>
      <c r="X383" s="201">
        <f t="shared" si="33"/>
        <v>0</v>
      </c>
    </row>
    <row r="384" spans="1:24" s="169" customFormat="1" ht="13.8">
      <c r="A384" s="195"/>
      <c r="B384" s="188"/>
      <c r="C384" s="183" t="str">
        <f t="shared" si="34"/>
        <v/>
      </c>
      <c r="D384" s="182" t="str">
        <f t="shared" si="35"/>
        <v/>
      </c>
      <c r="E384" s="192" t="s">
        <v>667</v>
      </c>
      <c r="F384" s="192" t="s">
        <v>698</v>
      </c>
      <c r="G384" s="192" t="s">
        <v>699</v>
      </c>
      <c r="H384" s="210" t="s">
        <v>1441</v>
      </c>
      <c r="I384" s="167">
        <v>9064000000</v>
      </c>
      <c r="J384" s="166"/>
      <c r="K384" s="166"/>
      <c r="L384" s="168">
        <v>9064000000</v>
      </c>
      <c r="M384" s="168">
        <f t="shared" si="36"/>
        <v>9064000000</v>
      </c>
      <c r="N384" s="168"/>
      <c r="O384" s="167">
        <v>2856998490</v>
      </c>
      <c r="P384" s="167">
        <f t="shared" si="37"/>
        <v>2856998490</v>
      </c>
      <c r="Q384" s="167"/>
      <c r="S384" s="201">
        <f t="shared" si="38"/>
        <v>9064</v>
      </c>
      <c r="T384" s="201">
        <f t="shared" si="33"/>
        <v>9064</v>
      </c>
      <c r="U384" s="201">
        <f t="shared" si="33"/>
        <v>0</v>
      </c>
      <c r="V384" s="201">
        <f t="shared" si="33"/>
        <v>2856.9984899999999</v>
      </c>
      <c r="W384" s="201">
        <f t="shared" si="33"/>
        <v>2856.9984899999999</v>
      </c>
      <c r="X384" s="201">
        <f t="shared" si="33"/>
        <v>0</v>
      </c>
    </row>
    <row r="385" spans="1:24" s="169" customFormat="1" ht="13.8">
      <c r="A385" s="192" t="s">
        <v>845</v>
      </c>
      <c r="B385" s="170" t="s">
        <v>846</v>
      </c>
      <c r="C385" s="183" t="str">
        <f t="shared" si="34"/>
        <v>1037479</v>
      </c>
      <c r="D385" s="182" t="str">
        <f t="shared" si="35"/>
        <v>-Ban Dân tộc</v>
      </c>
      <c r="E385" s="206"/>
      <c r="F385" s="207"/>
      <c r="G385" s="207"/>
      <c r="H385" s="205"/>
      <c r="I385" s="167">
        <v>7518100000</v>
      </c>
      <c r="J385" s="166"/>
      <c r="K385" s="167">
        <v>4447000000</v>
      </c>
      <c r="L385" s="168">
        <v>3071100000</v>
      </c>
      <c r="M385" s="168">
        <f t="shared" si="36"/>
        <v>7518100000</v>
      </c>
      <c r="N385" s="168"/>
      <c r="O385" s="167">
        <v>7042240864</v>
      </c>
      <c r="P385" s="167">
        <f t="shared" si="37"/>
        <v>7042240864</v>
      </c>
      <c r="Q385" s="167"/>
      <c r="S385" s="201">
        <f t="shared" si="38"/>
        <v>7518.1</v>
      </c>
      <c r="T385" s="201">
        <f t="shared" si="33"/>
        <v>7518.1</v>
      </c>
      <c r="U385" s="201">
        <f t="shared" si="33"/>
        <v>0</v>
      </c>
      <c r="V385" s="201">
        <f t="shared" si="33"/>
        <v>7042.2408640000003</v>
      </c>
      <c r="W385" s="201">
        <f t="shared" si="33"/>
        <v>7042.2408640000003</v>
      </c>
      <c r="X385" s="201">
        <f t="shared" si="33"/>
        <v>0</v>
      </c>
    </row>
    <row r="386" spans="1:24" s="169" customFormat="1" ht="13.8">
      <c r="A386" s="192" t="s">
        <v>847</v>
      </c>
      <c r="B386" s="170" t="s">
        <v>689</v>
      </c>
      <c r="C386" s="183" t="str">
        <f t="shared" si="34"/>
        <v/>
      </c>
      <c r="D386" s="182" t="str">
        <f t="shared" si="35"/>
        <v/>
      </c>
      <c r="E386" s="206"/>
      <c r="F386" s="207"/>
      <c r="G386" s="207"/>
      <c r="H386" s="205"/>
      <c r="I386" s="167">
        <v>5819100000</v>
      </c>
      <c r="J386" s="166"/>
      <c r="K386" s="167">
        <v>4447000000</v>
      </c>
      <c r="L386" s="168">
        <v>1372100000</v>
      </c>
      <c r="M386" s="168">
        <f t="shared" si="36"/>
        <v>5819100000</v>
      </c>
      <c r="N386" s="168"/>
      <c r="O386" s="167">
        <v>5620952864</v>
      </c>
      <c r="P386" s="167">
        <f t="shared" si="37"/>
        <v>5620952864</v>
      </c>
      <c r="Q386" s="167"/>
      <c r="S386" s="201">
        <f t="shared" si="38"/>
        <v>5819.1</v>
      </c>
      <c r="T386" s="201">
        <f t="shared" ref="T386:X436" si="39">M386/1000000</f>
        <v>5819.1</v>
      </c>
      <c r="U386" s="201">
        <f t="shared" si="39"/>
        <v>0</v>
      </c>
      <c r="V386" s="201">
        <f t="shared" si="39"/>
        <v>5620.9528639999999</v>
      </c>
      <c r="W386" s="201">
        <f t="shared" si="39"/>
        <v>5620.9528639999999</v>
      </c>
      <c r="X386" s="201">
        <f t="shared" si="39"/>
        <v>0</v>
      </c>
    </row>
    <row r="387" spans="1:24" s="169" customFormat="1" ht="13.8">
      <c r="A387" s="192"/>
      <c r="B387" s="170" t="s">
        <v>690</v>
      </c>
      <c r="C387" s="183" t="str">
        <f t="shared" si="34"/>
        <v/>
      </c>
      <c r="D387" s="182" t="str">
        <f t="shared" si="35"/>
        <v/>
      </c>
      <c r="E387" s="206"/>
      <c r="F387" s="207"/>
      <c r="G387" s="207"/>
      <c r="H387" s="205"/>
      <c r="I387" s="167">
        <v>2656100000</v>
      </c>
      <c r="J387" s="166"/>
      <c r="K387" s="167">
        <v>2599000000</v>
      </c>
      <c r="L387" s="168">
        <v>57100000</v>
      </c>
      <c r="M387" s="168">
        <f t="shared" si="36"/>
        <v>2656100000</v>
      </c>
      <c r="N387" s="168"/>
      <c r="O387" s="167">
        <v>2656100000</v>
      </c>
      <c r="P387" s="167">
        <f t="shared" si="37"/>
        <v>2656100000</v>
      </c>
      <c r="Q387" s="167"/>
      <c r="S387" s="201">
        <f t="shared" si="38"/>
        <v>2656.1</v>
      </c>
      <c r="T387" s="201">
        <f t="shared" si="39"/>
        <v>2656.1</v>
      </c>
      <c r="U387" s="201">
        <f t="shared" si="39"/>
        <v>0</v>
      </c>
      <c r="V387" s="201">
        <f t="shared" si="39"/>
        <v>2656.1</v>
      </c>
      <c r="W387" s="201">
        <f t="shared" si="39"/>
        <v>2656.1</v>
      </c>
      <c r="X387" s="201">
        <f t="shared" si="39"/>
        <v>0</v>
      </c>
    </row>
    <row r="388" spans="1:24" s="169" customFormat="1" ht="13.8">
      <c r="A388" s="193"/>
      <c r="B388" s="187"/>
      <c r="C388" s="183" t="str">
        <f t="shared" si="34"/>
        <v/>
      </c>
      <c r="D388" s="182" t="str">
        <f t="shared" si="35"/>
        <v/>
      </c>
      <c r="E388" s="192" t="s">
        <v>666</v>
      </c>
      <c r="F388" s="192" t="s">
        <v>848</v>
      </c>
      <c r="G388" s="192" t="s">
        <v>695</v>
      </c>
      <c r="H388" s="210" t="s">
        <v>1440</v>
      </c>
      <c r="I388" s="167">
        <v>2599000000</v>
      </c>
      <c r="J388" s="166"/>
      <c r="K388" s="167">
        <v>2599000000</v>
      </c>
      <c r="L388" s="171"/>
      <c r="M388" s="168">
        <f t="shared" si="36"/>
        <v>2599000000</v>
      </c>
      <c r="N388" s="171"/>
      <c r="O388" s="167">
        <v>2599000000</v>
      </c>
      <c r="P388" s="167">
        <f t="shared" si="37"/>
        <v>2599000000</v>
      </c>
      <c r="Q388" s="167"/>
      <c r="S388" s="201">
        <f t="shared" si="38"/>
        <v>2599</v>
      </c>
      <c r="T388" s="201">
        <f t="shared" si="39"/>
        <v>2599</v>
      </c>
      <c r="U388" s="201">
        <f t="shared" si="39"/>
        <v>0</v>
      </c>
      <c r="V388" s="201">
        <f t="shared" si="39"/>
        <v>2599</v>
      </c>
      <c r="W388" s="201">
        <f t="shared" si="39"/>
        <v>2599</v>
      </c>
      <c r="X388" s="201">
        <f t="shared" si="39"/>
        <v>0</v>
      </c>
    </row>
    <row r="389" spans="1:24" s="169" customFormat="1" ht="13.8">
      <c r="A389" s="195"/>
      <c r="B389" s="188"/>
      <c r="C389" s="183" t="str">
        <f t="shared" si="34"/>
        <v/>
      </c>
      <c r="D389" s="182" t="str">
        <f t="shared" si="35"/>
        <v/>
      </c>
      <c r="E389" s="192" t="s">
        <v>679</v>
      </c>
      <c r="F389" s="192" t="s">
        <v>848</v>
      </c>
      <c r="G389" s="192" t="s">
        <v>695</v>
      </c>
      <c r="H389" s="210" t="s">
        <v>1440</v>
      </c>
      <c r="I389" s="167">
        <v>57100000</v>
      </c>
      <c r="J389" s="166"/>
      <c r="K389" s="166"/>
      <c r="L389" s="168">
        <v>57100000</v>
      </c>
      <c r="M389" s="168">
        <f t="shared" si="36"/>
        <v>57100000</v>
      </c>
      <c r="N389" s="168"/>
      <c r="O389" s="167">
        <v>57100000</v>
      </c>
      <c r="P389" s="167">
        <f t="shared" si="37"/>
        <v>57100000</v>
      </c>
      <c r="Q389" s="167"/>
      <c r="S389" s="201">
        <f t="shared" si="38"/>
        <v>57.1</v>
      </c>
      <c r="T389" s="201">
        <f t="shared" si="39"/>
        <v>57.1</v>
      </c>
      <c r="U389" s="201">
        <f t="shared" si="39"/>
        <v>0</v>
      </c>
      <c r="V389" s="201">
        <f t="shared" si="39"/>
        <v>57.1</v>
      </c>
      <c r="W389" s="201">
        <f t="shared" si="39"/>
        <v>57.1</v>
      </c>
      <c r="X389" s="201">
        <f t="shared" si="39"/>
        <v>0</v>
      </c>
    </row>
    <row r="390" spans="1:24" s="169" customFormat="1" ht="13.8">
      <c r="A390" s="192"/>
      <c r="B390" s="170" t="s">
        <v>686</v>
      </c>
      <c r="C390" s="183" t="str">
        <f t="shared" si="34"/>
        <v/>
      </c>
      <c r="D390" s="182" t="str">
        <f t="shared" si="35"/>
        <v/>
      </c>
      <c r="E390" s="206"/>
      <c r="F390" s="207"/>
      <c r="G390" s="207"/>
      <c r="H390" s="205"/>
      <c r="I390" s="167">
        <v>3163000000</v>
      </c>
      <c r="J390" s="166"/>
      <c r="K390" s="167">
        <v>1848000000</v>
      </c>
      <c r="L390" s="168">
        <v>1315000000</v>
      </c>
      <c r="M390" s="168">
        <f t="shared" si="36"/>
        <v>3163000000</v>
      </c>
      <c r="N390" s="168"/>
      <c r="O390" s="167">
        <v>2964852864</v>
      </c>
      <c r="P390" s="167">
        <f t="shared" si="37"/>
        <v>2964852864</v>
      </c>
      <c r="Q390" s="167"/>
      <c r="S390" s="201">
        <f t="shared" si="38"/>
        <v>3163</v>
      </c>
      <c r="T390" s="201">
        <f t="shared" si="39"/>
        <v>3163</v>
      </c>
      <c r="U390" s="201">
        <f t="shared" si="39"/>
        <v>0</v>
      </c>
      <c r="V390" s="201">
        <f t="shared" si="39"/>
        <v>2964.852864</v>
      </c>
      <c r="W390" s="201">
        <f t="shared" si="39"/>
        <v>2964.852864</v>
      </c>
      <c r="X390" s="201">
        <f t="shared" si="39"/>
        <v>0</v>
      </c>
    </row>
    <row r="391" spans="1:24" s="169" customFormat="1" ht="13.8">
      <c r="A391" s="193"/>
      <c r="B391" s="187"/>
      <c r="C391" s="183" t="str">
        <f t="shared" si="34"/>
        <v/>
      </c>
      <c r="D391" s="182" t="str">
        <f t="shared" si="35"/>
        <v/>
      </c>
      <c r="E391" s="192" t="s">
        <v>681</v>
      </c>
      <c r="F391" s="192" t="s">
        <v>848</v>
      </c>
      <c r="G391" s="192" t="s">
        <v>695</v>
      </c>
      <c r="H391" s="210" t="s">
        <v>1440</v>
      </c>
      <c r="I391" s="167">
        <v>2569000000</v>
      </c>
      <c r="J391" s="166"/>
      <c r="K391" s="167">
        <v>1848000000</v>
      </c>
      <c r="L391" s="168">
        <v>721000000</v>
      </c>
      <c r="M391" s="168">
        <f t="shared" si="36"/>
        <v>2569000000</v>
      </c>
      <c r="N391" s="168"/>
      <c r="O391" s="167">
        <v>2372085000</v>
      </c>
      <c r="P391" s="167">
        <f t="shared" si="37"/>
        <v>2372085000</v>
      </c>
      <c r="Q391" s="167"/>
      <c r="S391" s="201">
        <f t="shared" si="38"/>
        <v>2569</v>
      </c>
      <c r="T391" s="201">
        <f t="shared" si="39"/>
        <v>2569</v>
      </c>
      <c r="U391" s="201">
        <f t="shared" si="39"/>
        <v>0</v>
      </c>
      <c r="V391" s="201">
        <f t="shared" si="39"/>
        <v>2372.085</v>
      </c>
      <c r="W391" s="201">
        <f t="shared" si="39"/>
        <v>2372.085</v>
      </c>
      <c r="X391" s="201">
        <f t="shared" si="39"/>
        <v>0</v>
      </c>
    </row>
    <row r="392" spans="1:24" s="169" customFormat="1" ht="13.8">
      <c r="A392" s="195"/>
      <c r="B392" s="188"/>
      <c r="C392" s="183" t="str">
        <f t="shared" si="34"/>
        <v/>
      </c>
      <c r="D392" s="182" t="str">
        <f t="shared" si="35"/>
        <v/>
      </c>
      <c r="E392" s="192" t="s">
        <v>667</v>
      </c>
      <c r="F392" s="192" t="s">
        <v>848</v>
      </c>
      <c r="G392" s="192" t="s">
        <v>695</v>
      </c>
      <c r="H392" s="210" t="s">
        <v>1440</v>
      </c>
      <c r="I392" s="167">
        <v>594000000</v>
      </c>
      <c r="J392" s="166"/>
      <c r="K392" s="166"/>
      <c r="L392" s="168">
        <v>594000000</v>
      </c>
      <c r="M392" s="168">
        <f t="shared" si="36"/>
        <v>594000000</v>
      </c>
      <c r="N392" s="168"/>
      <c r="O392" s="167">
        <v>592767864</v>
      </c>
      <c r="P392" s="167">
        <f t="shared" si="37"/>
        <v>592767864</v>
      </c>
      <c r="Q392" s="167"/>
      <c r="S392" s="201">
        <f t="shared" si="38"/>
        <v>594</v>
      </c>
      <c r="T392" s="201">
        <f t="shared" si="39"/>
        <v>594</v>
      </c>
      <c r="U392" s="201">
        <f t="shared" si="39"/>
        <v>0</v>
      </c>
      <c r="V392" s="201">
        <f t="shared" si="39"/>
        <v>592.76786400000003</v>
      </c>
      <c r="W392" s="201">
        <f t="shared" si="39"/>
        <v>592.76786400000003</v>
      </c>
      <c r="X392" s="201">
        <f t="shared" si="39"/>
        <v>0</v>
      </c>
    </row>
    <row r="393" spans="1:24" s="169" customFormat="1" ht="13.8">
      <c r="A393" s="192" t="s">
        <v>849</v>
      </c>
      <c r="B393" s="170" t="s">
        <v>701</v>
      </c>
      <c r="C393" s="183" t="str">
        <f t="shared" si="34"/>
        <v/>
      </c>
      <c r="D393" s="182" t="str">
        <f t="shared" si="35"/>
        <v/>
      </c>
      <c r="E393" s="206"/>
      <c r="F393" s="207"/>
      <c r="G393" s="207"/>
      <c r="H393" s="205"/>
      <c r="I393" s="167">
        <v>1699000000</v>
      </c>
      <c r="J393" s="166"/>
      <c r="K393" s="166"/>
      <c r="L393" s="168">
        <v>1699000000</v>
      </c>
      <c r="M393" s="168">
        <f t="shared" si="36"/>
        <v>1699000000</v>
      </c>
      <c r="N393" s="168"/>
      <c r="O393" s="167">
        <v>1421288000</v>
      </c>
      <c r="P393" s="167">
        <f t="shared" si="37"/>
        <v>1421288000</v>
      </c>
      <c r="Q393" s="167"/>
      <c r="S393" s="201">
        <f t="shared" si="38"/>
        <v>1699</v>
      </c>
      <c r="T393" s="201">
        <f t="shared" si="39"/>
        <v>1699</v>
      </c>
      <c r="U393" s="201">
        <f t="shared" si="39"/>
        <v>0</v>
      </c>
      <c r="V393" s="201">
        <f t="shared" si="39"/>
        <v>1421.288</v>
      </c>
      <c r="W393" s="201">
        <f t="shared" si="39"/>
        <v>1421.288</v>
      </c>
      <c r="X393" s="201">
        <f t="shared" si="39"/>
        <v>0</v>
      </c>
    </row>
    <row r="394" spans="1:24" s="169" customFormat="1" ht="13.8">
      <c r="A394" s="192"/>
      <c r="B394" s="164"/>
      <c r="C394" s="183" t="str">
        <f t="shared" si="34"/>
        <v/>
      </c>
      <c r="D394" s="182" t="str">
        <f t="shared" si="35"/>
        <v/>
      </c>
      <c r="E394" s="192" t="s">
        <v>681</v>
      </c>
      <c r="F394" s="192" t="s">
        <v>848</v>
      </c>
      <c r="G394" s="192" t="s">
        <v>850</v>
      </c>
      <c r="H394" s="210" t="s">
        <v>1447</v>
      </c>
      <c r="I394" s="167">
        <v>1699000000</v>
      </c>
      <c r="J394" s="166"/>
      <c r="K394" s="166"/>
      <c r="L394" s="168">
        <v>1699000000</v>
      </c>
      <c r="M394" s="168">
        <f t="shared" si="36"/>
        <v>1699000000</v>
      </c>
      <c r="N394" s="168"/>
      <c r="O394" s="167">
        <v>1421288000</v>
      </c>
      <c r="P394" s="167">
        <f t="shared" si="37"/>
        <v>1421288000</v>
      </c>
      <c r="Q394" s="167"/>
      <c r="S394" s="201">
        <f t="shared" si="38"/>
        <v>1699</v>
      </c>
      <c r="T394" s="201">
        <f t="shared" si="39"/>
        <v>1699</v>
      </c>
      <c r="U394" s="201">
        <f t="shared" si="39"/>
        <v>0</v>
      </c>
      <c r="V394" s="201">
        <f t="shared" si="39"/>
        <v>1421.288</v>
      </c>
      <c r="W394" s="201">
        <f t="shared" si="39"/>
        <v>1421.288</v>
      </c>
      <c r="X394" s="201">
        <f t="shared" si="39"/>
        <v>0</v>
      </c>
    </row>
    <row r="395" spans="1:24" s="169" customFormat="1" ht="26.4">
      <c r="A395" s="192" t="s">
        <v>851</v>
      </c>
      <c r="B395" s="165" t="s">
        <v>852</v>
      </c>
      <c r="C395" s="183" t="str">
        <f t="shared" si="34"/>
        <v>1037480</v>
      </c>
      <c r="D395" s="182" t="str">
        <f t="shared" si="35"/>
        <v>-Trung tâm Trợ giúp Pháp lý nhà nước</v>
      </c>
      <c r="E395" s="206"/>
      <c r="F395" s="207"/>
      <c r="G395" s="207"/>
      <c r="H395" s="205"/>
      <c r="I395" s="167">
        <v>1584600000</v>
      </c>
      <c r="J395" s="166"/>
      <c r="K395" s="167">
        <v>1558000000</v>
      </c>
      <c r="L395" s="168">
        <v>26600000</v>
      </c>
      <c r="M395" s="168">
        <f t="shared" si="36"/>
        <v>1584600000</v>
      </c>
      <c r="N395" s="168"/>
      <c r="O395" s="167">
        <v>1365288000</v>
      </c>
      <c r="P395" s="167">
        <f t="shared" si="37"/>
        <v>1365288000</v>
      </c>
      <c r="Q395" s="167"/>
      <c r="S395" s="201">
        <f t="shared" si="38"/>
        <v>1584.6</v>
      </c>
      <c r="T395" s="201">
        <f t="shared" si="39"/>
        <v>1584.6</v>
      </c>
      <c r="U395" s="201">
        <f t="shared" si="39"/>
        <v>0</v>
      </c>
      <c r="V395" s="201">
        <f t="shared" si="39"/>
        <v>1365.288</v>
      </c>
      <c r="W395" s="201">
        <f t="shared" si="39"/>
        <v>1365.288</v>
      </c>
      <c r="X395" s="201">
        <f t="shared" si="39"/>
        <v>0</v>
      </c>
    </row>
    <row r="396" spans="1:24" s="169" customFormat="1" ht="13.8">
      <c r="A396" s="192" t="s">
        <v>853</v>
      </c>
      <c r="B396" s="170" t="s">
        <v>689</v>
      </c>
      <c r="C396" s="183" t="str">
        <f t="shared" si="34"/>
        <v/>
      </c>
      <c r="D396" s="182" t="str">
        <f t="shared" si="35"/>
        <v/>
      </c>
      <c r="E396" s="206"/>
      <c r="F396" s="207"/>
      <c r="G396" s="207"/>
      <c r="H396" s="205"/>
      <c r="I396" s="167">
        <v>1584600000</v>
      </c>
      <c r="J396" s="166"/>
      <c r="K396" s="167">
        <v>1558000000</v>
      </c>
      <c r="L396" s="168">
        <v>26600000</v>
      </c>
      <c r="M396" s="168">
        <f t="shared" si="36"/>
        <v>1584600000</v>
      </c>
      <c r="N396" s="168"/>
      <c r="O396" s="167">
        <v>1365288000</v>
      </c>
      <c r="P396" s="167">
        <f t="shared" si="37"/>
        <v>1365288000</v>
      </c>
      <c r="Q396" s="167"/>
      <c r="S396" s="201">
        <f t="shared" si="38"/>
        <v>1584.6</v>
      </c>
      <c r="T396" s="201">
        <f t="shared" si="39"/>
        <v>1584.6</v>
      </c>
      <c r="U396" s="201">
        <f t="shared" si="39"/>
        <v>0</v>
      </c>
      <c r="V396" s="201">
        <f t="shared" si="39"/>
        <v>1365.288</v>
      </c>
      <c r="W396" s="201">
        <f t="shared" si="39"/>
        <v>1365.288</v>
      </c>
      <c r="X396" s="201">
        <f t="shared" si="39"/>
        <v>0</v>
      </c>
    </row>
    <row r="397" spans="1:24" s="169" customFormat="1" ht="13.8">
      <c r="A397" s="192"/>
      <c r="B397" s="170" t="s">
        <v>690</v>
      </c>
      <c r="C397" s="183" t="str">
        <f t="shared" si="34"/>
        <v/>
      </c>
      <c r="D397" s="182" t="str">
        <f t="shared" si="35"/>
        <v/>
      </c>
      <c r="E397" s="206"/>
      <c r="F397" s="207"/>
      <c r="G397" s="207"/>
      <c r="H397" s="205"/>
      <c r="I397" s="167">
        <v>1014600000</v>
      </c>
      <c r="J397" s="166"/>
      <c r="K397" s="167">
        <v>988000000</v>
      </c>
      <c r="L397" s="168">
        <v>26600000</v>
      </c>
      <c r="M397" s="168">
        <f t="shared" si="36"/>
        <v>1014600000</v>
      </c>
      <c r="N397" s="168"/>
      <c r="O397" s="167">
        <v>1014600000</v>
      </c>
      <c r="P397" s="167">
        <f t="shared" si="37"/>
        <v>1014600000</v>
      </c>
      <c r="Q397" s="167"/>
      <c r="S397" s="201">
        <f t="shared" si="38"/>
        <v>1014.6</v>
      </c>
      <c r="T397" s="201">
        <f t="shared" si="39"/>
        <v>1014.6</v>
      </c>
      <c r="U397" s="201">
        <f t="shared" si="39"/>
        <v>0</v>
      </c>
      <c r="V397" s="201">
        <f t="shared" si="39"/>
        <v>1014.6</v>
      </c>
      <c r="W397" s="201">
        <f t="shared" si="39"/>
        <v>1014.6</v>
      </c>
      <c r="X397" s="201">
        <f t="shared" si="39"/>
        <v>0</v>
      </c>
    </row>
    <row r="398" spans="1:24" s="169" customFormat="1" ht="13.8">
      <c r="A398" s="193"/>
      <c r="B398" s="187"/>
      <c r="C398" s="183" t="str">
        <f t="shared" si="34"/>
        <v/>
      </c>
      <c r="D398" s="182" t="str">
        <f t="shared" si="35"/>
        <v/>
      </c>
      <c r="E398" s="192" t="s">
        <v>666</v>
      </c>
      <c r="F398" s="192" t="s">
        <v>854</v>
      </c>
      <c r="G398" s="192" t="s">
        <v>855</v>
      </c>
      <c r="H398" s="210" t="s">
        <v>1440</v>
      </c>
      <c r="I398" s="167">
        <v>988000000</v>
      </c>
      <c r="J398" s="166"/>
      <c r="K398" s="167">
        <v>988000000</v>
      </c>
      <c r="L398" s="171"/>
      <c r="M398" s="168">
        <f t="shared" si="36"/>
        <v>988000000</v>
      </c>
      <c r="N398" s="171"/>
      <c r="O398" s="167">
        <v>988000000</v>
      </c>
      <c r="P398" s="167">
        <f t="shared" si="37"/>
        <v>988000000</v>
      </c>
      <c r="Q398" s="167"/>
      <c r="S398" s="201">
        <f t="shared" si="38"/>
        <v>988</v>
      </c>
      <c r="T398" s="201">
        <f t="shared" si="39"/>
        <v>988</v>
      </c>
      <c r="U398" s="201">
        <f t="shared" si="39"/>
        <v>0</v>
      </c>
      <c r="V398" s="201">
        <f t="shared" si="39"/>
        <v>988</v>
      </c>
      <c r="W398" s="201">
        <f t="shared" si="39"/>
        <v>988</v>
      </c>
      <c r="X398" s="201">
        <f t="shared" si="39"/>
        <v>0</v>
      </c>
    </row>
    <row r="399" spans="1:24" s="169" customFormat="1" ht="13.8">
      <c r="A399" s="195"/>
      <c r="B399" s="188"/>
      <c r="C399" s="183" t="str">
        <f t="shared" si="34"/>
        <v/>
      </c>
      <c r="D399" s="182" t="str">
        <f t="shared" si="35"/>
        <v/>
      </c>
      <c r="E399" s="192" t="s">
        <v>679</v>
      </c>
      <c r="F399" s="192" t="s">
        <v>854</v>
      </c>
      <c r="G399" s="192" t="s">
        <v>855</v>
      </c>
      <c r="H399" s="210" t="s">
        <v>1440</v>
      </c>
      <c r="I399" s="167">
        <v>26600000</v>
      </c>
      <c r="J399" s="166"/>
      <c r="K399" s="166"/>
      <c r="L399" s="168">
        <v>26600000</v>
      </c>
      <c r="M399" s="168">
        <f t="shared" si="36"/>
        <v>26600000</v>
      </c>
      <c r="N399" s="168"/>
      <c r="O399" s="167">
        <v>26600000</v>
      </c>
      <c r="P399" s="167">
        <f t="shared" si="37"/>
        <v>26600000</v>
      </c>
      <c r="Q399" s="167"/>
      <c r="S399" s="201">
        <f t="shared" si="38"/>
        <v>26.6</v>
      </c>
      <c r="T399" s="201">
        <f t="shared" si="39"/>
        <v>26.6</v>
      </c>
      <c r="U399" s="201">
        <f t="shared" si="39"/>
        <v>0</v>
      </c>
      <c r="V399" s="201">
        <f t="shared" si="39"/>
        <v>26.6</v>
      </c>
      <c r="W399" s="201">
        <f t="shared" si="39"/>
        <v>26.6</v>
      </c>
      <c r="X399" s="201">
        <f t="shared" si="39"/>
        <v>0</v>
      </c>
    </row>
    <row r="400" spans="1:24" s="169" customFormat="1" ht="13.8">
      <c r="A400" s="192"/>
      <c r="B400" s="170" t="s">
        <v>686</v>
      </c>
      <c r="C400" s="183" t="str">
        <f t="shared" si="34"/>
        <v/>
      </c>
      <c r="D400" s="182" t="str">
        <f t="shared" si="35"/>
        <v/>
      </c>
      <c r="E400" s="206"/>
      <c r="F400" s="207"/>
      <c r="G400" s="207"/>
      <c r="H400" s="205"/>
      <c r="I400" s="167">
        <v>570000000</v>
      </c>
      <c r="J400" s="166"/>
      <c r="K400" s="167">
        <v>570000000</v>
      </c>
      <c r="L400" s="171"/>
      <c r="M400" s="168">
        <f t="shared" si="36"/>
        <v>570000000</v>
      </c>
      <c r="N400" s="171"/>
      <c r="O400" s="167">
        <v>350688000</v>
      </c>
      <c r="P400" s="167">
        <f t="shared" si="37"/>
        <v>350688000</v>
      </c>
      <c r="Q400" s="167"/>
      <c r="S400" s="201">
        <f t="shared" si="38"/>
        <v>570</v>
      </c>
      <c r="T400" s="201">
        <f t="shared" si="39"/>
        <v>570</v>
      </c>
      <c r="U400" s="201">
        <f t="shared" si="39"/>
        <v>0</v>
      </c>
      <c r="V400" s="201">
        <f t="shared" si="39"/>
        <v>350.68799999999999</v>
      </c>
      <c r="W400" s="201">
        <f t="shared" si="39"/>
        <v>350.68799999999999</v>
      </c>
      <c r="X400" s="201">
        <f t="shared" si="39"/>
        <v>0</v>
      </c>
    </row>
    <row r="401" spans="1:24" s="169" customFormat="1" ht="13.8">
      <c r="A401" s="192"/>
      <c r="B401" s="164"/>
      <c r="C401" s="183" t="str">
        <f t="shared" si="34"/>
        <v/>
      </c>
      <c r="D401" s="182" t="str">
        <f t="shared" si="35"/>
        <v/>
      </c>
      <c r="E401" s="192" t="s">
        <v>681</v>
      </c>
      <c r="F401" s="192" t="s">
        <v>854</v>
      </c>
      <c r="G401" s="192" t="s">
        <v>855</v>
      </c>
      <c r="H401" s="210" t="s">
        <v>1440</v>
      </c>
      <c r="I401" s="167">
        <v>570000000</v>
      </c>
      <c r="J401" s="166"/>
      <c r="K401" s="167">
        <v>570000000</v>
      </c>
      <c r="L401" s="171"/>
      <c r="M401" s="168">
        <f t="shared" si="36"/>
        <v>570000000</v>
      </c>
      <c r="N401" s="171"/>
      <c r="O401" s="167">
        <v>350688000</v>
      </c>
      <c r="P401" s="167">
        <f t="shared" si="37"/>
        <v>350688000</v>
      </c>
      <c r="Q401" s="167"/>
      <c r="S401" s="201">
        <f t="shared" si="38"/>
        <v>570</v>
      </c>
      <c r="T401" s="201">
        <f t="shared" si="39"/>
        <v>570</v>
      </c>
      <c r="U401" s="201">
        <f t="shared" si="39"/>
        <v>0</v>
      </c>
      <c r="V401" s="201">
        <f t="shared" si="39"/>
        <v>350.68799999999999</v>
      </c>
      <c r="W401" s="201">
        <f t="shared" si="39"/>
        <v>350.68799999999999</v>
      </c>
      <c r="X401" s="201">
        <f t="shared" si="39"/>
        <v>0</v>
      </c>
    </row>
    <row r="402" spans="1:24" s="169" customFormat="1" ht="26.4">
      <c r="A402" s="192" t="s">
        <v>856</v>
      </c>
      <c r="B402" s="170" t="s">
        <v>857</v>
      </c>
      <c r="C402" s="183" t="str">
        <f t="shared" si="34"/>
        <v>1037481</v>
      </c>
      <c r="D402" s="182" t="str">
        <f t="shared" si="35"/>
        <v>-Hội Nông dân tinh Kon Tum</v>
      </c>
      <c r="E402" s="206"/>
      <c r="F402" s="207"/>
      <c r="G402" s="207"/>
      <c r="H402" s="205"/>
      <c r="I402" s="167">
        <v>3929700000</v>
      </c>
      <c r="J402" s="166"/>
      <c r="K402" s="167">
        <v>3723000000</v>
      </c>
      <c r="L402" s="168">
        <v>206700000</v>
      </c>
      <c r="M402" s="168">
        <f t="shared" si="36"/>
        <v>3929700000</v>
      </c>
      <c r="N402" s="168"/>
      <c r="O402" s="167">
        <v>3915122400</v>
      </c>
      <c r="P402" s="167">
        <f t="shared" si="37"/>
        <v>3915122400</v>
      </c>
      <c r="Q402" s="167"/>
      <c r="S402" s="201">
        <f t="shared" si="38"/>
        <v>3929.7</v>
      </c>
      <c r="T402" s="201">
        <f t="shared" si="39"/>
        <v>3929.7</v>
      </c>
      <c r="U402" s="201">
        <f t="shared" si="39"/>
        <v>0</v>
      </c>
      <c r="V402" s="201">
        <f t="shared" si="39"/>
        <v>3915.1224000000002</v>
      </c>
      <c r="W402" s="201">
        <f t="shared" si="39"/>
        <v>3915.1224000000002</v>
      </c>
      <c r="X402" s="201">
        <f t="shared" si="39"/>
        <v>0</v>
      </c>
    </row>
    <row r="403" spans="1:24" s="169" customFormat="1" ht="13.8">
      <c r="A403" s="192" t="s">
        <v>858</v>
      </c>
      <c r="B403" s="170" t="s">
        <v>689</v>
      </c>
      <c r="C403" s="183" t="str">
        <f t="shared" si="34"/>
        <v/>
      </c>
      <c r="D403" s="182" t="str">
        <f t="shared" si="35"/>
        <v/>
      </c>
      <c r="E403" s="206"/>
      <c r="F403" s="207"/>
      <c r="G403" s="207"/>
      <c r="H403" s="205"/>
      <c r="I403" s="167">
        <v>3829700000</v>
      </c>
      <c r="J403" s="166"/>
      <c r="K403" s="167">
        <v>3723000000</v>
      </c>
      <c r="L403" s="168">
        <v>106700000</v>
      </c>
      <c r="M403" s="168">
        <f t="shared" si="36"/>
        <v>3829700000</v>
      </c>
      <c r="N403" s="168"/>
      <c r="O403" s="167">
        <v>3815776100</v>
      </c>
      <c r="P403" s="167">
        <f t="shared" si="37"/>
        <v>3815776100</v>
      </c>
      <c r="Q403" s="167"/>
      <c r="S403" s="201">
        <f t="shared" si="38"/>
        <v>3829.7</v>
      </c>
      <c r="T403" s="201">
        <f t="shared" si="39"/>
        <v>3829.7</v>
      </c>
      <c r="U403" s="201">
        <f t="shared" si="39"/>
        <v>0</v>
      </c>
      <c r="V403" s="201">
        <f t="shared" si="39"/>
        <v>3815.7761</v>
      </c>
      <c r="W403" s="201">
        <f t="shared" si="39"/>
        <v>3815.7761</v>
      </c>
      <c r="X403" s="201">
        <f t="shared" si="39"/>
        <v>0</v>
      </c>
    </row>
    <row r="404" spans="1:24" s="169" customFormat="1" ht="13.8">
      <c r="A404" s="192"/>
      <c r="B404" s="170" t="s">
        <v>690</v>
      </c>
      <c r="C404" s="183" t="str">
        <f t="shared" si="34"/>
        <v/>
      </c>
      <c r="D404" s="182" t="str">
        <f t="shared" si="35"/>
        <v/>
      </c>
      <c r="E404" s="206"/>
      <c r="F404" s="207"/>
      <c r="G404" s="207"/>
      <c r="H404" s="205"/>
      <c r="I404" s="167">
        <v>3290000000</v>
      </c>
      <c r="J404" s="166"/>
      <c r="K404" s="167">
        <v>3214000000</v>
      </c>
      <c r="L404" s="168">
        <v>76000000</v>
      </c>
      <c r="M404" s="168">
        <f t="shared" si="36"/>
        <v>3290000000</v>
      </c>
      <c r="N404" s="168"/>
      <c r="O404" s="167">
        <v>3290000000</v>
      </c>
      <c r="P404" s="167">
        <f t="shared" si="37"/>
        <v>3290000000</v>
      </c>
      <c r="Q404" s="167"/>
      <c r="S404" s="201">
        <f t="shared" si="38"/>
        <v>3290</v>
      </c>
      <c r="T404" s="201">
        <f t="shared" si="39"/>
        <v>3290</v>
      </c>
      <c r="U404" s="201">
        <f t="shared" si="39"/>
        <v>0</v>
      </c>
      <c r="V404" s="201">
        <f t="shared" si="39"/>
        <v>3290</v>
      </c>
      <c r="W404" s="201">
        <f t="shared" si="39"/>
        <v>3290</v>
      </c>
      <c r="X404" s="201">
        <f t="shared" si="39"/>
        <v>0</v>
      </c>
    </row>
    <row r="405" spans="1:24" s="169" customFormat="1" ht="13.8">
      <c r="A405" s="192"/>
      <c r="B405" s="164"/>
      <c r="C405" s="183" t="str">
        <f t="shared" si="34"/>
        <v/>
      </c>
      <c r="D405" s="182" t="str">
        <f t="shared" si="35"/>
        <v/>
      </c>
      <c r="E405" s="192" t="s">
        <v>666</v>
      </c>
      <c r="F405" s="192" t="s">
        <v>859</v>
      </c>
      <c r="G405" s="192" t="s">
        <v>786</v>
      </c>
      <c r="H405" s="210" t="s">
        <v>1440</v>
      </c>
      <c r="I405" s="167">
        <v>3214000000</v>
      </c>
      <c r="J405" s="166"/>
      <c r="K405" s="167">
        <v>3214000000</v>
      </c>
      <c r="L405" s="171"/>
      <c r="M405" s="168">
        <f t="shared" si="36"/>
        <v>3214000000</v>
      </c>
      <c r="N405" s="171"/>
      <c r="O405" s="167">
        <v>3214000000</v>
      </c>
      <c r="P405" s="167">
        <f t="shared" si="37"/>
        <v>3214000000</v>
      </c>
      <c r="Q405" s="167"/>
      <c r="S405" s="201">
        <f t="shared" si="38"/>
        <v>3214</v>
      </c>
      <c r="T405" s="201">
        <f t="shared" si="39"/>
        <v>3214</v>
      </c>
      <c r="U405" s="201">
        <f t="shared" si="39"/>
        <v>0</v>
      </c>
      <c r="V405" s="201">
        <f t="shared" si="39"/>
        <v>3214</v>
      </c>
      <c r="W405" s="201">
        <f t="shared" si="39"/>
        <v>3214</v>
      </c>
      <c r="X405" s="201">
        <f t="shared" si="39"/>
        <v>0</v>
      </c>
    </row>
    <row r="406" spans="1:24" s="169" customFormat="1" ht="13.8">
      <c r="A406" s="192"/>
      <c r="B406" s="173"/>
      <c r="C406" s="183" t="str">
        <f t="shared" ref="C406:C469" si="40">IF(B406&lt;&gt;"",IF(AND(LEFT(B406,1)&gt;="0",LEFT(B406,1)&lt;="9"),LEFT(B406,7),""),"")</f>
        <v/>
      </c>
      <c r="D406" s="182" t="str">
        <f t="shared" si="35"/>
        <v/>
      </c>
      <c r="E406" s="192"/>
      <c r="F406" s="192"/>
      <c r="G406" s="192"/>
      <c r="H406" s="210"/>
      <c r="I406" s="174"/>
      <c r="J406" s="174"/>
      <c r="K406" s="174"/>
      <c r="L406" s="175"/>
      <c r="M406" s="168">
        <f t="shared" si="36"/>
        <v>0</v>
      </c>
      <c r="N406" s="175"/>
      <c r="O406" s="174"/>
      <c r="P406" s="167">
        <f t="shared" si="37"/>
        <v>0</v>
      </c>
      <c r="Q406" s="174"/>
      <c r="S406" s="201">
        <f t="shared" si="38"/>
        <v>0</v>
      </c>
      <c r="T406" s="201">
        <f t="shared" si="39"/>
        <v>0</v>
      </c>
      <c r="U406" s="201">
        <f t="shared" si="39"/>
        <v>0</v>
      </c>
      <c r="V406" s="201">
        <f t="shared" si="39"/>
        <v>0</v>
      </c>
      <c r="W406" s="201">
        <f t="shared" si="39"/>
        <v>0</v>
      </c>
      <c r="X406" s="201">
        <f t="shared" si="39"/>
        <v>0</v>
      </c>
    </row>
    <row r="407" spans="1:24" s="169" customFormat="1" ht="13.8">
      <c r="A407" s="192"/>
      <c r="B407" s="164"/>
      <c r="C407" s="183" t="str">
        <f t="shared" si="40"/>
        <v/>
      </c>
      <c r="D407" s="182" t="str">
        <f t="shared" ref="D407:D470" si="41">IF(C407&lt;&gt;"",RIGHT(B407,LEN(B407)-7),"")</f>
        <v/>
      </c>
      <c r="E407" s="192" t="s">
        <v>679</v>
      </c>
      <c r="F407" s="192" t="s">
        <v>859</v>
      </c>
      <c r="G407" s="192" t="s">
        <v>786</v>
      </c>
      <c r="H407" s="210" t="s">
        <v>1440</v>
      </c>
      <c r="I407" s="167">
        <v>76000000</v>
      </c>
      <c r="J407" s="166"/>
      <c r="K407" s="166"/>
      <c r="L407" s="168">
        <v>76000000</v>
      </c>
      <c r="M407" s="168">
        <f t="shared" ref="M407:M470" si="42">I407-N407</f>
        <v>76000000</v>
      </c>
      <c r="N407" s="168"/>
      <c r="O407" s="167">
        <v>76000000</v>
      </c>
      <c r="P407" s="167">
        <f t="shared" ref="P407:P470" si="43">O407-Q407</f>
        <v>76000000</v>
      </c>
      <c r="Q407" s="167"/>
      <c r="S407" s="201">
        <f t="shared" ref="S407:S470" si="44">I407/1000000</f>
        <v>76</v>
      </c>
      <c r="T407" s="201">
        <f t="shared" si="39"/>
        <v>76</v>
      </c>
      <c r="U407" s="201">
        <f t="shared" si="39"/>
        <v>0</v>
      </c>
      <c r="V407" s="201">
        <f t="shared" si="39"/>
        <v>76</v>
      </c>
      <c r="W407" s="201">
        <f t="shared" si="39"/>
        <v>76</v>
      </c>
      <c r="X407" s="201">
        <f t="shared" si="39"/>
        <v>0</v>
      </c>
    </row>
    <row r="408" spans="1:24" s="169" customFormat="1" ht="13.8">
      <c r="A408" s="192"/>
      <c r="B408" s="170" t="s">
        <v>680</v>
      </c>
      <c r="C408" s="183" t="str">
        <f t="shared" si="40"/>
        <v/>
      </c>
      <c r="D408" s="182" t="str">
        <f t="shared" si="41"/>
        <v/>
      </c>
      <c r="E408" s="206"/>
      <c r="F408" s="207"/>
      <c r="G408" s="207"/>
      <c r="H408" s="205"/>
      <c r="I408" s="167">
        <v>539700000</v>
      </c>
      <c r="J408" s="166"/>
      <c r="K408" s="167">
        <v>509000000</v>
      </c>
      <c r="L408" s="168">
        <v>30700000</v>
      </c>
      <c r="M408" s="168">
        <f t="shared" si="42"/>
        <v>539700000</v>
      </c>
      <c r="N408" s="168"/>
      <c r="O408" s="167">
        <v>525776100</v>
      </c>
      <c r="P408" s="167">
        <f t="shared" si="43"/>
        <v>525776100</v>
      </c>
      <c r="Q408" s="167"/>
      <c r="S408" s="201">
        <f t="shared" si="44"/>
        <v>539.70000000000005</v>
      </c>
      <c r="T408" s="201">
        <f t="shared" si="39"/>
        <v>539.70000000000005</v>
      </c>
      <c r="U408" s="201">
        <f t="shared" si="39"/>
        <v>0</v>
      </c>
      <c r="V408" s="201">
        <f t="shared" si="39"/>
        <v>525.77610000000004</v>
      </c>
      <c r="W408" s="201">
        <f t="shared" si="39"/>
        <v>525.77610000000004</v>
      </c>
      <c r="X408" s="201">
        <f t="shared" si="39"/>
        <v>0</v>
      </c>
    </row>
    <row r="409" spans="1:24" s="169" customFormat="1" ht="13.8">
      <c r="A409" s="192"/>
      <c r="B409" s="164"/>
      <c r="C409" s="183" t="str">
        <f t="shared" si="40"/>
        <v/>
      </c>
      <c r="D409" s="182" t="str">
        <f t="shared" si="41"/>
        <v/>
      </c>
      <c r="E409" s="192" t="s">
        <v>681</v>
      </c>
      <c r="F409" s="192" t="s">
        <v>859</v>
      </c>
      <c r="G409" s="192" t="s">
        <v>786</v>
      </c>
      <c r="H409" s="210" t="s">
        <v>1440</v>
      </c>
      <c r="I409" s="167">
        <v>539700000</v>
      </c>
      <c r="J409" s="166"/>
      <c r="K409" s="167">
        <v>509000000</v>
      </c>
      <c r="L409" s="168">
        <v>30700000</v>
      </c>
      <c r="M409" s="168">
        <f t="shared" si="42"/>
        <v>539700000</v>
      </c>
      <c r="N409" s="168"/>
      <c r="O409" s="167">
        <v>525776100</v>
      </c>
      <c r="P409" s="167">
        <f t="shared" si="43"/>
        <v>525776100</v>
      </c>
      <c r="Q409" s="167"/>
      <c r="S409" s="201">
        <f t="shared" si="44"/>
        <v>539.70000000000005</v>
      </c>
      <c r="T409" s="201">
        <f t="shared" si="39"/>
        <v>539.70000000000005</v>
      </c>
      <c r="U409" s="201">
        <f t="shared" si="39"/>
        <v>0</v>
      </c>
      <c r="V409" s="201">
        <f t="shared" si="39"/>
        <v>525.77610000000004</v>
      </c>
      <c r="W409" s="201">
        <f t="shared" si="39"/>
        <v>525.77610000000004</v>
      </c>
      <c r="X409" s="201">
        <f t="shared" si="39"/>
        <v>0</v>
      </c>
    </row>
    <row r="410" spans="1:24" s="169" customFormat="1" ht="13.8">
      <c r="A410" s="192" t="s">
        <v>860</v>
      </c>
      <c r="B410" s="170" t="s">
        <v>731</v>
      </c>
      <c r="C410" s="183" t="str">
        <f t="shared" si="40"/>
        <v/>
      </c>
      <c r="D410" s="182" t="str">
        <f t="shared" si="41"/>
        <v/>
      </c>
      <c r="E410" s="206"/>
      <c r="F410" s="207"/>
      <c r="G410" s="207"/>
      <c r="H410" s="205"/>
      <c r="I410" s="167">
        <v>100000000</v>
      </c>
      <c r="J410" s="166"/>
      <c r="K410" s="166"/>
      <c r="L410" s="168">
        <v>100000000</v>
      </c>
      <c r="M410" s="168">
        <f t="shared" si="42"/>
        <v>100000000</v>
      </c>
      <c r="N410" s="168"/>
      <c r="O410" s="167">
        <v>99346300</v>
      </c>
      <c r="P410" s="167">
        <f t="shared" si="43"/>
        <v>99346300</v>
      </c>
      <c r="Q410" s="167"/>
      <c r="S410" s="201">
        <f t="shared" si="44"/>
        <v>100</v>
      </c>
      <c r="T410" s="201">
        <f t="shared" si="39"/>
        <v>100</v>
      </c>
      <c r="U410" s="201">
        <f t="shared" si="39"/>
        <v>0</v>
      </c>
      <c r="V410" s="201">
        <f t="shared" si="39"/>
        <v>99.346299999999999</v>
      </c>
      <c r="W410" s="201">
        <f t="shared" si="39"/>
        <v>99.346299999999999</v>
      </c>
      <c r="X410" s="201">
        <f t="shared" si="39"/>
        <v>0</v>
      </c>
    </row>
    <row r="411" spans="1:24" s="169" customFormat="1" ht="13.8">
      <c r="A411" s="192"/>
      <c r="B411" s="164"/>
      <c r="C411" s="183" t="str">
        <f t="shared" si="40"/>
        <v/>
      </c>
      <c r="D411" s="182" t="str">
        <f t="shared" si="41"/>
        <v/>
      </c>
      <c r="E411" s="192" t="s">
        <v>681</v>
      </c>
      <c r="F411" s="192" t="s">
        <v>859</v>
      </c>
      <c r="G411" s="192" t="s">
        <v>786</v>
      </c>
      <c r="H411" s="210" t="s">
        <v>1448</v>
      </c>
      <c r="I411" s="167">
        <v>100000000</v>
      </c>
      <c r="J411" s="166"/>
      <c r="K411" s="166"/>
      <c r="L411" s="168">
        <v>100000000</v>
      </c>
      <c r="M411" s="168">
        <f t="shared" si="42"/>
        <v>100000000</v>
      </c>
      <c r="N411" s="168"/>
      <c r="O411" s="167">
        <v>99346300</v>
      </c>
      <c r="P411" s="167">
        <f t="shared" si="43"/>
        <v>99346300</v>
      </c>
      <c r="Q411" s="167"/>
      <c r="S411" s="201">
        <f t="shared" si="44"/>
        <v>100</v>
      </c>
      <c r="T411" s="201">
        <f t="shared" si="39"/>
        <v>100</v>
      </c>
      <c r="U411" s="201">
        <f t="shared" si="39"/>
        <v>0</v>
      </c>
      <c r="V411" s="201">
        <f t="shared" si="39"/>
        <v>99.346299999999999</v>
      </c>
      <c r="W411" s="201">
        <f t="shared" si="39"/>
        <v>99.346299999999999</v>
      </c>
      <c r="X411" s="201">
        <f t="shared" si="39"/>
        <v>0</v>
      </c>
    </row>
    <row r="412" spans="1:24" s="169" customFormat="1" ht="27.6">
      <c r="A412" s="192" t="s">
        <v>861</v>
      </c>
      <c r="B412" s="165" t="s">
        <v>862</v>
      </c>
      <c r="C412" s="183" t="str">
        <f t="shared" si="40"/>
        <v>1037482</v>
      </c>
      <c r="D412" s="182" t="str">
        <f t="shared" si="41"/>
        <v>-Trung tâm văn hóa Thể thao rhanh thiẽu nhi tỉnh Kon Tum</v>
      </c>
      <c r="E412" s="206"/>
      <c r="F412" s="207"/>
      <c r="G412" s="207"/>
      <c r="H412" s="205"/>
      <c r="I412" s="167">
        <v>2589834000</v>
      </c>
      <c r="J412" s="166"/>
      <c r="K412" s="167">
        <v>2200000000</v>
      </c>
      <c r="L412" s="168">
        <v>389834000</v>
      </c>
      <c r="M412" s="168">
        <f t="shared" si="42"/>
        <v>2589834000</v>
      </c>
      <c r="N412" s="168"/>
      <c r="O412" s="167">
        <v>2589834000</v>
      </c>
      <c r="P412" s="167">
        <f t="shared" si="43"/>
        <v>2589834000</v>
      </c>
      <c r="Q412" s="167"/>
      <c r="S412" s="201">
        <f t="shared" si="44"/>
        <v>2589.8339999999998</v>
      </c>
      <c r="T412" s="201">
        <f t="shared" si="39"/>
        <v>2589.8339999999998</v>
      </c>
      <c r="U412" s="201">
        <f t="shared" si="39"/>
        <v>0</v>
      </c>
      <c r="V412" s="201">
        <f t="shared" si="39"/>
        <v>2589.8339999999998</v>
      </c>
      <c r="W412" s="201">
        <f t="shared" si="39"/>
        <v>2589.8339999999998</v>
      </c>
      <c r="X412" s="201">
        <f t="shared" si="39"/>
        <v>0</v>
      </c>
    </row>
    <row r="413" spans="1:24" s="169" customFormat="1" ht="13.8">
      <c r="A413" s="192" t="s">
        <v>863</v>
      </c>
      <c r="B413" s="170" t="s">
        <v>675</v>
      </c>
      <c r="C413" s="183" t="str">
        <f t="shared" si="40"/>
        <v/>
      </c>
      <c r="D413" s="182" t="str">
        <f t="shared" si="41"/>
        <v/>
      </c>
      <c r="E413" s="206"/>
      <c r="F413" s="207"/>
      <c r="G413" s="207"/>
      <c r="H413" s="205"/>
      <c r="I413" s="167">
        <v>2589834000</v>
      </c>
      <c r="J413" s="166"/>
      <c r="K413" s="167">
        <v>2200000000</v>
      </c>
      <c r="L413" s="168">
        <v>389834000</v>
      </c>
      <c r="M413" s="168">
        <f t="shared" si="42"/>
        <v>2589834000</v>
      </c>
      <c r="N413" s="168"/>
      <c r="O413" s="167">
        <v>2589834000</v>
      </c>
      <c r="P413" s="167">
        <f t="shared" si="43"/>
        <v>2589834000</v>
      </c>
      <c r="Q413" s="167"/>
      <c r="S413" s="201">
        <f t="shared" si="44"/>
        <v>2589.8339999999998</v>
      </c>
      <c r="T413" s="201">
        <f t="shared" si="39"/>
        <v>2589.8339999999998</v>
      </c>
      <c r="U413" s="201">
        <f t="shared" si="39"/>
        <v>0</v>
      </c>
      <c r="V413" s="201">
        <f t="shared" si="39"/>
        <v>2589.8339999999998</v>
      </c>
      <c r="W413" s="201">
        <f t="shared" si="39"/>
        <v>2589.8339999999998</v>
      </c>
      <c r="X413" s="201">
        <f t="shared" si="39"/>
        <v>0</v>
      </c>
    </row>
    <row r="414" spans="1:24" s="169" customFormat="1" ht="13.8">
      <c r="A414" s="192"/>
      <c r="B414" s="170" t="s">
        <v>676</v>
      </c>
      <c r="C414" s="183" t="str">
        <f t="shared" si="40"/>
        <v/>
      </c>
      <c r="D414" s="182" t="str">
        <f t="shared" si="41"/>
        <v/>
      </c>
      <c r="E414" s="206"/>
      <c r="F414" s="207"/>
      <c r="G414" s="207"/>
      <c r="H414" s="205"/>
      <c r="I414" s="167">
        <v>1458600000</v>
      </c>
      <c r="J414" s="166"/>
      <c r="K414" s="167">
        <v>1436000000</v>
      </c>
      <c r="L414" s="168">
        <v>22600000</v>
      </c>
      <c r="M414" s="168">
        <f t="shared" si="42"/>
        <v>1458600000</v>
      </c>
      <c r="N414" s="168"/>
      <c r="O414" s="167">
        <v>1458600000</v>
      </c>
      <c r="P414" s="167">
        <f t="shared" si="43"/>
        <v>1458600000</v>
      </c>
      <c r="Q414" s="167"/>
      <c r="S414" s="201">
        <f t="shared" si="44"/>
        <v>1458.6</v>
      </c>
      <c r="T414" s="201">
        <f t="shared" si="39"/>
        <v>1458.6</v>
      </c>
      <c r="U414" s="201">
        <f t="shared" si="39"/>
        <v>0</v>
      </c>
      <c r="V414" s="201">
        <f t="shared" si="39"/>
        <v>1458.6</v>
      </c>
      <c r="W414" s="201">
        <f t="shared" si="39"/>
        <v>1458.6</v>
      </c>
      <c r="X414" s="201">
        <f t="shared" si="39"/>
        <v>0</v>
      </c>
    </row>
    <row r="415" spans="1:24" s="169" customFormat="1" ht="13.8">
      <c r="A415" s="193"/>
      <c r="B415" s="187"/>
      <c r="C415" s="183" t="str">
        <f t="shared" si="40"/>
        <v/>
      </c>
      <c r="D415" s="182" t="str">
        <f t="shared" si="41"/>
        <v/>
      </c>
      <c r="E415" s="192" t="s">
        <v>666</v>
      </c>
      <c r="F415" s="192" t="s">
        <v>864</v>
      </c>
      <c r="G415" s="192" t="s">
        <v>865</v>
      </c>
      <c r="H415" s="210" t="s">
        <v>1440</v>
      </c>
      <c r="I415" s="167">
        <v>1436000000</v>
      </c>
      <c r="J415" s="166"/>
      <c r="K415" s="167">
        <v>1436000000</v>
      </c>
      <c r="L415" s="171"/>
      <c r="M415" s="168">
        <f t="shared" si="42"/>
        <v>1436000000</v>
      </c>
      <c r="N415" s="171"/>
      <c r="O415" s="167">
        <v>1436000000</v>
      </c>
      <c r="P415" s="167">
        <f t="shared" si="43"/>
        <v>1436000000</v>
      </c>
      <c r="Q415" s="167"/>
      <c r="S415" s="201">
        <f t="shared" si="44"/>
        <v>1436</v>
      </c>
      <c r="T415" s="201">
        <f t="shared" si="39"/>
        <v>1436</v>
      </c>
      <c r="U415" s="201">
        <f t="shared" si="39"/>
        <v>0</v>
      </c>
      <c r="V415" s="201">
        <f t="shared" si="39"/>
        <v>1436</v>
      </c>
      <c r="W415" s="201">
        <f t="shared" si="39"/>
        <v>1436</v>
      </c>
      <c r="X415" s="201">
        <f t="shared" si="39"/>
        <v>0</v>
      </c>
    </row>
    <row r="416" spans="1:24" s="169" customFormat="1" ht="13.8">
      <c r="A416" s="195"/>
      <c r="B416" s="188"/>
      <c r="C416" s="183" t="str">
        <f t="shared" si="40"/>
        <v/>
      </c>
      <c r="D416" s="182" t="str">
        <f t="shared" si="41"/>
        <v/>
      </c>
      <c r="E416" s="192" t="s">
        <v>679</v>
      </c>
      <c r="F416" s="192" t="s">
        <v>864</v>
      </c>
      <c r="G416" s="192" t="s">
        <v>865</v>
      </c>
      <c r="H416" s="210" t="s">
        <v>1440</v>
      </c>
      <c r="I416" s="167">
        <v>22600000</v>
      </c>
      <c r="J416" s="166"/>
      <c r="K416" s="166"/>
      <c r="L416" s="168">
        <v>22600000</v>
      </c>
      <c r="M416" s="168">
        <f t="shared" si="42"/>
        <v>22600000</v>
      </c>
      <c r="N416" s="168"/>
      <c r="O416" s="167">
        <v>22600000</v>
      </c>
      <c r="P416" s="167">
        <f t="shared" si="43"/>
        <v>22600000</v>
      </c>
      <c r="Q416" s="167"/>
      <c r="S416" s="201">
        <f t="shared" si="44"/>
        <v>22.6</v>
      </c>
      <c r="T416" s="201">
        <f t="shared" si="39"/>
        <v>22.6</v>
      </c>
      <c r="U416" s="201">
        <f t="shared" si="39"/>
        <v>0</v>
      </c>
      <c r="V416" s="201">
        <f t="shared" si="39"/>
        <v>22.6</v>
      </c>
      <c r="W416" s="201">
        <f t="shared" si="39"/>
        <v>22.6</v>
      </c>
      <c r="X416" s="201">
        <f t="shared" si="39"/>
        <v>0</v>
      </c>
    </row>
    <row r="417" spans="1:24" s="169" customFormat="1" ht="13.8">
      <c r="A417" s="192"/>
      <c r="B417" s="170" t="s">
        <v>680</v>
      </c>
      <c r="C417" s="183" t="str">
        <f t="shared" si="40"/>
        <v/>
      </c>
      <c r="D417" s="182" t="str">
        <f t="shared" si="41"/>
        <v/>
      </c>
      <c r="E417" s="206"/>
      <c r="F417" s="207"/>
      <c r="G417" s="207"/>
      <c r="H417" s="205"/>
      <c r="I417" s="167">
        <v>1131234000</v>
      </c>
      <c r="J417" s="166"/>
      <c r="K417" s="167">
        <v>764000000</v>
      </c>
      <c r="L417" s="168">
        <v>367234000</v>
      </c>
      <c r="M417" s="168">
        <f t="shared" si="42"/>
        <v>1131234000</v>
      </c>
      <c r="N417" s="168"/>
      <c r="O417" s="167">
        <v>1131234000</v>
      </c>
      <c r="P417" s="167">
        <f t="shared" si="43"/>
        <v>1131234000</v>
      </c>
      <c r="Q417" s="167"/>
      <c r="S417" s="201">
        <f t="shared" si="44"/>
        <v>1131.2339999999999</v>
      </c>
      <c r="T417" s="201">
        <f t="shared" si="39"/>
        <v>1131.2339999999999</v>
      </c>
      <c r="U417" s="201">
        <f t="shared" si="39"/>
        <v>0</v>
      </c>
      <c r="V417" s="201">
        <f t="shared" si="39"/>
        <v>1131.2339999999999</v>
      </c>
      <c r="W417" s="201">
        <f t="shared" si="39"/>
        <v>1131.2339999999999</v>
      </c>
      <c r="X417" s="201">
        <f t="shared" si="39"/>
        <v>0</v>
      </c>
    </row>
    <row r="418" spans="1:24" s="169" customFormat="1" ht="13.8">
      <c r="A418" s="192"/>
      <c r="B418" s="164"/>
      <c r="C418" s="183" t="str">
        <f t="shared" si="40"/>
        <v/>
      </c>
      <c r="D418" s="182" t="str">
        <f t="shared" si="41"/>
        <v/>
      </c>
      <c r="E418" s="192" t="s">
        <v>681</v>
      </c>
      <c r="F418" s="192" t="s">
        <v>864</v>
      </c>
      <c r="G418" s="192" t="s">
        <v>865</v>
      </c>
      <c r="H418" s="210" t="s">
        <v>1440</v>
      </c>
      <c r="I418" s="167">
        <v>1131234000</v>
      </c>
      <c r="J418" s="166"/>
      <c r="K418" s="167">
        <v>764000000</v>
      </c>
      <c r="L418" s="168">
        <v>367234000</v>
      </c>
      <c r="M418" s="168">
        <f t="shared" si="42"/>
        <v>1131234000</v>
      </c>
      <c r="N418" s="168"/>
      <c r="O418" s="167">
        <v>1131234000</v>
      </c>
      <c r="P418" s="167">
        <f t="shared" si="43"/>
        <v>1131234000</v>
      </c>
      <c r="Q418" s="167"/>
      <c r="S418" s="201">
        <f t="shared" si="44"/>
        <v>1131.2339999999999</v>
      </c>
      <c r="T418" s="201">
        <f t="shared" si="39"/>
        <v>1131.2339999999999</v>
      </c>
      <c r="U418" s="201">
        <f t="shared" si="39"/>
        <v>0</v>
      </c>
      <c r="V418" s="201">
        <f t="shared" si="39"/>
        <v>1131.2339999999999</v>
      </c>
      <c r="W418" s="201">
        <f t="shared" si="39"/>
        <v>1131.2339999999999</v>
      </c>
      <c r="X418" s="201">
        <f t="shared" si="39"/>
        <v>0</v>
      </c>
    </row>
    <row r="419" spans="1:24" s="169" customFormat="1" ht="13.8">
      <c r="A419" s="192" t="s">
        <v>866</v>
      </c>
      <c r="B419" s="170" t="s">
        <v>867</v>
      </c>
      <c r="C419" s="183" t="str">
        <f t="shared" si="40"/>
        <v>1037483</v>
      </c>
      <c r="D419" s="182" t="str">
        <f t="shared" si="41"/>
        <v>-Tỉnh đoàn Kon Tum</v>
      </c>
      <c r="E419" s="206"/>
      <c r="F419" s="207"/>
      <c r="G419" s="207"/>
      <c r="H419" s="205"/>
      <c r="I419" s="167">
        <v>5578200000</v>
      </c>
      <c r="J419" s="166"/>
      <c r="K419" s="167">
        <v>5341000000</v>
      </c>
      <c r="L419" s="168">
        <v>237200000</v>
      </c>
      <c r="M419" s="168">
        <f t="shared" si="42"/>
        <v>5578200000</v>
      </c>
      <c r="N419" s="168"/>
      <c r="O419" s="167">
        <v>5578200000</v>
      </c>
      <c r="P419" s="167">
        <f t="shared" si="43"/>
        <v>5578200000</v>
      </c>
      <c r="Q419" s="167"/>
      <c r="S419" s="201">
        <f t="shared" si="44"/>
        <v>5578.2</v>
      </c>
      <c r="T419" s="201">
        <f t="shared" si="39"/>
        <v>5578.2</v>
      </c>
      <c r="U419" s="201">
        <f t="shared" si="39"/>
        <v>0</v>
      </c>
      <c r="V419" s="201">
        <f t="shared" si="39"/>
        <v>5578.2</v>
      </c>
      <c r="W419" s="201">
        <f t="shared" si="39"/>
        <v>5578.2</v>
      </c>
      <c r="X419" s="201">
        <f t="shared" si="39"/>
        <v>0</v>
      </c>
    </row>
    <row r="420" spans="1:24" s="169" customFormat="1" ht="13.8">
      <c r="A420" s="192" t="s">
        <v>868</v>
      </c>
      <c r="B420" s="170" t="s">
        <v>675</v>
      </c>
      <c r="C420" s="183" t="str">
        <f t="shared" si="40"/>
        <v/>
      </c>
      <c r="D420" s="182" t="str">
        <f t="shared" si="41"/>
        <v/>
      </c>
      <c r="E420" s="206"/>
      <c r="F420" s="207"/>
      <c r="G420" s="207"/>
      <c r="H420" s="205"/>
      <c r="I420" s="167">
        <v>5578200000</v>
      </c>
      <c r="J420" s="166"/>
      <c r="K420" s="167">
        <v>5341000000</v>
      </c>
      <c r="L420" s="168">
        <v>237200000</v>
      </c>
      <c r="M420" s="168">
        <f t="shared" si="42"/>
        <v>5578200000</v>
      </c>
      <c r="N420" s="168"/>
      <c r="O420" s="167">
        <v>5578200000</v>
      </c>
      <c r="P420" s="167">
        <f t="shared" si="43"/>
        <v>5578200000</v>
      </c>
      <c r="Q420" s="167"/>
      <c r="S420" s="201">
        <f t="shared" si="44"/>
        <v>5578.2</v>
      </c>
      <c r="T420" s="201">
        <f t="shared" si="39"/>
        <v>5578.2</v>
      </c>
      <c r="U420" s="201">
        <f t="shared" si="39"/>
        <v>0</v>
      </c>
      <c r="V420" s="201">
        <f t="shared" si="39"/>
        <v>5578.2</v>
      </c>
      <c r="W420" s="201">
        <f t="shared" si="39"/>
        <v>5578.2</v>
      </c>
      <c r="X420" s="201">
        <f t="shared" si="39"/>
        <v>0</v>
      </c>
    </row>
    <row r="421" spans="1:24" s="169" customFormat="1" ht="13.8">
      <c r="A421" s="192"/>
      <c r="B421" s="170" t="s">
        <v>676</v>
      </c>
      <c r="C421" s="183" t="str">
        <f t="shared" si="40"/>
        <v/>
      </c>
      <c r="D421" s="182" t="str">
        <f t="shared" si="41"/>
        <v/>
      </c>
      <c r="E421" s="206"/>
      <c r="F421" s="207"/>
      <c r="G421" s="207"/>
      <c r="H421" s="205"/>
      <c r="I421" s="167">
        <v>4437300000</v>
      </c>
      <c r="J421" s="166"/>
      <c r="K421" s="167">
        <v>4346000000</v>
      </c>
      <c r="L421" s="168">
        <v>91300000</v>
      </c>
      <c r="M421" s="168">
        <f t="shared" si="42"/>
        <v>4437300000</v>
      </c>
      <c r="N421" s="168"/>
      <c r="O421" s="167">
        <v>4437300000</v>
      </c>
      <c r="P421" s="167">
        <f t="shared" si="43"/>
        <v>4437300000</v>
      </c>
      <c r="Q421" s="167"/>
      <c r="S421" s="201">
        <f t="shared" si="44"/>
        <v>4437.3</v>
      </c>
      <c r="T421" s="201">
        <f t="shared" si="39"/>
        <v>4437.3</v>
      </c>
      <c r="U421" s="201">
        <f t="shared" si="39"/>
        <v>0</v>
      </c>
      <c r="V421" s="201">
        <f t="shared" si="39"/>
        <v>4437.3</v>
      </c>
      <c r="W421" s="201">
        <f t="shared" si="39"/>
        <v>4437.3</v>
      </c>
      <c r="X421" s="201">
        <f t="shared" si="39"/>
        <v>0</v>
      </c>
    </row>
    <row r="422" spans="1:24" s="169" customFormat="1" ht="13.8">
      <c r="A422" s="193"/>
      <c r="B422" s="187"/>
      <c r="C422" s="183" t="str">
        <f t="shared" si="40"/>
        <v/>
      </c>
      <c r="D422" s="182" t="str">
        <f t="shared" si="41"/>
        <v/>
      </c>
      <c r="E422" s="192" t="s">
        <v>666</v>
      </c>
      <c r="F422" s="192" t="s">
        <v>864</v>
      </c>
      <c r="G422" s="192" t="s">
        <v>786</v>
      </c>
      <c r="H422" s="210" t="s">
        <v>1440</v>
      </c>
      <c r="I422" s="167">
        <v>4346000000</v>
      </c>
      <c r="J422" s="166"/>
      <c r="K422" s="167">
        <v>4346000000</v>
      </c>
      <c r="L422" s="171"/>
      <c r="M422" s="168">
        <f t="shared" si="42"/>
        <v>4346000000</v>
      </c>
      <c r="N422" s="171"/>
      <c r="O422" s="167">
        <v>4346000000</v>
      </c>
      <c r="P422" s="167">
        <f t="shared" si="43"/>
        <v>4346000000</v>
      </c>
      <c r="Q422" s="167"/>
      <c r="S422" s="201">
        <f t="shared" si="44"/>
        <v>4346</v>
      </c>
      <c r="T422" s="201">
        <f t="shared" si="39"/>
        <v>4346</v>
      </c>
      <c r="U422" s="201">
        <f t="shared" si="39"/>
        <v>0</v>
      </c>
      <c r="V422" s="201">
        <f t="shared" si="39"/>
        <v>4346</v>
      </c>
      <c r="W422" s="201">
        <f t="shared" si="39"/>
        <v>4346</v>
      </c>
      <c r="X422" s="201">
        <f t="shared" si="39"/>
        <v>0</v>
      </c>
    </row>
    <row r="423" spans="1:24" s="169" customFormat="1" ht="13.8">
      <c r="A423" s="195"/>
      <c r="B423" s="188"/>
      <c r="C423" s="183" t="str">
        <f t="shared" si="40"/>
        <v/>
      </c>
      <c r="D423" s="182" t="str">
        <f t="shared" si="41"/>
        <v/>
      </c>
      <c r="E423" s="192" t="s">
        <v>679</v>
      </c>
      <c r="F423" s="192" t="s">
        <v>864</v>
      </c>
      <c r="G423" s="192" t="s">
        <v>786</v>
      </c>
      <c r="H423" s="210" t="s">
        <v>1440</v>
      </c>
      <c r="I423" s="167">
        <v>91300000</v>
      </c>
      <c r="J423" s="166"/>
      <c r="K423" s="166"/>
      <c r="L423" s="168">
        <v>91300000</v>
      </c>
      <c r="M423" s="168">
        <f t="shared" si="42"/>
        <v>91300000</v>
      </c>
      <c r="N423" s="168"/>
      <c r="O423" s="167">
        <v>91300000</v>
      </c>
      <c r="P423" s="167">
        <f t="shared" si="43"/>
        <v>91300000</v>
      </c>
      <c r="Q423" s="167"/>
      <c r="S423" s="201">
        <f t="shared" si="44"/>
        <v>91.3</v>
      </c>
      <c r="T423" s="201">
        <f t="shared" si="39"/>
        <v>91.3</v>
      </c>
      <c r="U423" s="201">
        <f t="shared" si="39"/>
        <v>0</v>
      </c>
      <c r="V423" s="201">
        <f t="shared" si="39"/>
        <v>91.3</v>
      </c>
      <c r="W423" s="201">
        <f t="shared" si="39"/>
        <v>91.3</v>
      </c>
      <c r="X423" s="201">
        <f t="shared" si="39"/>
        <v>0</v>
      </c>
    </row>
    <row r="424" spans="1:24" s="169" customFormat="1" ht="13.8">
      <c r="A424" s="192"/>
      <c r="B424" s="170" t="s">
        <v>680</v>
      </c>
      <c r="C424" s="183" t="str">
        <f t="shared" si="40"/>
        <v/>
      </c>
      <c r="D424" s="182" t="str">
        <f t="shared" si="41"/>
        <v/>
      </c>
      <c r="E424" s="206"/>
      <c r="F424" s="207"/>
      <c r="G424" s="207"/>
      <c r="H424" s="205"/>
      <c r="I424" s="167">
        <v>1140900000</v>
      </c>
      <c r="J424" s="166"/>
      <c r="K424" s="167">
        <v>995000000</v>
      </c>
      <c r="L424" s="168">
        <v>145900000</v>
      </c>
      <c r="M424" s="168">
        <f t="shared" si="42"/>
        <v>1140900000</v>
      </c>
      <c r="N424" s="168"/>
      <c r="O424" s="167">
        <v>1140900000</v>
      </c>
      <c r="P424" s="167">
        <f t="shared" si="43"/>
        <v>1140900000</v>
      </c>
      <c r="Q424" s="167"/>
      <c r="S424" s="201">
        <f t="shared" si="44"/>
        <v>1140.9000000000001</v>
      </c>
      <c r="T424" s="201">
        <f t="shared" si="39"/>
        <v>1140.9000000000001</v>
      </c>
      <c r="U424" s="201">
        <f t="shared" si="39"/>
        <v>0</v>
      </c>
      <c r="V424" s="201">
        <f t="shared" si="39"/>
        <v>1140.9000000000001</v>
      </c>
      <c r="W424" s="201">
        <f t="shared" si="39"/>
        <v>1140.9000000000001</v>
      </c>
      <c r="X424" s="201">
        <f t="shared" si="39"/>
        <v>0</v>
      </c>
    </row>
    <row r="425" spans="1:24" s="169" customFormat="1" ht="13.8">
      <c r="A425" s="193"/>
      <c r="B425" s="187"/>
      <c r="C425" s="183" t="str">
        <f t="shared" si="40"/>
        <v/>
      </c>
      <c r="D425" s="182" t="str">
        <f t="shared" si="41"/>
        <v/>
      </c>
      <c r="E425" s="192" t="s">
        <v>681</v>
      </c>
      <c r="F425" s="192" t="s">
        <v>864</v>
      </c>
      <c r="G425" s="192" t="s">
        <v>786</v>
      </c>
      <c r="H425" s="210" t="s">
        <v>1440</v>
      </c>
      <c r="I425" s="167">
        <v>1111300000</v>
      </c>
      <c r="J425" s="166"/>
      <c r="K425" s="167">
        <v>995000000</v>
      </c>
      <c r="L425" s="168">
        <v>116300000</v>
      </c>
      <c r="M425" s="168">
        <f t="shared" si="42"/>
        <v>1111300000</v>
      </c>
      <c r="N425" s="168"/>
      <c r="O425" s="167">
        <v>1111300000</v>
      </c>
      <c r="P425" s="167">
        <f t="shared" si="43"/>
        <v>1111300000</v>
      </c>
      <c r="Q425" s="167"/>
      <c r="S425" s="201">
        <f t="shared" si="44"/>
        <v>1111.3</v>
      </c>
      <c r="T425" s="201">
        <f t="shared" si="39"/>
        <v>1111.3</v>
      </c>
      <c r="U425" s="201">
        <f t="shared" si="39"/>
        <v>0</v>
      </c>
      <c r="V425" s="201">
        <f t="shared" si="39"/>
        <v>1111.3</v>
      </c>
      <c r="W425" s="201">
        <f t="shared" si="39"/>
        <v>1111.3</v>
      </c>
      <c r="X425" s="201">
        <f t="shared" si="39"/>
        <v>0</v>
      </c>
    </row>
    <row r="426" spans="1:24" s="169" customFormat="1" ht="13.8">
      <c r="A426" s="195"/>
      <c r="B426" s="188"/>
      <c r="C426" s="183" t="str">
        <f t="shared" si="40"/>
        <v/>
      </c>
      <c r="D426" s="182" t="str">
        <f t="shared" si="41"/>
        <v/>
      </c>
      <c r="E426" s="192" t="s">
        <v>667</v>
      </c>
      <c r="F426" s="192" t="s">
        <v>864</v>
      </c>
      <c r="G426" s="192" t="s">
        <v>786</v>
      </c>
      <c r="H426" s="210" t="s">
        <v>1440</v>
      </c>
      <c r="I426" s="167">
        <v>29600000</v>
      </c>
      <c r="J426" s="166"/>
      <c r="K426" s="166"/>
      <c r="L426" s="168">
        <v>29600000</v>
      </c>
      <c r="M426" s="168">
        <f t="shared" si="42"/>
        <v>29600000</v>
      </c>
      <c r="N426" s="168"/>
      <c r="O426" s="167">
        <v>29600000</v>
      </c>
      <c r="P426" s="167">
        <f t="shared" si="43"/>
        <v>29600000</v>
      </c>
      <c r="Q426" s="167"/>
      <c r="S426" s="201">
        <f t="shared" si="44"/>
        <v>29.6</v>
      </c>
      <c r="T426" s="201">
        <f t="shared" si="39"/>
        <v>29.6</v>
      </c>
      <c r="U426" s="201">
        <f t="shared" si="39"/>
        <v>0</v>
      </c>
      <c r="V426" s="201">
        <f t="shared" si="39"/>
        <v>29.6</v>
      </c>
      <c r="W426" s="201">
        <f t="shared" si="39"/>
        <v>29.6</v>
      </c>
      <c r="X426" s="201">
        <f t="shared" si="39"/>
        <v>0</v>
      </c>
    </row>
    <row r="427" spans="1:24" s="169" customFormat="1" ht="13.8">
      <c r="A427" s="192" t="s">
        <v>869</v>
      </c>
      <c r="B427" s="170" t="s">
        <v>870</v>
      </c>
      <c r="C427" s="183" t="str">
        <f t="shared" si="40"/>
        <v>1037484</v>
      </c>
      <c r="D427" s="182" t="str">
        <f t="shared" si="41"/>
        <v>-Thư viện Tinh</v>
      </c>
      <c r="E427" s="206"/>
      <c r="F427" s="207"/>
      <c r="G427" s="207"/>
      <c r="H427" s="205"/>
      <c r="I427" s="167">
        <v>2729947000</v>
      </c>
      <c r="J427" s="166"/>
      <c r="K427" s="167">
        <v>2559000000</v>
      </c>
      <c r="L427" s="168">
        <v>170947000</v>
      </c>
      <c r="M427" s="168">
        <f t="shared" si="42"/>
        <v>2729947000</v>
      </c>
      <c r="N427" s="168"/>
      <c r="O427" s="167">
        <v>2729947000</v>
      </c>
      <c r="P427" s="167">
        <f t="shared" si="43"/>
        <v>2729947000</v>
      </c>
      <c r="Q427" s="167"/>
      <c r="S427" s="201">
        <f t="shared" si="44"/>
        <v>2729.9470000000001</v>
      </c>
      <c r="T427" s="201">
        <f t="shared" si="39"/>
        <v>2729.9470000000001</v>
      </c>
      <c r="U427" s="201">
        <f t="shared" si="39"/>
        <v>0</v>
      </c>
      <c r="V427" s="201">
        <f t="shared" si="39"/>
        <v>2729.9470000000001</v>
      </c>
      <c r="W427" s="201">
        <f t="shared" si="39"/>
        <v>2729.9470000000001</v>
      </c>
      <c r="X427" s="201">
        <f t="shared" si="39"/>
        <v>0</v>
      </c>
    </row>
    <row r="428" spans="1:24" s="169" customFormat="1" ht="13.8">
      <c r="A428" s="192" t="s">
        <v>871</v>
      </c>
      <c r="B428" s="170" t="s">
        <v>675</v>
      </c>
      <c r="C428" s="183" t="str">
        <f t="shared" si="40"/>
        <v/>
      </c>
      <c r="D428" s="182" t="str">
        <f t="shared" si="41"/>
        <v/>
      </c>
      <c r="E428" s="206"/>
      <c r="F428" s="207"/>
      <c r="G428" s="207"/>
      <c r="H428" s="205"/>
      <c r="I428" s="167">
        <v>2729947000</v>
      </c>
      <c r="J428" s="166"/>
      <c r="K428" s="167">
        <v>2559000000</v>
      </c>
      <c r="L428" s="168">
        <v>170947000</v>
      </c>
      <c r="M428" s="168">
        <f t="shared" si="42"/>
        <v>2729947000</v>
      </c>
      <c r="N428" s="168"/>
      <c r="O428" s="167">
        <v>2729947000</v>
      </c>
      <c r="P428" s="167">
        <f t="shared" si="43"/>
        <v>2729947000</v>
      </c>
      <c r="Q428" s="167"/>
      <c r="S428" s="201">
        <f t="shared" si="44"/>
        <v>2729.9470000000001</v>
      </c>
      <c r="T428" s="201">
        <f t="shared" si="39"/>
        <v>2729.9470000000001</v>
      </c>
      <c r="U428" s="201">
        <f t="shared" si="39"/>
        <v>0</v>
      </c>
      <c r="V428" s="201">
        <f t="shared" si="39"/>
        <v>2729.9470000000001</v>
      </c>
      <c r="W428" s="201">
        <f t="shared" si="39"/>
        <v>2729.9470000000001</v>
      </c>
      <c r="X428" s="201">
        <f t="shared" si="39"/>
        <v>0</v>
      </c>
    </row>
    <row r="429" spans="1:24" s="169" customFormat="1" ht="13.8">
      <c r="A429" s="192"/>
      <c r="B429" s="170" t="s">
        <v>676</v>
      </c>
      <c r="C429" s="183" t="str">
        <f t="shared" si="40"/>
        <v/>
      </c>
      <c r="D429" s="182" t="str">
        <f t="shared" si="41"/>
        <v/>
      </c>
      <c r="E429" s="206"/>
      <c r="F429" s="207"/>
      <c r="G429" s="207"/>
      <c r="H429" s="205"/>
      <c r="I429" s="167">
        <v>1520000000</v>
      </c>
      <c r="J429" s="166"/>
      <c r="K429" s="167">
        <v>1490000000</v>
      </c>
      <c r="L429" s="168">
        <v>30000000</v>
      </c>
      <c r="M429" s="168">
        <f t="shared" si="42"/>
        <v>1520000000</v>
      </c>
      <c r="N429" s="168"/>
      <c r="O429" s="167">
        <v>1520000000</v>
      </c>
      <c r="P429" s="167">
        <f t="shared" si="43"/>
        <v>1520000000</v>
      </c>
      <c r="Q429" s="167"/>
      <c r="S429" s="201">
        <f t="shared" si="44"/>
        <v>1520</v>
      </c>
      <c r="T429" s="201">
        <f t="shared" si="39"/>
        <v>1520</v>
      </c>
      <c r="U429" s="201">
        <f t="shared" si="39"/>
        <v>0</v>
      </c>
      <c r="V429" s="201">
        <f t="shared" si="39"/>
        <v>1520</v>
      </c>
      <c r="W429" s="201">
        <f t="shared" si="39"/>
        <v>1520</v>
      </c>
      <c r="X429" s="201">
        <f t="shared" si="39"/>
        <v>0</v>
      </c>
    </row>
    <row r="430" spans="1:24" s="169" customFormat="1" ht="13.8">
      <c r="A430" s="193"/>
      <c r="B430" s="187"/>
      <c r="C430" s="183" t="str">
        <f t="shared" si="40"/>
        <v/>
      </c>
      <c r="D430" s="182" t="str">
        <f t="shared" si="41"/>
        <v/>
      </c>
      <c r="E430" s="192" t="s">
        <v>666</v>
      </c>
      <c r="F430" s="192" t="s">
        <v>795</v>
      </c>
      <c r="G430" s="192" t="s">
        <v>872</v>
      </c>
      <c r="H430" s="210" t="s">
        <v>1440</v>
      </c>
      <c r="I430" s="167">
        <v>1490000000</v>
      </c>
      <c r="J430" s="166"/>
      <c r="K430" s="167">
        <v>1490000000</v>
      </c>
      <c r="L430" s="171"/>
      <c r="M430" s="168">
        <f t="shared" si="42"/>
        <v>1490000000</v>
      </c>
      <c r="N430" s="171"/>
      <c r="O430" s="167">
        <v>1490000000</v>
      </c>
      <c r="P430" s="167">
        <f t="shared" si="43"/>
        <v>1490000000</v>
      </c>
      <c r="Q430" s="167"/>
      <c r="S430" s="201">
        <f t="shared" si="44"/>
        <v>1490</v>
      </c>
      <c r="T430" s="201">
        <f t="shared" si="39"/>
        <v>1490</v>
      </c>
      <c r="U430" s="201">
        <f t="shared" si="39"/>
        <v>0</v>
      </c>
      <c r="V430" s="201">
        <f t="shared" si="39"/>
        <v>1490</v>
      </c>
      <c r="W430" s="201">
        <f t="shared" si="39"/>
        <v>1490</v>
      </c>
      <c r="X430" s="201">
        <f t="shared" si="39"/>
        <v>0</v>
      </c>
    </row>
    <row r="431" spans="1:24" s="169" customFormat="1" ht="13.8">
      <c r="A431" s="195"/>
      <c r="B431" s="188"/>
      <c r="C431" s="183" t="str">
        <f t="shared" si="40"/>
        <v/>
      </c>
      <c r="D431" s="182" t="str">
        <f t="shared" si="41"/>
        <v/>
      </c>
      <c r="E431" s="192" t="s">
        <v>679</v>
      </c>
      <c r="F431" s="192" t="s">
        <v>795</v>
      </c>
      <c r="G431" s="192" t="s">
        <v>872</v>
      </c>
      <c r="H431" s="210" t="s">
        <v>1440</v>
      </c>
      <c r="I431" s="167">
        <v>30000000</v>
      </c>
      <c r="J431" s="166"/>
      <c r="K431" s="166"/>
      <c r="L431" s="168">
        <v>30000000</v>
      </c>
      <c r="M431" s="168">
        <f t="shared" si="42"/>
        <v>30000000</v>
      </c>
      <c r="N431" s="168"/>
      <c r="O431" s="167">
        <v>30000000</v>
      </c>
      <c r="P431" s="167">
        <f t="shared" si="43"/>
        <v>30000000</v>
      </c>
      <c r="Q431" s="167"/>
      <c r="S431" s="201">
        <f t="shared" si="44"/>
        <v>30</v>
      </c>
      <c r="T431" s="201">
        <f t="shared" si="39"/>
        <v>30</v>
      </c>
      <c r="U431" s="201">
        <f t="shared" si="39"/>
        <v>0</v>
      </c>
      <c r="V431" s="201">
        <f t="shared" si="39"/>
        <v>30</v>
      </c>
      <c r="W431" s="201">
        <f t="shared" si="39"/>
        <v>30</v>
      </c>
      <c r="X431" s="201">
        <f t="shared" si="39"/>
        <v>0</v>
      </c>
    </row>
    <row r="432" spans="1:24" s="169" customFormat="1" ht="13.8">
      <c r="A432" s="192"/>
      <c r="B432" s="170" t="s">
        <v>680</v>
      </c>
      <c r="C432" s="183" t="str">
        <f t="shared" si="40"/>
        <v/>
      </c>
      <c r="D432" s="182" t="str">
        <f t="shared" si="41"/>
        <v/>
      </c>
      <c r="E432" s="206"/>
      <c r="F432" s="207"/>
      <c r="G432" s="207"/>
      <c r="H432" s="205"/>
      <c r="I432" s="167">
        <v>1209947000</v>
      </c>
      <c r="J432" s="166"/>
      <c r="K432" s="167">
        <v>1069000000</v>
      </c>
      <c r="L432" s="168">
        <v>140947000</v>
      </c>
      <c r="M432" s="168">
        <f t="shared" si="42"/>
        <v>1209947000</v>
      </c>
      <c r="N432" s="168"/>
      <c r="O432" s="167">
        <v>1209947000</v>
      </c>
      <c r="P432" s="167">
        <f t="shared" si="43"/>
        <v>1209947000</v>
      </c>
      <c r="Q432" s="167"/>
      <c r="S432" s="201">
        <f t="shared" si="44"/>
        <v>1209.9469999999999</v>
      </c>
      <c r="T432" s="201">
        <f t="shared" si="39"/>
        <v>1209.9469999999999</v>
      </c>
      <c r="U432" s="201">
        <f t="shared" si="39"/>
        <v>0</v>
      </c>
      <c r="V432" s="201">
        <f t="shared" si="39"/>
        <v>1209.9469999999999</v>
      </c>
      <c r="W432" s="201">
        <f t="shared" si="39"/>
        <v>1209.9469999999999</v>
      </c>
      <c r="X432" s="201">
        <f t="shared" si="39"/>
        <v>0</v>
      </c>
    </row>
    <row r="433" spans="1:24" s="169" customFormat="1" ht="13.8">
      <c r="A433" s="192"/>
      <c r="B433" s="164"/>
      <c r="C433" s="183" t="str">
        <f t="shared" si="40"/>
        <v/>
      </c>
      <c r="D433" s="182" t="str">
        <f t="shared" si="41"/>
        <v/>
      </c>
      <c r="E433" s="192" t="s">
        <v>681</v>
      </c>
      <c r="F433" s="192" t="s">
        <v>795</v>
      </c>
      <c r="G433" s="192" t="s">
        <v>872</v>
      </c>
      <c r="H433" s="210" t="s">
        <v>1440</v>
      </c>
      <c r="I433" s="167">
        <v>1209947000</v>
      </c>
      <c r="J433" s="166"/>
      <c r="K433" s="167">
        <v>1069000000</v>
      </c>
      <c r="L433" s="168">
        <v>140947000</v>
      </c>
      <c r="M433" s="168">
        <f t="shared" si="42"/>
        <v>1209947000</v>
      </c>
      <c r="N433" s="168"/>
      <c r="O433" s="167">
        <v>1209947000</v>
      </c>
      <c r="P433" s="167">
        <f t="shared" si="43"/>
        <v>1209947000</v>
      </c>
      <c r="Q433" s="167"/>
      <c r="S433" s="201">
        <f t="shared" si="44"/>
        <v>1209.9469999999999</v>
      </c>
      <c r="T433" s="201">
        <f t="shared" si="39"/>
        <v>1209.9469999999999</v>
      </c>
      <c r="U433" s="201">
        <f t="shared" si="39"/>
        <v>0</v>
      </c>
      <c r="V433" s="201">
        <f t="shared" si="39"/>
        <v>1209.9469999999999</v>
      </c>
      <c r="W433" s="201">
        <f t="shared" si="39"/>
        <v>1209.9469999999999</v>
      </c>
      <c r="X433" s="201">
        <f t="shared" si="39"/>
        <v>0</v>
      </c>
    </row>
    <row r="434" spans="1:24" s="169" customFormat="1" ht="26.4">
      <c r="A434" s="192" t="s">
        <v>873</v>
      </c>
      <c r="B434" s="165" t="s">
        <v>874</v>
      </c>
      <c r="C434" s="183" t="str">
        <f t="shared" si="40"/>
        <v>1037488</v>
      </c>
      <c r="D434" s="182" t="str">
        <f t="shared" si="41"/>
        <v>-Hạt Kiềm lâm thành phố Kon rum</v>
      </c>
      <c r="E434" s="206"/>
      <c r="F434" s="207"/>
      <c r="G434" s="207"/>
      <c r="H434" s="205"/>
      <c r="I434" s="167">
        <v>2261642000</v>
      </c>
      <c r="J434" s="167">
        <v>21642000</v>
      </c>
      <c r="K434" s="167">
        <v>2181000000</v>
      </c>
      <c r="L434" s="168">
        <v>59000000</v>
      </c>
      <c r="M434" s="168">
        <f t="shared" si="42"/>
        <v>2261642000</v>
      </c>
      <c r="N434" s="168"/>
      <c r="O434" s="167">
        <v>2261642000</v>
      </c>
      <c r="P434" s="167">
        <f t="shared" si="43"/>
        <v>2261642000</v>
      </c>
      <c r="Q434" s="167"/>
      <c r="S434" s="201">
        <f t="shared" si="44"/>
        <v>2261.6419999999998</v>
      </c>
      <c r="T434" s="201">
        <f t="shared" si="39"/>
        <v>2261.6419999999998</v>
      </c>
      <c r="U434" s="201">
        <f t="shared" si="39"/>
        <v>0</v>
      </c>
      <c r="V434" s="201">
        <f t="shared" si="39"/>
        <v>2261.6419999999998</v>
      </c>
      <c r="W434" s="201">
        <f t="shared" si="39"/>
        <v>2261.6419999999998</v>
      </c>
      <c r="X434" s="201">
        <f t="shared" si="39"/>
        <v>0</v>
      </c>
    </row>
    <row r="435" spans="1:24" s="169" customFormat="1" ht="13.8">
      <c r="A435" s="192" t="s">
        <v>875</v>
      </c>
      <c r="B435" s="170" t="s">
        <v>675</v>
      </c>
      <c r="C435" s="183" t="str">
        <f t="shared" si="40"/>
        <v/>
      </c>
      <c r="D435" s="182" t="str">
        <f t="shared" si="41"/>
        <v/>
      </c>
      <c r="E435" s="206"/>
      <c r="F435" s="207"/>
      <c r="G435" s="207"/>
      <c r="H435" s="205"/>
      <c r="I435" s="167">
        <v>2261642000</v>
      </c>
      <c r="J435" s="167">
        <v>21642000</v>
      </c>
      <c r="K435" s="167">
        <v>2181000000</v>
      </c>
      <c r="L435" s="168">
        <v>59000000</v>
      </c>
      <c r="M435" s="168">
        <f t="shared" si="42"/>
        <v>2261642000</v>
      </c>
      <c r="N435" s="168"/>
      <c r="O435" s="167">
        <v>2261642000</v>
      </c>
      <c r="P435" s="167">
        <f t="shared" si="43"/>
        <v>2261642000</v>
      </c>
      <c r="Q435" s="167"/>
      <c r="S435" s="201">
        <f t="shared" si="44"/>
        <v>2261.6419999999998</v>
      </c>
      <c r="T435" s="201">
        <f t="shared" si="39"/>
        <v>2261.6419999999998</v>
      </c>
      <c r="U435" s="201">
        <f t="shared" si="39"/>
        <v>0</v>
      </c>
      <c r="V435" s="201">
        <f t="shared" si="39"/>
        <v>2261.6419999999998</v>
      </c>
      <c r="W435" s="201">
        <f t="shared" si="39"/>
        <v>2261.6419999999998</v>
      </c>
      <c r="X435" s="201">
        <f t="shared" si="39"/>
        <v>0</v>
      </c>
    </row>
    <row r="436" spans="1:24" s="169" customFormat="1" ht="13.8">
      <c r="A436" s="192"/>
      <c r="B436" s="170" t="s">
        <v>676</v>
      </c>
      <c r="C436" s="183" t="str">
        <f t="shared" si="40"/>
        <v/>
      </c>
      <c r="D436" s="182" t="str">
        <f t="shared" si="41"/>
        <v/>
      </c>
      <c r="E436" s="206"/>
      <c r="F436" s="207"/>
      <c r="G436" s="207"/>
      <c r="H436" s="205"/>
      <c r="I436" s="167">
        <v>2106642000</v>
      </c>
      <c r="J436" s="167">
        <v>21642000</v>
      </c>
      <c r="K436" s="167">
        <v>2053000000</v>
      </c>
      <c r="L436" s="168">
        <v>32000000</v>
      </c>
      <c r="M436" s="168">
        <f t="shared" si="42"/>
        <v>2106642000</v>
      </c>
      <c r="N436" s="168"/>
      <c r="O436" s="167">
        <v>2106642000</v>
      </c>
      <c r="P436" s="167">
        <f t="shared" si="43"/>
        <v>2106642000</v>
      </c>
      <c r="Q436" s="167"/>
      <c r="S436" s="201">
        <f t="shared" si="44"/>
        <v>2106.6419999999998</v>
      </c>
      <c r="T436" s="201">
        <f t="shared" si="39"/>
        <v>2106.6419999999998</v>
      </c>
      <c r="U436" s="201">
        <f t="shared" si="39"/>
        <v>0</v>
      </c>
      <c r="V436" s="201">
        <f t="shared" si="39"/>
        <v>2106.6419999999998</v>
      </c>
      <c r="W436" s="201">
        <f t="shared" si="39"/>
        <v>2106.6419999999998</v>
      </c>
      <c r="X436" s="201">
        <f t="shared" si="39"/>
        <v>0</v>
      </c>
    </row>
    <row r="437" spans="1:24" s="169" customFormat="1" ht="13.8">
      <c r="A437" s="192"/>
      <c r="B437" s="173"/>
      <c r="C437" s="183" t="str">
        <f t="shared" si="40"/>
        <v/>
      </c>
      <c r="D437" s="182" t="str">
        <f t="shared" si="41"/>
        <v/>
      </c>
      <c r="E437" s="192"/>
      <c r="F437" s="192"/>
      <c r="G437" s="192"/>
      <c r="H437" s="210"/>
      <c r="I437" s="174"/>
      <c r="J437" s="174"/>
      <c r="K437" s="174"/>
      <c r="L437" s="175"/>
      <c r="M437" s="168">
        <f t="shared" si="42"/>
        <v>0</v>
      </c>
      <c r="N437" s="175"/>
      <c r="O437" s="174"/>
      <c r="P437" s="167">
        <f t="shared" si="43"/>
        <v>0</v>
      </c>
      <c r="Q437" s="174"/>
      <c r="S437" s="201">
        <f t="shared" si="44"/>
        <v>0</v>
      </c>
      <c r="T437" s="201">
        <f t="shared" ref="T437:X487" si="45">M437/1000000</f>
        <v>0</v>
      </c>
      <c r="U437" s="201">
        <f t="shared" si="45"/>
        <v>0</v>
      </c>
      <c r="V437" s="201">
        <f t="shared" si="45"/>
        <v>0</v>
      </c>
      <c r="W437" s="201">
        <f t="shared" si="45"/>
        <v>0</v>
      </c>
      <c r="X437" s="201">
        <f t="shared" si="45"/>
        <v>0</v>
      </c>
    </row>
    <row r="438" spans="1:24" s="169" customFormat="1" ht="13.8">
      <c r="A438" s="193"/>
      <c r="B438" s="187"/>
      <c r="C438" s="183" t="str">
        <f t="shared" si="40"/>
        <v/>
      </c>
      <c r="D438" s="182" t="str">
        <f t="shared" si="41"/>
        <v/>
      </c>
      <c r="E438" s="192" t="s">
        <v>666</v>
      </c>
      <c r="F438" s="192" t="s">
        <v>698</v>
      </c>
      <c r="G438" s="192" t="s">
        <v>695</v>
      </c>
      <c r="H438" s="210" t="s">
        <v>1440</v>
      </c>
      <c r="I438" s="167">
        <v>2053000000</v>
      </c>
      <c r="J438" s="166"/>
      <c r="K438" s="167">
        <v>2053000000</v>
      </c>
      <c r="L438" s="171"/>
      <c r="M438" s="168">
        <f t="shared" si="42"/>
        <v>2053000000</v>
      </c>
      <c r="N438" s="171"/>
      <c r="O438" s="167">
        <v>2053000000</v>
      </c>
      <c r="P438" s="167">
        <f t="shared" si="43"/>
        <v>2053000000</v>
      </c>
      <c r="Q438" s="167"/>
      <c r="S438" s="201">
        <f t="shared" si="44"/>
        <v>2053</v>
      </c>
      <c r="T438" s="201">
        <f t="shared" si="45"/>
        <v>2053</v>
      </c>
      <c r="U438" s="201">
        <f t="shared" si="45"/>
        <v>0</v>
      </c>
      <c r="V438" s="201">
        <f t="shared" si="45"/>
        <v>2053</v>
      </c>
      <c r="W438" s="201">
        <f t="shared" si="45"/>
        <v>2053</v>
      </c>
      <c r="X438" s="201">
        <f t="shared" si="45"/>
        <v>0</v>
      </c>
    </row>
    <row r="439" spans="1:24" s="169" customFormat="1" ht="13.8">
      <c r="A439" s="195"/>
      <c r="B439" s="188"/>
      <c r="C439" s="183" t="str">
        <f t="shared" si="40"/>
        <v/>
      </c>
      <c r="D439" s="182" t="str">
        <f t="shared" si="41"/>
        <v/>
      </c>
      <c r="E439" s="192" t="s">
        <v>679</v>
      </c>
      <c r="F439" s="192" t="s">
        <v>698</v>
      </c>
      <c r="G439" s="192" t="s">
        <v>695</v>
      </c>
      <c r="H439" s="210" t="s">
        <v>1440</v>
      </c>
      <c r="I439" s="167">
        <v>53642000</v>
      </c>
      <c r="J439" s="167">
        <v>21642000</v>
      </c>
      <c r="K439" s="166"/>
      <c r="L439" s="168">
        <v>32000000</v>
      </c>
      <c r="M439" s="168">
        <f t="shared" si="42"/>
        <v>53642000</v>
      </c>
      <c r="N439" s="168"/>
      <c r="O439" s="167">
        <v>53642000</v>
      </c>
      <c r="P439" s="167">
        <f t="shared" si="43"/>
        <v>53642000</v>
      </c>
      <c r="Q439" s="167"/>
      <c r="S439" s="201">
        <f t="shared" si="44"/>
        <v>53.642000000000003</v>
      </c>
      <c r="T439" s="201">
        <f t="shared" si="45"/>
        <v>53.642000000000003</v>
      </c>
      <c r="U439" s="201">
        <f t="shared" si="45"/>
        <v>0</v>
      </c>
      <c r="V439" s="201">
        <f t="shared" si="45"/>
        <v>53.642000000000003</v>
      </c>
      <c r="W439" s="201">
        <f t="shared" si="45"/>
        <v>53.642000000000003</v>
      </c>
      <c r="X439" s="201">
        <f t="shared" si="45"/>
        <v>0</v>
      </c>
    </row>
    <row r="440" spans="1:24" s="169" customFormat="1" ht="13.8">
      <c r="A440" s="192"/>
      <c r="B440" s="170" t="s">
        <v>680</v>
      </c>
      <c r="C440" s="183" t="str">
        <f t="shared" si="40"/>
        <v/>
      </c>
      <c r="D440" s="182" t="str">
        <f t="shared" si="41"/>
        <v/>
      </c>
      <c r="E440" s="206"/>
      <c r="F440" s="207"/>
      <c r="G440" s="207"/>
      <c r="H440" s="205"/>
      <c r="I440" s="167">
        <v>155000000</v>
      </c>
      <c r="J440" s="166"/>
      <c r="K440" s="167">
        <v>128000000</v>
      </c>
      <c r="L440" s="168">
        <v>27000000</v>
      </c>
      <c r="M440" s="168">
        <f t="shared" si="42"/>
        <v>155000000</v>
      </c>
      <c r="N440" s="168"/>
      <c r="O440" s="167">
        <v>155000000</v>
      </c>
      <c r="P440" s="167">
        <f t="shared" si="43"/>
        <v>155000000</v>
      </c>
      <c r="Q440" s="167"/>
      <c r="S440" s="201">
        <f t="shared" si="44"/>
        <v>155</v>
      </c>
      <c r="T440" s="201">
        <f t="shared" si="45"/>
        <v>155</v>
      </c>
      <c r="U440" s="201">
        <f t="shared" si="45"/>
        <v>0</v>
      </c>
      <c r="V440" s="201">
        <f t="shared" si="45"/>
        <v>155</v>
      </c>
      <c r="W440" s="201">
        <f t="shared" si="45"/>
        <v>155</v>
      </c>
      <c r="X440" s="201">
        <f t="shared" si="45"/>
        <v>0</v>
      </c>
    </row>
    <row r="441" spans="1:24" s="169" customFormat="1" ht="13.8">
      <c r="A441" s="193"/>
      <c r="B441" s="187"/>
      <c r="C441" s="183" t="str">
        <f t="shared" si="40"/>
        <v/>
      </c>
      <c r="D441" s="182" t="str">
        <f t="shared" si="41"/>
        <v/>
      </c>
      <c r="E441" s="192" t="s">
        <v>681</v>
      </c>
      <c r="F441" s="192" t="s">
        <v>698</v>
      </c>
      <c r="G441" s="192" t="s">
        <v>699</v>
      </c>
      <c r="H441" s="210" t="s">
        <v>1440</v>
      </c>
      <c r="I441" s="167">
        <v>128000000</v>
      </c>
      <c r="J441" s="166"/>
      <c r="K441" s="167">
        <v>128000000</v>
      </c>
      <c r="L441" s="171"/>
      <c r="M441" s="168">
        <f t="shared" si="42"/>
        <v>128000000</v>
      </c>
      <c r="N441" s="171"/>
      <c r="O441" s="167">
        <v>128000000</v>
      </c>
      <c r="P441" s="167">
        <f t="shared" si="43"/>
        <v>128000000</v>
      </c>
      <c r="Q441" s="167"/>
      <c r="S441" s="201">
        <f t="shared" si="44"/>
        <v>128</v>
      </c>
      <c r="T441" s="201">
        <f t="shared" si="45"/>
        <v>128</v>
      </c>
      <c r="U441" s="201">
        <f t="shared" si="45"/>
        <v>0</v>
      </c>
      <c r="V441" s="201">
        <f t="shared" si="45"/>
        <v>128</v>
      </c>
      <c r="W441" s="201">
        <f t="shared" si="45"/>
        <v>128</v>
      </c>
      <c r="X441" s="201">
        <f t="shared" si="45"/>
        <v>0</v>
      </c>
    </row>
    <row r="442" spans="1:24" s="169" customFormat="1" ht="13.8">
      <c r="A442" s="195"/>
      <c r="B442" s="188"/>
      <c r="C442" s="183" t="str">
        <f t="shared" si="40"/>
        <v/>
      </c>
      <c r="D442" s="182" t="str">
        <f t="shared" si="41"/>
        <v/>
      </c>
      <c r="E442" s="192" t="s">
        <v>681</v>
      </c>
      <c r="F442" s="192" t="s">
        <v>698</v>
      </c>
      <c r="G442" s="192" t="s">
        <v>695</v>
      </c>
      <c r="H442" s="210" t="s">
        <v>1440</v>
      </c>
      <c r="I442" s="167">
        <v>27000000</v>
      </c>
      <c r="J442" s="166"/>
      <c r="K442" s="166"/>
      <c r="L442" s="168">
        <v>27000000</v>
      </c>
      <c r="M442" s="168">
        <f t="shared" si="42"/>
        <v>27000000</v>
      </c>
      <c r="N442" s="168"/>
      <c r="O442" s="167">
        <v>27000000</v>
      </c>
      <c r="P442" s="167">
        <f t="shared" si="43"/>
        <v>27000000</v>
      </c>
      <c r="Q442" s="167"/>
      <c r="S442" s="201">
        <f t="shared" si="44"/>
        <v>27</v>
      </c>
      <c r="T442" s="201">
        <f t="shared" si="45"/>
        <v>27</v>
      </c>
      <c r="U442" s="201">
        <f t="shared" si="45"/>
        <v>0</v>
      </c>
      <c r="V442" s="201">
        <f t="shared" si="45"/>
        <v>27</v>
      </c>
      <c r="W442" s="201">
        <f t="shared" si="45"/>
        <v>27</v>
      </c>
      <c r="X442" s="201">
        <f t="shared" si="45"/>
        <v>0</v>
      </c>
    </row>
    <row r="443" spans="1:24" s="169" customFormat="1" ht="26.4">
      <c r="A443" s="192" t="s">
        <v>876</v>
      </c>
      <c r="B443" s="165" t="s">
        <v>877</v>
      </c>
      <c r="C443" s="183" t="str">
        <f t="shared" si="40"/>
        <v>1037489</v>
      </c>
      <c r="D443" s="182" t="str">
        <f t="shared" si="41"/>
        <v>-Ban quản lý rừng Đặc dụng Dak uy</v>
      </c>
      <c r="E443" s="206"/>
      <c r="F443" s="207"/>
      <c r="G443" s="207"/>
      <c r="H443" s="205"/>
      <c r="I443" s="167">
        <v>2727826087</v>
      </c>
      <c r="J443" s="167">
        <v>32926087</v>
      </c>
      <c r="K443" s="167">
        <v>2201000000</v>
      </c>
      <c r="L443" s="168">
        <v>493900000</v>
      </c>
      <c r="M443" s="168">
        <f t="shared" si="42"/>
        <v>2727826087</v>
      </c>
      <c r="N443" s="168"/>
      <c r="O443" s="167">
        <v>2036520601</v>
      </c>
      <c r="P443" s="167">
        <f t="shared" si="43"/>
        <v>2036520601</v>
      </c>
      <c r="Q443" s="167"/>
      <c r="S443" s="201">
        <f t="shared" si="44"/>
        <v>2727.8260869999999</v>
      </c>
      <c r="T443" s="201">
        <f t="shared" si="45"/>
        <v>2727.8260869999999</v>
      </c>
      <c r="U443" s="201">
        <f t="shared" si="45"/>
        <v>0</v>
      </c>
      <c r="V443" s="201">
        <f t="shared" si="45"/>
        <v>2036.5206009999999</v>
      </c>
      <c r="W443" s="201">
        <f t="shared" si="45"/>
        <v>2036.5206009999999</v>
      </c>
      <c r="X443" s="201">
        <f t="shared" si="45"/>
        <v>0</v>
      </c>
    </row>
    <row r="444" spans="1:24" s="169" customFormat="1" ht="13.8">
      <c r="A444" s="192" t="s">
        <v>878</v>
      </c>
      <c r="B444" s="170" t="s">
        <v>675</v>
      </c>
      <c r="C444" s="183" t="str">
        <f t="shared" si="40"/>
        <v/>
      </c>
      <c r="D444" s="182" t="str">
        <f t="shared" si="41"/>
        <v/>
      </c>
      <c r="E444" s="206"/>
      <c r="F444" s="207"/>
      <c r="G444" s="207"/>
      <c r="H444" s="205"/>
      <c r="I444" s="167">
        <v>2246226087</v>
      </c>
      <c r="J444" s="167">
        <v>5926087</v>
      </c>
      <c r="K444" s="167">
        <v>2201000000</v>
      </c>
      <c r="L444" s="168">
        <v>39300000</v>
      </c>
      <c r="M444" s="168">
        <f t="shared" si="42"/>
        <v>2246226087</v>
      </c>
      <c r="N444" s="168"/>
      <c r="O444" s="167">
        <v>2009520601</v>
      </c>
      <c r="P444" s="167">
        <f t="shared" si="43"/>
        <v>2009520601</v>
      </c>
      <c r="Q444" s="167"/>
      <c r="S444" s="201">
        <f t="shared" si="44"/>
        <v>2246.226087</v>
      </c>
      <c r="T444" s="201">
        <f t="shared" si="45"/>
        <v>2246.226087</v>
      </c>
      <c r="U444" s="201">
        <f t="shared" si="45"/>
        <v>0</v>
      </c>
      <c r="V444" s="201">
        <f t="shared" si="45"/>
        <v>2009.5206009999999</v>
      </c>
      <c r="W444" s="201">
        <f t="shared" si="45"/>
        <v>2009.5206009999999</v>
      </c>
      <c r="X444" s="201">
        <f t="shared" si="45"/>
        <v>0</v>
      </c>
    </row>
    <row r="445" spans="1:24" s="169" customFormat="1" ht="13.8">
      <c r="A445" s="192"/>
      <c r="B445" s="170" t="s">
        <v>676</v>
      </c>
      <c r="C445" s="183" t="str">
        <f t="shared" si="40"/>
        <v/>
      </c>
      <c r="D445" s="182" t="str">
        <f t="shared" si="41"/>
        <v/>
      </c>
      <c r="E445" s="206"/>
      <c r="F445" s="207"/>
      <c r="G445" s="207"/>
      <c r="H445" s="205"/>
      <c r="I445" s="167">
        <v>1463226087</v>
      </c>
      <c r="J445" s="167">
        <v>5926087</v>
      </c>
      <c r="K445" s="167">
        <v>1418000000</v>
      </c>
      <c r="L445" s="168">
        <v>39300000</v>
      </c>
      <c r="M445" s="168">
        <f t="shared" si="42"/>
        <v>1463226087</v>
      </c>
      <c r="N445" s="168"/>
      <c r="O445" s="167">
        <v>1440431813</v>
      </c>
      <c r="P445" s="167">
        <f t="shared" si="43"/>
        <v>1440431813</v>
      </c>
      <c r="Q445" s="167"/>
      <c r="S445" s="201">
        <f t="shared" si="44"/>
        <v>1463.226087</v>
      </c>
      <c r="T445" s="201">
        <f t="shared" si="45"/>
        <v>1463.226087</v>
      </c>
      <c r="U445" s="201">
        <f t="shared" si="45"/>
        <v>0</v>
      </c>
      <c r="V445" s="201">
        <f t="shared" si="45"/>
        <v>1440.4318129999999</v>
      </c>
      <c r="W445" s="201">
        <f t="shared" si="45"/>
        <v>1440.4318129999999</v>
      </c>
      <c r="X445" s="201">
        <f t="shared" si="45"/>
        <v>0</v>
      </c>
    </row>
    <row r="446" spans="1:24" s="169" customFormat="1" ht="13.8">
      <c r="A446" s="193"/>
      <c r="B446" s="187"/>
      <c r="C446" s="183" t="str">
        <f t="shared" si="40"/>
        <v/>
      </c>
      <c r="D446" s="182" t="str">
        <f t="shared" si="41"/>
        <v/>
      </c>
      <c r="E446" s="192" t="s">
        <v>666</v>
      </c>
      <c r="F446" s="192" t="s">
        <v>698</v>
      </c>
      <c r="G446" s="192" t="s">
        <v>695</v>
      </c>
      <c r="H446" s="210" t="s">
        <v>1440</v>
      </c>
      <c r="I446" s="167">
        <v>1418000000</v>
      </c>
      <c r="J446" s="166"/>
      <c r="K446" s="167">
        <v>1418000000</v>
      </c>
      <c r="L446" s="171"/>
      <c r="M446" s="168">
        <f t="shared" si="42"/>
        <v>1418000000</v>
      </c>
      <c r="N446" s="171"/>
      <c r="O446" s="167">
        <v>1395205726</v>
      </c>
      <c r="P446" s="167">
        <f t="shared" si="43"/>
        <v>1395205726</v>
      </c>
      <c r="Q446" s="167"/>
      <c r="S446" s="201">
        <f t="shared" si="44"/>
        <v>1418</v>
      </c>
      <c r="T446" s="201">
        <f t="shared" si="45"/>
        <v>1418</v>
      </c>
      <c r="U446" s="201">
        <f t="shared" si="45"/>
        <v>0</v>
      </c>
      <c r="V446" s="201">
        <f t="shared" si="45"/>
        <v>1395.2057259999999</v>
      </c>
      <c r="W446" s="201">
        <f t="shared" si="45"/>
        <v>1395.2057259999999</v>
      </c>
      <c r="X446" s="201">
        <f t="shared" si="45"/>
        <v>0</v>
      </c>
    </row>
    <row r="447" spans="1:24" s="169" customFormat="1" ht="13.8">
      <c r="A447" s="195"/>
      <c r="B447" s="188"/>
      <c r="C447" s="183" t="str">
        <f t="shared" si="40"/>
        <v/>
      </c>
      <c r="D447" s="182" t="str">
        <f t="shared" si="41"/>
        <v/>
      </c>
      <c r="E447" s="192" t="s">
        <v>679</v>
      </c>
      <c r="F447" s="192" t="s">
        <v>698</v>
      </c>
      <c r="G447" s="192" t="s">
        <v>695</v>
      </c>
      <c r="H447" s="210" t="s">
        <v>1440</v>
      </c>
      <c r="I447" s="167">
        <v>45226087</v>
      </c>
      <c r="J447" s="167">
        <v>5926087</v>
      </c>
      <c r="K447" s="166"/>
      <c r="L447" s="168">
        <v>39300000</v>
      </c>
      <c r="M447" s="168">
        <f t="shared" si="42"/>
        <v>45226087</v>
      </c>
      <c r="N447" s="168"/>
      <c r="O447" s="167">
        <v>45226087</v>
      </c>
      <c r="P447" s="167">
        <f t="shared" si="43"/>
        <v>45226087</v>
      </c>
      <c r="Q447" s="167"/>
      <c r="S447" s="201">
        <f t="shared" si="44"/>
        <v>45.226087</v>
      </c>
      <c r="T447" s="201">
        <f t="shared" si="45"/>
        <v>45.226087</v>
      </c>
      <c r="U447" s="201">
        <f t="shared" si="45"/>
        <v>0</v>
      </c>
      <c r="V447" s="201">
        <f t="shared" si="45"/>
        <v>45.226087</v>
      </c>
      <c r="W447" s="201">
        <f t="shared" si="45"/>
        <v>45.226087</v>
      </c>
      <c r="X447" s="201">
        <f t="shared" si="45"/>
        <v>0</v>
      </c>
    </row>
    <row r="448" spans="1:24" s="169" customFormat="1" ht="13.8">
      <c r="A448" s="192"/>
      <c r="B448" s="170" t="s">
        <v>680</v>
      </c>
      <c r="C448" s="183" t="str">
        <f t="shared" si="40"/>
        <v/>
      </c>
      <c r="D448" s="182" t="str">
        <f t="shared" si="41"/>
        <v/>
      </c>
      <c r="E448" s="206"/>
      <c r="F448" s="207"/>
      <c r="G448" s="207"/>
      <c r="H448" s="205"/>
      <c r="I448" s="167">
        <v>783000000</v>
      </c>
      <c r="J448" s="166"/>
      <c r="K448" s="167">
        <v>783000000</v>
      </c>
      <c r="L448" s="171"/>
      <c r="M448" s="168">
        <f t="shared" si="42"/>
        <v>783000000</v>
      </c>
      <c r="N448" s="171"/>
      <c r="O448" s="167">
        <v>569088788</v>
      </c>
      <c r="P448" s="167">
        <f t="shared" si="43"/>
        <v>569088788</v>
      </c>
      <c r="Q448" s="167"/>
      <c r="S448" s="201">
        <f t="shared" si="44"/>
        <v>783</v>
      </c>
      <c r="T448" s="201">
        <f t="shared" si="45"/>
        <v>783</v>
      </c>
      <c r="U448" s="201">
        <f t="shared" si="45"/>
        <v>0</v>
      </c>
      <c r="V448" s="201">
        <f t="shared" si="45"/>
        <v>569.08878800000002</v>
      </c>
      <c r="W448" s="201">
        <f t="shared" si="45"/>
        <v>569.08878800000002</v>
      </c>
      <c r="X448" s="201">
        <f t="shared" si="45"/>
        <v>0</v>
      </c>
    </row>
    <row r="449" spans="1:24" s="169" customFormat="1" ht="13.8">
      <c r="A449" s="192"/>
      <c r="B449" s="164"/>
      <c r="C449" s="183" t="str">
        <f t="shared" si="40"/>
        <v/>
      </c>
      <c r="D449" s="182" t="str">
        <f t="shared" si="41"/>
        <v/>
      </c>
      <c r="E449" s="192" t="s">
        <v>681</v>
      </c>
      <c r="F449" s="192" t="s">
        <v>698</v>
      </c>
      <c r="G449" s="192" t="s">
        <v>699</v>
      </c>
      <c r="H449" s="210" t="s">
        <v>1440</v>
      </c>
      <c r="I449" s="167">
        <v>783000000</v>
      </c>
      <c r="J449" s="166"/>
      <c r="K449" s="167">
        <v>783000000</v>
      </c>
      <c r="L449" s="171"/>
      <c r="M449" s="168">
        <f t="shared" si="42"/>
        <v>783000000</v>
      </c>
      <c r="N449" s="171"/>
      <c r="O449" s="167">
        <v>569088788</v>
      </c>
      <c r="P449" s="167">
        <f t="shared" si="43"/>
        <v>569088788</v>
      </c>
      <c r="Q449" s="167"/>
      <c r="S449" s="201">
        <f t="shared" si="44"/>
        <v>783</v>
      </c>
      <c r="T449" s="201">
        <f t="shared" si="45"/>
        <v>783</v>
      </c>
      <c r="U449" s="201">
        <f t="shared" si="45"/>
        <v>0</v>
      </c>
      <c r="V449" s="201">
        <f t="shared" si="45"/>
        <v>569.08878800000002</v>
      </c>
      <c r="W449" s="201">
        <f t="shared" si="45"/>
        <v>569.08878800000002</v>
      </c>
      <c r="X449" s="201">
        <f t="shared" si="45"/>
        <v>0</v>
      </c>
    </row>
    <row r="450" spans="1:24" s="169" customFormat="1" ht="13.8">
      <c r="A450" s="192" t="s">
        <v>879</v>
      </c>
      <c r="B450" s="170" t="s">
        <v>731</v>
      </c>
      <c r="C450" s="183" t="str">
        <f t="shared" si="40"/>
        <v/>
      </c>
      <c r="D450" s="182" t="str">
        <f t="shared" si="41"/>
        <v/>
      </c>
      <c r="E450" s="206"/>
      <c r="F450" s="207"/>
      <c r="G450" s="207"/>
      <c r="H450" s="205"/>
      <c r="I450" s="167">
        <v>481600000</v>
      </c>
      <c r="J450" s="167">
        <v>27000000</v>
      </c>
      <c r="K450" s="166"/>
      <c r="L450" s="168">
        <v>454600000</v>
      </c>
      <c r="M450" s="168">
        <f t="shared" si="42"/>
        <v>481600000</v>
      </c>
      <c r="N450" s="168"/>
      <c r="O450" s="167">
        <v>27000000</v>
      </c>
      <c r="P450" s="167">
        <f t="shared" si="43"/>
        <v>27000000</v>
      </c>
      <c r="Q450" s="167"/>
      <c r="S450" s="201">
        <f t="shared" si="44"/>
        <v>481.6</v>
      </c>
      <c r="T450" s="201">
        <f t="shared" si="45"/>
        <v>481.6</v>
      </c>
      <c r="U450" s="201">
        <f t="shared" si="45"/>
        <v>0</v>
      </c>
      <c r="V450" s="201">
        <f t="shared" si="45"/>
        <v>27</v>
      </c>
      <c r="W450" s="201">
        <f t="shared" si="45"/>
        <v>27</v>
      </c>
      <c r="X450" s="201">
        <f t="shared" si="45"/>
        <v>0</v>
      </c>
    </row>
    <row r="451" spans="1:24" s="169" customFormat="1" ht="13.8">
      <c r="A451" s="193"/>
      <c r="B451" s="187"/>
      <c r="C451" s="183" t="str">
        <f t="shared" si="40"/>
        <v/>
      </c>
      <c r="D451" s="182" t="str">
        <f t="shared" si="41"/>
        <v/>
      </c>
      <c r="E451" s="192" t="s">
        <v>681</v>
      </c>
      <c r="F451" s="192" t="s">
        <v>698</v>
      </c>
      <c r="G451" s="192" t="s">
        <v>699</v>
      </c>
      <c r="H451" s="210" t="s">
        <v>1441</v>
      </c>
      <c r="I451" s="167">
        <v>27000000</v>
      </c>
      <c r="J451" s="167">
        <v>27000000</v>
      </c>
      <c r="K451" s="166"/>
      <c r="L451" s="171"/>
      <c r="M451" s="168">
        <f t="shared" si="42"/>
        <v>27000000</v>
      </c>
      <c r="N451" s="171"/>
      <c r="O451" s="167">
        <v>27000000</v>
      </c>
      <c r="P451" s="167">
        <f t="shared" si="43"/>
        <v>27000000</v>
      </c>
      <c r="Q451" s="167"/>
      <c r="S451" s="201">
        <f t="shared" si="44"/>
        <v>27</v>
      </c>
      <c r="T451" s="201">
        <f t="shared" si="45"/>
        <v>27</v>
      </c>
      <c r="U451" s="201">
        <f t="shared" si="45"/>
        <v>0</v>
      </c>
      <c r="V451" s="201">
        <f t="shared" si="45"/>
        <v>27</v>
      </c>
      <c r="W451" s="201">
        <f t="shared" si="45"/>
        <v>27</v>
      </c>
      <c r="X451" s="201">
        <f t="shared" si="45"/>
        <v>0</v>
      </c>
    </row>
    <row r="452" spans="1:24" s="169" customFormat="1" ht="13.8">
      <c r="A452" s="195"/>
      <c r="B452" s="188"/>
      <c r="C452" s="183" t="str">
        <f t="shared" si="40"/>
        <v/>
      </c>
      <c r="D452" s="182" t="str">
        <f t="shared" si="41"/>
        <v/>
      </c>
      <c r="E452" s="192" t="s">
        <v>667</v>
      </c>
      <c r="F452" s="192" t="s">
        <v>698</v>
      </c>
      <c r="G452" s="192" t="s">
        <v>699</v>
      </c>
      <c r="H452" s="210" t="s">
        <v>1441</v>
      </c>
      <c r="I452" s="167">
        <v>454600000</v>
      </c>
      <c r="J452" s="166"/>
      <c r="K452" s="166"/>
      <c r="L452" s="168">
        <v>454600000</v>
      </c>
      <c r="M452" s="168">
        <f t="shared" si="42"/>
        <v>454600000</v>
      </c>
      <c r="N452" s="168"/>
      <c r="O452" s="166"/>
      <c r="P452" s="167">
        <f t="shared" si="43"/>
        <v>0</v>
      </c>
      <c r="Q452" s="166"/>
      <c r="S452" s="201">
        <f t="shared" si="44"/>
        <v>454.6</v>
      </c>
      <c r="T452" s="201">
        <f t="shared" si="45"/>
        <v>454.6</v>
      </c>
      <c r="U452" s="201">
        <f t="shared" si="45"/>
        <v>0</v>
      </c>
      <c r="V452" s="201">
        <f t="shared" si="45"/>
        <v>0</v>
      </c>
      <c r="W452" s="201">
        <f t="shared" si="45"/>
        <v>0</v>
      </c>
      <c r="X452" s="201">
        <f t="shared" si="45"/>
        <v>0</v>
      </c>
    </row>
    <row r="453" spans="1:24" s="169" customFormat="1" ht="26.4">
      <c r="A453" s="192" t="s">
        <v>880</v>
      </c>
      <c r="B453" s="170" t="s">
        <v>881</v>
      </c>
      <c r="C453" s="183" t="str">
        <f t="shared" si="40"/>
        <v>1037490</v>
      </c>
      <c r="D453" s="182" t="str">
        <f t="shared" si="41"/>
        <v>-Hạt kiềm lâm huyện Sa thây</v>
      </c>
      <c r="E453" s="206"/>
      <c r="F453" s="207"/>
      <c r="G453" s="207"/>
      <c r="H453" s="205"/>
      <c r="I453" s="167">
        <v>5918800000</v>
      </c>
      <c r="J453" s="166"/>
      <c r="K453" s="167">
        <v>3062800000</v>
      </c>
      <c r="L453" s="168">
        <v>2856000000</v>
      </c>
      <c r="M453" s="168">
        <f t="shared" si="42"/>
        <v>5918800000</v>
      </c>
      <c r="N453" s="168"/>
      <c r="O453" s="167">
        <v>3158800000</v>
      </c>
      <c r="P453" s="167">
        <f t="shared" si="43"/>
        <v>3158800000</v>
      </c>
      <c r="Q453" s="167"/>
      <c r="S453" s="201">
        <f t="shared" si="44"/>
        <v>5918.8</v>
      </c>
      <c r="T453" s="201">
        <f t="shared" si="45"/>
        <v>5918.8</v>
      </c>
      <c r="U453" s="201">
        <f t="shared" si="45"/>
        <v>0</v>
      </c>
      <c r="V453" s="201">
        <f t="shared" si="45"/>
        <v>3158.8</v>
      </c>
      <c r="W453" s="201">
        <f t="shared" si="45"/>
        <v>3158.8</v>
      </c>
      <c r="X453" s="201">
        <f t="shared" si="45"/>
        <v>0</v>
      </c>
    </row>
    <row r="454" spans="1:24" s="169" customFormat="1" ht="13.8">
      <c r="A454" s="192" t="s">
        <v>882</v>
      </c>
      <c r="B454" s="170" t="s">
        <v>675</v>
      </c>
      <c r="C454" s="183" t="str">
        <f t="shared" si="40"/>
        <v/>
      </c>
      <c r="D454" s="182" t="str">
        <f t="shared" si="41"/>
        <v/>
      </c>
      <c r="E454" s="206"/>
      <c r="F454" s="207"/>
      <c r="G454" s="207"/>
      <c r="H454" s="205"/>
      <c r="I454" s="167">
        <v>3158800000</v>
      </c>
      <c r="J454" s="166"/>
      <c r="K454" s="167">
        <v>3062800000</v>
      </c>
      <c r="L454" s="168">
        <v>96000000</v>
      </c>
      <c r="M454" s="168">
        <f t="shared" si="42"/>
        <v>3158800000</v>
      </c>
      <c r="N454" s="168"/>
      <c r="O454" s="167">
        <v>3158800000</v>
      </c>
      <c r="P454" s="167">
        <f t="shared" si="43"/>
        <v>3158800000</v>
      </c>
      <c r="Q454" s="167"/>
      <c r="S454" s="201">
        <f t="shared" si="44"/>
        <v>3158.8</v>
      </c>
      <c r="T454" s="201">
        <f t="shared" si="45"/>
        <v>3158.8</v>
      </c>
      <c r="U454" s="201">
        <f t="shared" si="45"/>
        <v>0</v>
      </c>
      <c r="V454" s="201">
        <f t="shared" si="45"/>
        <v>3158.8</v>
      </c>
      <c r="W454" s="201">
        <f t="shared" si="45"/>
        <v>3158.8</v>
      </c>
      <c r="X454" s="201">
        <f t="shared" si="45"/>
        <v>0</v>
      </c>
    </row>
    <row r="455" spans="1:24" s="169" customFormat="1" ht="13.8">
      <c r="A455" s="192"/>
      <c r="B455" s="170" t="s">
        <v>676</v>
      </c>
      <c r="C455" s="183" t="str">
        <f t="shared" si="40"/>
        <v/>
      </c>
      <c r="D455" s="182" t="str">
        <f t="shared" si="41"/>
        <v/>
      </c>
      <c r="E455" s="206"/>
      <c r="F455" s="207"/>
      <c r="G455" s="207"/>
      <c r="H455" s="205"/>
      <c r="I455" s="167">
        <v>3021800000</v>
      </c>
      <c r="J455" s="166"/>
      <c r="K455" s="167">
        <v>2930800000</v>
      </c>
      <c r="L455" s="168">
        <v>91000000</v>
      </c>
      <c r="M455" s="168">
        <f t="shared" si="42"/>
        <v>3021800000</v>
      </c>
      <c r="N455" s="168"/>
      <c r="O455" s="167">
        <v>3021800000</v>
      </c>
      <c r="P455" s="167">
        <f t="shared" si="43"/>
        <v>3021800000</v>
      </c>
      <c r="Q455" s="167"/>
      <c r="S455" s="201">
        <f t="shared" si="44"/>
        <v>3021.8</v>
      </c>
      <c r="T455" s="201">
        <f t="shared" si="45"/>
        <v>3021.8</v>
      </c>
      <c r="U455" s="201">
        <f t="shared" si="45"/>
        <v>0</v>
      </c>
      <c r="V455" s="201">
        <f t="shared" si="45"/>
        <v>3021.8</v>
      </c>
      <c r="W455" s="201">
        <f t="shared" si="45"/>
        <v>3021.8</v>
      </c>
      <c r="X455" s="201">
        <f t="shared" si="45"/>
        <v>0</v>
      </c>
    </row>
    <row r="456" spans="1:24" s="169" customFormat="1" ht="13.8">
      <c r="A456" s="193"/>
      <c r="B456" s="187"/>
      <c r="C456" s="183" t="str">
        <f t="shared" si="40"/>
        <v/>
      </c>
      <c r="D456" s="182" t="str">
        <f t="shared" si="41"/>
        <v/>
      </c>
      <c r="E456" s="192" t="s">
        <v>666</v>
      </c>
      <c r="F456" s="192" t="s">
        <v>698</v>
      </c>
      <c r="G456" s="192" t="s">
        <v>695</v>
      </c>
      <c r="H456" s="210" t="s">
        <v>1440</v>
      </c>
      <c r="I456" s="167">
        <v>2930800000</v>
      </c>
      <c r="J456" s="166"/>
      <c r="K456" s="167">
        <v>2930800000</v>
      </c>
      <c r="L456" s="171"/>
      <c r="M456" s="168">
        <f t="shared" si="42"/>
        <v>2930800000</v>
      </c>
      <c r="N456" s="171"/>
      <c r="O456" s="167">
        <v>2930800000</v>
      </c>
      <c r="P456" s="167">
        <f t="shared" si="43"/>
        <v>2930800000</v>
      </c>
      <c r="Q456" s="167"/>
      <c r="S456" s="201">
        <f t="shared" si="44"/>
        <v>2930.8</v>
      </c>
      <c r="T456" s="201">
        <f t="shared" si="45"/>
        <v>2930.8</v>
      </c>
      <c r="U456" s="201">
        <f t="shared" si="45"/>
        <v>0</v>
      </c>
      <c r="V456" s="201">
        <f t="shared" si="45"/>
        <v>2930.8</v>
      </c>
      <c r="W456" s="201">
        <f t="shared" si="45"/>
        <v>2930.8</v>
      </c>
      <c r="X456" s="201">
        <f t="shared" si="45"/>
        <v>0</v>
      </c>
    </row>
    <row r="457" spans="1:24" s="169" customFormat="1" ht="13.8">
      <c r="A457" s="195"/>
      <c r="B457" s="188"/>
      <c r="C457" s="183" t="str">
        <f t="shared" si="40"/>
        <v/>
      </c>
      <c r="D457" s="182" t="str">
        <f t="shared" si="41"/>
        <v/>
      </c>
      <c r="E457" s="192" t="s">
        <v>679</v>
      </c>
      <c r="F457" s="192" t="s">
        <v>698</v>
      </c>
      <c r="G457" s="192" t="s">
        <v>695</v>
      </c>
      <c r="H457" s="210" t="s">
        <v>1440</v>
      </c>
      <c r="I457" s="167">
        <v>91000000</v>
      </c>
      <c r="J457" s="166"/>
      <c r="K457" s="166"/>
      <c r="L457" s="168">
        <v>91000000</v>
      </c>
      <c r="M457" s="168">
        <f t="shared" si="42"/>
        <v>91000000</v>
      </c>
      <c r="N457" s="168"/>
      <c r="O457" s="167">
        <v>91000000</v>
      </c>
      <c r="P457" s="167">
        <f t="shared" si="43"/>
        <v>91000000</v>
      </c>
      <c r="Q457" s="167"/>
      <c r="S457" s="201">
        <f t="shared" si="44"/>
        <v>91</v>
      </c>
      <c r="T457" s="201">
        <f t="shared" si="45"/>
        <v>91</v>
      </c>
      <c r="U457" s="201">
        <f t="shared" si="45"/>
        <v>0</v>
      </c>
      <c r="V457" s="201">
        <f t="shared" si="45"/>
        <v>91</v>
      </c>
      <c r="W457" s="201">
        <f t="shared" si="45"/>
        <v>91</v>
      </c>
      <c r="X457" s="201">
        <f t="shared" si="45"/>
        <v>0</v>
      </c>
    </row>
    <row r="458" spans="1:24" s="169" customFormat="1" ht="13.8">
      <c r="A458" s="192"/>
      <c r="B458" s="170" t="s">
        <v>680</v>
      </c>
      <c r="C458" s="183" t="str">
        <f t="shared" si="40"/>
        <v/>
      </c>
      <c r="D458" s="182" t="str">
        <f t="shared" si="41"/>
        <v/>
      </c>
      <c r="E458" s="206"/>
      <c r="F458" s="207"/>
      <c r="G458" s="207"/>
      <c r="H458" s="205"/>
      <c r="I458" s="167">
        <v>137000000</v>
      </c>
      <c r="J458" s="166"/>
      <c r="K458" s="167">
        <v>132000000</v>
      </c>
      <c r="L458" s="168">
        <v>5000000</v>
      </c>
      <c r="M458" s="168">
        <f t="shared" si="42"/>
        <v>137000000</v>
      </c>
      <c r="N458" s="168"/>
      <c r="O458" s="167">
        <v>137000000</v>
      </c>
      <c r="P458" s="167">
        <f t="shared" si="43"/>
        <v>137000000</v>
      </c>
      <c r="Q458" s="167"/>
      <c r="S458" s="201">
        <f t="shared" si="44"/>
        <v>137</v>
      </c>
      <c r="T458" s="201">
        <f t="shared" si="45"/>
        <v>137</v>
      </c>
      <c r="U458" s="201">
        <f t="shared" si="45"/>
        <v>0</v>
      </c>
      <c r="V458" s="201">
        <f t="shared" si="45"/>
        <v>137</v>
      </c>
      <c r="W458" s="201">
        <f t="shared" si="45"/>
        <v>137</v>
      </c>
      <c r="X458" s="201">
        <f t="shared" si="45"/>
        <v>0</v>
      </c>
    </row>
    <row r="459" spans="1:24" s="169" customFormat="1" ht="13.8">
      <c r="A459" s="193"/>
      <c r="B459" s="187"/>
      <c r="C459" s="183" t="str">
        <f t="shared" si="40"/>
        <v/>
      </c>
      <c r="D459" s="182" t="str">
        <f t="shared" si="41"/>
        <v/>
      </c>
      <c r="E459" s="192" t="s">
        <v>681</v>
      </c>
      <c r="F459" s="192" t="s">
        <v>698</v>
      </c>
      <c r="G459" s="192" t="s">
        <v>699</v>
      </c>
      <c r="H459" s="210" t="s">
        <v>1440</v>
      </c>
      <c r="I459" s="167">
        <v>132000000</v>
      </c>
      <c r="J459" s="166"/>
      <c r="K459" s="167">
        <v>132000000</v>
      </c>
      <c r="L459" s="171"/>
      <c r="M459" s="168">
        <f t="shared" si="42"/>
        <v>132000000</v>
      </c>
      <c r="N459" s="171"/>
      <c r="O459" s="167">
        <v>132000000</v>
      </c>
      <c r="P459" s="167">
        <f t="shared" si="43"/>
        <v>132000000</v>
      </c>
      <c r="Q459" s="167"/>
      <c r="S459" s="201">
        <f t="shared" si="44"/>
        <v>132</v>
      </c>
      <c r="T459" s="201">
        <f t="shared" si="45"/>
        <v>132</v>
      </c>
      <c r="U459" s="201">
        <f t="shared" si="45"/>
        <v>0</v>
      </c>
      <c r="V459" s="201">
        <f t="shared" si="45"/>
        <v>132</v>
      </c>
      <c r="W459" s="201">
        <f t="shared" si="45"/>
        <v>132</v>
      </c>
      <c r="X459" s="201">
        <f t="shared" si="45"/>
        <v>0</v>
      </c>
    </row>
    <row r="460" spans="1:24" s="169" customFormat="1" ht="13.8">
      <c r="A460" s="195"/>
      <c r="B460" s="188"/>
      <c r="C460" s="183" t="str">
        <f t="shared" si="40"/>
        <v/>
      </c>
      <c r="D460" s="182" t="str">
        <f t="shared" si="41"/>
        <v/>
      </c>
      <c r="E460" s="192" t="s">
        <v>681</v>
      </c>
      <c r="F460" s="192" t="s">
        <v>698</v>
      </c>
      <c r="G460" s="192" t="s">
        <v>695</v>
      </c>
      <c r="H460" s="210" t="s">
        <v>1440</v>
      </c>
      <c r="I460" s="167">
        <v>5000000</v>
      </c>
      <c r="J460" s="166"/>
      <c r="K460" s="166"/>
      <c r="L460" s="168">
        <v>5000000</v>
      </c>
      <c r="M460" s="168">
        <f t="shared" si="42"/>
        <v>5000000</v>
      </c>
      <c r="N460" s="168"/>
      <c r="O460" s="167">
        <v>5000000</v>
      </c>
      <c r="P460" s="167">
        <f t="shared" si="43"/>
        <v>5000000</v>
      </c>
      <c r="Q460" s="167"/>
      <c r="S460" s="201">
        <f t="shared" si="44"/>
        <v>5</v>
      </c>
      <c r="T460" s="201">
        <f t="shared" si="45"/>
        <v>5</v>
      </c>
      <c r="U460" s="201">
        <f t="shared" si="45"/>
        <v>0</v>
      </c>
      <c r="V460" s="201">
        <f t="shared" si="45"/>
        <v>5</v>
      </c>
      <c r="W460" s="201">
        <f t="shared" si="45"/>
        <v>5</v>
      </c>
      <c r="X460" s="201">
        <f t="shared" si="45"/>
        <v>0</v>
      </c>
    </row>
    <row r="461" spans="1:24" s="169" customFormat="1" ht="13.8">
      <c r="A461" s="192" t="s">
        <v>883</v>
      </c>
      <c r="B461" s="170" t="s">
        <v>731</v>
      </c>
      <c r="C461" s="183" t="str">
        <f t="shared" si="40"/>
        <v/>
      </c>
      <c r="D461" s="182" t="str">
        <f t="shared" si="41"/>
        <v/>
      </c>
      <c r="E461" s="206"/>
      <c r="F461" s="207"/>
      <c r="G461" s="207"/>
      <c r="H461" s="205"/>
      <c r="I461" s="167">
        <v>2760000000</v>
      </c>
      <c r="J461" s="166"/>
      <c r="K461" s="166"/>
      <c r="L461" s="168">
        <v>2760000000</v>
      </c>
      <c r="M461" s="168">
        <f t="shared" si="42"/>
        <v>2760000000</v>
      </c>
      <c r="N461" s="168"/>
      <c r="O461" s="166"/>
      <c r="P461" s="167">
        <f t="shared" si="43"/>
        <v>0</v>
      </c>
      <c r="Q461" s="166"/>
      <c r="S461" s="201">
        <f t="shared" si="44"/>
        <v>2760</v>
      </c>
      <c r="T461" s="201">
        <f t="shared" si="45"/>
        <v>2760</v>
      </c>
      <c r="U461" s="201">
        <f t="shared" si="45"/>
        <v>0</v>
      </c>
      <c r="V461" s="201">
        <f t="shared" si="45"/>
        <v>0</v>
      </c>
      <c r="W461" s="201">
        <f t="shared" si="45"/>
        <v>0</v>
      </c>
      <c r="X461" s="201">
        <f t="shared" si="45"/>
        <v>0</v>
      </c>
    </row>
    <row r="462" spans="1:24" s="169" customFormat="1" ht="13.8">
      <c r="A462" s="192"/>
      <c r="B462" s="164"/>
      <c r="C462" s="183" t="str">
        <f t="shared" si="40"/>
        <v/>
      </c>
      <c r="D462" s="182" t="str">
        <f t="shared" si="41"/>
        <v/>
      </c>
      <c r="E462" s="192" t="s">
        <v>667</v>
      </c>
      <c r="F462" s="192" t="s">
        <v>698</v>
      </c>
      <c r="G462" s="192" t="s">
        <v>699</v>
      </c>
      <c r="H462" s="210" t="s">
        <v>1441</v>
      </c>
      <c r="I462" s="167">
        <v>2760000000</v>
      </c>
      <c r="J462" s="166"/>
      <c r="K462" s="166"/>
      <c r="L462" s="168">
        <v>2760000000</v>
      </c>
      <c r="M462" s="168">
        <f t="shared" si="42"/>
        <v>2760000000</v>
      </c>
      <c r="N462" s="168"/>
      <c r="O462" s="166"/>
      <c r="P462" s="167">
        <f t="shared" si="43"/>
        <v>0</v>
      </c>
      <c r="Q462" s="166"/>
      <c r="S462" s="201">
        <f t="shared" si="44"/>
        <v>2760</v>
      </c>
      <c r="T462" s="201">
        <f t="shared" si="45"/>
        <v>2760</v>
      </c>
      <c r="U462" s="201">
        <f t="shared" si="45"/>
        <v>0</v>
      </c>
      <c r="V462" s="201">
        <f t="shared" si="45"/>
        <v>0</v>
      </c>
      <c r="W462" s="201">
        <f t="shared" si="45"/>
        <v>0</v>
      </c>
      <c r="X462" s="201">
        <f t="shared" si="45"/>
        <v>0</v>
      </c>
    </row>
    <row r="463" spans="1:24" s="169" customFormat="1" ht="26.4">
      <c r="A463" s="192" t="s">
        <v>884</v>
      </c>
      <c r="B463" s="170" t="s">
        <v>885</v>
      </c>
      <c r="C463" s="183" t="str">
        <f t="shared" si="40"/>
        <v>1037491</v>
      </c>
      <c r="D463" s="182" t="str">
        <f t="shared" si="41"/>
        <v>-Hạt kiểm lâm huyện Ngọc hồ'</v>
      </c>
      <c r="E463" s="206"/>
      <c r="F463" s="207"/>
      <c r="G463" s="207"/>
      <c r="H463" s="205"/>
      <c r="I463" s="167">
        <v>2975207000</v>
      </c>
      <c r="J463" s="166"/>
      <c r="K463" s="167">
        <v>2705000000</v>
      </c>
      <c r="L463" s="168">
        <v>270207000</v>
      </c>
      <c r="M463" s="168">
        <f t="shared" si="42"/>
        <v>2975207000</v>
      </c>
      <c r="N463" s="168"/>
      <c r="O463" s="167">
        <v>2975207000</v>
      </c>
      <c r="P463" s="167">
        <f t="shared" si="43"/>
        <v>2975207000</v>
      </c>
      <c r="Q463" s="167"/>
      <c r="S463" s="201">
        <f t="shared" si="44"/>
        <v>2975.2069999999999</v>
      </c>
      <c r="T463" s="201">
        <f t="shared" si="45"/>
        <v>2975.2069999999999</v>
      </c>
      <c r="U463" s="201">
        <f t="shared" si="45"/>
        <v>0</v>
      </c>
      <c r="V463" s="201">
        <f t="shared" si="45"/>
        <v>2975.2069999999999</v>
      </c>
      <c r="W463" s="201">
        <f t="shared" si="45"/>
        <v>2975.2069999999999</v>
      </c>
      <c r="X463" s="201">
        <f t="shared" si="45"/>
        <v>0</v>
      </c>
    </row>
    <row r="464" spans="1:24" s="169" customFormat="1" ht="13.8">
      <c r="A464" s="192" t="s">
        <v>886</v>
      </c>
      <c r="B464" s="170" t="s">
        <v>675</v>
      </c>
      <c r="C464" s="183" t="str">
        <f t="shared" si="40"/>
        <v/>
      </c>
      <c r="D464" s="182" t="str">
        <f t="shared" si="41"/>
        <v/>
      </c>
      <c r="E464" s="206"/>
      <c r="F464" s="207"/>
      <c r="G464" s="207"/>
      <c r="H464" s="205"/>
      <c r="I464" s="167">
        <v>2975207000</v>
      </c>
      <c r="J464" s="166"/>
      <c r="K464" s="167">
        <v>2705000000</v>
      </c>
      <c r="L464" s="168">
        <v>270207000</v>
      </c>
      <c r="M464" s="168">
        <f t="shared" si="42"/>
        <v>2975207000</v>
      </c>
      <c r="N464" s="168"/>
      <c r="O464" s="167">
        <v>2975207000</v>
      </c>
      <c r="P464" s="167">
        <f t="shared" si="43"/>
        <v>2975207000</v>
      </c>
      <c r="Q464" s="167"/>
      <c r="S464" s="201">
        <f t="shared" si="44"/>
        <v>2975.2069999999999</v>
      </c>
      <c r="T464" s="201">
        <f t="shared" si="45"/>
        <v>2975.2069999999999</v>
      </c>
      <c r="U464" s="201">
        <f t="shared" si="45"/>
        <v>0</v>
      </c>
      <c r="V464" s="201">
        <f t="shared" si="45"/>
        <v>2975.2069999999999</v>
      </c>
      <c r="W464" s="201">
        <f t="shared" si="45"/>
        <v>2975.2069999999999</v>
      </c>
      <c r="X464" s="201">
        <f t="shared" si="45"/>
        <v>0</v>
      </c>
    </row>
    <row r="465" spans="1:24" s="169" customFormat="1" ht="13.8">
      <c r="A465" s="192"/>
      <c r="B465" s="170" t="s">
        <v>676</v>
      </c>
      <c r="C465" s="183" t="str">
        <f t="shared" si="40"/>
        <v/>
      </c>
      <c r="D465" s="182" t="str">
        <f t="shared" si="41"/>
        <v/>
      </c>
      <c r="E465" s="206"/>
      <c r="F465" s="207"/>
      <c r="G465" s="207"/>
      <c r="H465" s="205"/>
      <c r="I465" s="167">
        <v>2553000000</v>
      </c>
      <c r="J465" s="166"/>
      <c r="K465" s="167">
        <v>2553000000</v>
      </c>
      <c r="L465" s="171"/>
      <c r="M465" s="168">
        <f t="shared" si="42"/>
        <v>2553000000</v>
      </c>
      <c r="N465" s="171"/>
      <c r="O465" s="167">
        <v>2553000000</v>
      </c>
      <c r="P465" s="167">
        <f t="shared" si="43"/>
        <v>2553000000</v>
      </c>
      <c r="Q465" s="167"/>
      <c r="S465" s="201">
        <f t="shared" si="44"/>
        <v>2553</v>
      </c>
      <c r="T465" s="201">
        <f t="shared" si="45"/>
        <v>2553</v>
      </c>
      <c r="U465" s="201">
        <f t="shared" si="45"/>
        <v>0</v>
      </c>
      <c r="V465" s="201">
        <f t="shared" si="45"/>
        <v>2553</v>
      </c>
      <c r="W465" s="201">
        <f t="shared" si="45"/>
        <v>2553</v>
      </c>
      <c r="X465" s="201">
        <f t="shared" si="45"/>
        <v>0</v>
      </c>
    </row>
    <row r="466" spans="1:24" s="169" customFormat="1" ht="13.8">
      <c r="A466" s="192"/>
      <c r="B466" s="164"/>
      <c r="C466" s="183" t="str">
        <f t="shared" si="40"/>
        <v/>
      </c>
      <c r="D466" s="182" t="str">
        <f t="shared" si="41"/>
        <v/>
      </c>
      <c r="E466" s="192" t="s">
        <v>666</v>
      </c>
      <c r="F466" s="192" t="s">
        <v>698</v>
      </c>
      <c r="G466" s="192" t="s">
        <v>695</v>
      </c>
      <c r="H466" s="210" t="s">
        <v>1440</v>
      </c>
      <c r="I466" s="167">
        <v>2553000000</v>
      </c>
      <c r="J466" s="166"/>
      <c r="K466" s="167">
        <v>2553000000</v>
      </c>
      <c r="L466" s="171"/>
      <c r="M466" s="168">
        <f t="shared" si="42"/>
        <v>2553000000</v>
      </c>
      <c r="N466" s="171"/>
      <c r="O466" s="167">
        <v>2553000000</v>
      </c>
      <c r="P466" s="167">
        <f t="shared" si="43"/>
        <v>2553000000</v>
      </c>
      <c r="Q466" s="167"/>
      <c r="S466" s="201">
        <f t="shared" si="44"/>
        <v>2553</v>
      </c>
      <c r="T466" s="201">
        <f t="shared" si="45"/>
        <v>2553</v>
      </c>
      <c r="U466" s="201">
        <f t="shared" si="45"/>
        <v>0</v>
      </c>
      <c r="V466" s="201">
        <f t="shared" si="45"/>
        <v>2553</v>
      </c>
      <c r="W466" s="201">
        <f t="shared" si="45"/>
        <v>2553</v>
      </c>
      <c r="X466" s="201">
        <f t="shared" si="45"/>
        <v>0</v>
      </c>
    </row>
    <row r="467" spans="1:24" s="169" customFormat="1" ht="13.8">
      <c r="A467" s="192"/>
      <c r="B467" s="170" t="s">
        <v>680</v>
      </c>
      <c r="C467" s="183" t="str">
        <f t="shared" si="40"/>
        <v/>
      </c>
      <c r="D467" s="182" t="str">
        <f t="shared" si="41"/>
        <v/>
      </c>
      <c r="E467" s="206"/>
      <c r="F467" s="207"/>
      <c r="G467" s="207"/>
      <c r="H467" s="205"/>
      <c r="I467" s="167">
        <v>422207000</v>
      </c>
      <c r="J467" s="166"/>
      <c r="K467" s="167">
        <v>152000000</v>
      </c>
      <c r="L467" s="168">
        <v>270207000</v>
      </c>
      <c r="M467" s="168">
        <f t="shared" si="42"/>
        <v>422207000</v>
      </c>
      <c r="N467" s="168"/>
      <c r="O467" s="167">
        <v>422207000</v>
      </c>
      <c r="P467" s="167">
        <f t="shared" si="43"/>
        <v>422207000</v>
      </c>
      <c r="Q467" s="167"/>
      <c r="S467" s="201">
        <f t="shared" si="44"/>
        <v>422.20699999999999</v>
      </c>
      <c r="T467" s="201">
        <f t="shared" si="45"/>
        <v>422.20699999999999</v>
      </c>
      <c r="U467" s="201">
        <f t="shared" si="45"/>
        <v>0</v>
      </c>
      <c r="V467" s="201">
        <f t="shared" si="45"/>
        <v>422.20699999999999</v>
      </c>
      <c r="W467" s="201">
        <f t="shared" si="45"/>
        <v>422.20699999999999</v>
      </c>
      <c r="X467" s="201">
        <f t="shared" si="45"/>
        <v>0</v>
      </c>
    </row>
    <row r="468" spans="1:24" s="169" customFormat="1" ht="13.8">
      <c r="A468" s="192"/>
      <c r="B468" s="173"/>
      <c r="C468" s="183" t="str">
        <f t="shared" si="40"/>
        <v/>
      </c>
      <c r="D468" s="182" t="str">
        <f t="shared" si="41"/>
        <v/>
      </c>
      <c r="E468" s="192"/>
      <c r="F468" s="192"/>
      <c r="G468" s="192"/>
      <c r="H468" s="210"/>
      <c r="I468" s="174"/>
      <c r="J468" s="174"/>
      <c r="K468" s="174"/>
      <c r="L468" s="175"/>
      <c r="M468" s="168">
        <f t="shared" si="42"/>
        <v>0</v>
      </c>
      <c r="N468" s="175"/>
      <c r="O468" s="174"/>
      <c r="P468" s="167">
        <f t="shared" si="43"/>
        <v>0</v>
      </c>
      <c r="Q468" s="174"/>
      <c r="S468" s="201">
        <f t="shared" si="44"/>
        <v>0</v>
      </c>
      <c r="T468" s="201">
        <f t="shared" si="45"/>
        <v>0</v>
      </c>
      <c r="U468" s="201">
        <f t="shared" si="45"/>
        <v>0</v>
      </c>
      <c r="V468" s="201">
        <f t="shared" si="45"/>
        <v>0</v>
      </c>
      <c r="W468" s="201">
        <f t="shared" si="45"/>
        <v>0</v>
      </c>
      <c r="X468" s="201">
        <f t="shared" si="45"/>
        <v>0</v>
      </c>
    </row>
    <row r="469" spans="1:24" s="169" customFormat="1" ht="13.8">
      <c r="A469" s="193"/>
      <c r="B469" s="187"/>
      <c r="C469" s="183" t="str">
        <f t="shared" si="40"/>
        <v/>
      </c>
      <c r="D469" s="182" t="str">
        <f t="shared" si="41"/>
        <v/>
      </c>
      <c r="E469" s="192" t="s">
        <v>681</v>
      </c>
      <c r="F469" s="192" t="s">
        <v>698</v>
      </c>
      <c r="G469" s="192" t="s">
        <v>699</v>
      </c>
      <c r="H469" s="210" t="s">
        <v>1440</v>
      </c>
      <c r="I469" s="167">
        <v>152000000</v>
      </c>
      <c r="J469" s="166"/>
      <c r="K469" s="167">
        <v>152000000</v>
      </c>
      <c r="L469" s="171"/>
      <c r="M469" s="168">
        <f t="shared" si="42"/>
        <v>152000000</v>
      </c>
      <c r="N469" s="171"/>
      <c r="O469" s="167">
        <v>152000000</v>
      </c>
      <c r="P469" s="167">
        <f t="shared" si="43"/>
        <v>152000000</v>
      </c>
      <c r="Q469" s="167"/>
      <c r="S469" s="201">
        <f t="shared" si="44"/>
        <v>152</v>
      </c>
      <c r="T469" s="201">
        <f t="shared" si="45"/>
        <v>152</v>
      </c>
      <c r="U469" s="201">
        <f t="shared" si="45"/>
        <v>0</v>
      </c>
      <c r="V469" s="201">
        <f t="shared" si="45"/>
        <v>152</v>
      </c>
      <c r="W469" s="201">
        <f t="shared" si="45"/>
        <v>152</v>
      </c>
      <c r="X469" s="201">
        <f t="shared" si="45"/>
        <v>0</v>
      </c>
    </row>
    <row r="470" spans="1:24" s="169" customFormat="1" ht="13.8">
      <c r="A470" s="195"/>
      <c r="B470" s="188"/>
      <c r="C470" s="183" t="str">
        <f t="shared" ref="C470:C533" si="46">IF(B470&lt;&gt;"",IF(AND(LEFT(B470,1)&gt;="0",LEFT(B470,1)&lt;="9"),LEFT(B470,7),""),"")</f>
        <v/>
      </c>
      <c r="D470" s="182" t="str">
        <f t="shared" si="41"/>
        <v/>
      </c>
      <c r="E470" s="192" t="s">
        <v>681</v>
      </c>
      <c r="F470" s="192" t="s">
        <v>698</v>
      </c>
      <c r="G470" s="192" t="s">
        <v>695</v>
      </c>
      <c r="H470" s="210" t="s">
        <v>1440</v>
      </c>
      <c r="I470" s="167">
        <v>270207000</v>
      </c>
      <c r="J470" s="166"/>
      <c r="K470" s="166"/>
      <c r="L470" s="168">
        <v>270207000</v>
      </c>
      <c r="M470" s="168">
        <f t="shared" si="42"/>
        <v>270207000</v>
      </c>
      <c r="N470" s="168"/>
      <c r="O470" s="167">
        <v>270207000</v>
      </c>
      <c r="P470" s="167">
        <f t="shared" si="43"/>
        <v>270207000</v>
      </c>
      <c r="Q470" s="167"/>
      <c r="S470" s="201">
        <f t="shared" si="44"/>
        <v>270.20699999999999</v>
      </c>
      <c r="T470" s="201">
        <f t="shared" si="45"/>
        <v>270.20699999999999</v>
      </c>
      <c r="U470" s="201">
        <f t="shared" si="45"/>
        <v>0</v>
      </c>
      <c r="V470" s="201">
        <f t="shared" si="45"/>
        <v>270.20699999999999</v>
      </c>
      <c r="W470" s="201">
        <f t="shared" si="45"/>
        <v>270.20699999999999</v>
      </c>
      <c r="X470" s="201">
        <f t="shared" si="45"/>
        <v>0</v>
      </c>
    </row>
    <row r="471" spans="1:24" s="169" customFormat="1" ht="27.6">
      <c r="A471" s="192" t="s">
        <v>887</v>
      </c>
      <c r="B471" s="165" t="s">
        <v>888</v>
      </c>
      <c r="C471" s="183" t="str">
        <f t="shared" si="46"/>
        <v>1037518</v>
      </c>
      <c r="D471" s="182" t="str">
        <f t="shared" ref="D471:D534" si="47">IF(C471&lt;&gt;"",RIGHT(B471,LEN(B471)-7),"")</f>
        <v>-Trường Tiểu học Thực hành sư phạm Ngụy Như Kon Tum</v>
      </c>
      <c r="E471" s="206"/>
      <c r="F471" s="207"/>
      <c r="G471" s="207"/>
      <c r="H471" s="205"/>
      <c r="I471" s="167">
        <v>8813188000</v>
      </c>
      <c r="J471" s="166"/>
      <c r="K471" s="167">
        <v>8588588000</v>
      </c>
      <c r="L471" s="168">
        <v>224600000</v>
      </c>
      <c r="M471" s="168">
        <f t="shared" ref="M471:M534" si="48">I471-N471</f>
        <v>8813188000</v>
      </c>
      <c r="N471" s="168"/>
      <c r="O471" s="167">
        <v>8811888000</v>
      </c>
      <c r="P471" s="167">
        <f t="shared" ref="P471:P534" si="49">O471-Q471</f>
        <v>8811888000</v>
      </c>
      <c r="Q471" s="167"/>
      <c r="S471" s="201">
        <f t="shared" ref="S471:S534" si="50">I471/1000000</f>
        <v>8813.1880000000001</v>
      </c>
      <c r="T471" s="201">
        <f t="shared" si="45"/>
        <v>8813.1880000000001</v>
      </c>
      <c r="U471" s="201">
        <f t="shared" si="45"/>
        <v>0</v>
      </c>
      <c r="V471" s="201">
        <f t="shared" si="45"/>
        <v>8811.8880000000008</v>
      </c>
      <c r="W471" s="201">
        <f t="shared" si="45"/>
        <v>8811.8880000000008</v>
      </c>
      <c r="X471" s="201">
        <f t="shared" si="45"/>
        <v>0</v>
      </c>
    </row>
    <row r="472" spans="1:24" s="169" customFormat="1" ht="13.8">
      <c r="A472" s="192" t="s">
        <v>889</v>
      </c>
      <c r="B472" s="170" t="s">
        <v>675</v>
      </c>
      <c r="C472" s="183" t="str">
        <f t="shared" si="46"/>
        <v/>
      </c>
      <c r="D472" s="182" t="str">
        <f t="shared" si="47"/>
        <v/>
      </c>
      <c r="E472" s="206"/>
      <c r="F472" s="207"/>
      <c r="G472" s="207"/>
      <c r="H472" s="205"/>
      <c r="I472" s="167">
        <v>8813188000</v>
      </c>
      <c r="J472" s="166"/>
      <c r="K472" s="167">
        <v>8588588000</v>
      </c>
      <c r="L472" s="168">
        <v>224600000</v>
      </c>
      <c r="M472" s="168">
        <f t="shared" si="48"/>
        <v>8813188000</v>
      </c>
      <c r="N472" s="168"/>
      <c r="O472" s="167">
        <v>8811888000</v>
      </c>
      <c r="P472" s="167">
        <f t="shared" si="49"/>
        <v>8811888000</v>
      </c>
      <c r="Q472" s="167"/>
      <c r="S472" s="201">
        <f t="shared" si="50"/>
        <v>8813.1880000000001</v>
      </c>
      <c r="T472" s="201">
        <f t="shared" si="45"/>
        <v>8813.1880000000001</v>
      </c>
      <c r="U472" s="201">
        <f t="shared" si="45"/>
        <v>0</v>
      </c>
      <c r="V472" s="201">
        <f t="shared" si="45"/>
        <v>8811.8880000000008</v>
      </c>
      <c r="W472" s="201">
        <f t="shared" si="45"/>
        <v>8811.8880000000008</v>
      </c>
      <c r="X472" s="201">
        <f t="shared" si="45"/>
        <v>0</v>
      </c>
    </row>
    <row r="473" spans="1:24" s="169" customFormat="1" ht="13.8">
      <c r="A473" s="192"/>
      <c r="B473" s="170" t="s">
        <v>676</v>
      </c>
      <c r="C473" s="183" t="str">
        <f t="shared" si="46"/>
        <v/>
      </c>
      <c r="D473" s="182" t="str">
        <f t="shared" si="47"/>
        <v/>
      </c>
      <c r="E473" s="206"/>
      <c r="F473" s="207"/>
      <c r="G473" s="207"/>
      <c r="H473" s="205"/>
      <c r="I473" s="167">
        <v>8255588000</v>
      </c>
      <c r="J473" s="166"/>
      <c r="K473" s="167">
        <v>8038588000</v>
      </c>
      <c r="L473" s="168">
        <v>217000000</v>
      </c>
      <c r="M473" s="168">
        <f t="shared" si="48"/>
        <v>8255588000</v>
      </c>
      <c r="N473" s="168"/>
      <c r="O473" s="167">
        <v>8255588000</v>
      </c>
      <c r="P473" s="167">
        <f t="shared" si="49"/>
        <v>8255588000</v>
      </c>
      <c r="Q473" s="167"/>
      <c r="S473" s="201">
        <f t="shared" si="50"/>
        <v>8255.5879999999997</v>
      </c>
      <c r="T473" s="201">
        <f t="shared" si="45"/>
        <v>8255.5879999999997</v>
      </c>
      <c r="U473" s="201">
        <f t="shared" si="45"/>
        <v>0</v>
      </c>
      <c r="V473" s="201">
        <f t="shared" si="45"/>
        <v>8255.5879999999997</v>
      </c>
      <c r="W473" s="201">
        <f t="shared" si="45"/>
        <v>8255.5879999999997</v>
      </c>
      <c r="X473" s="201">
        <f t="shared" si="45"/>
        <v>0</v>
      </c>
    </row>
    <row r="474" spans="1:24" s="169" customFormat="1" ht="13.8">
      <c r="A474" s="193"/>
      <c r="B474" s="187"/>
      <c r="C474" s="183" t="str">
        <f t="shared" si="46"/>
        <v/>
      </c>
      <c r="D474" s="182" t="str">
        <f t="shared" si="47"/>
        <v/>
      </c>
      <c r="E474" s="192" t="s">
        <v>666</v>
      </c>
      <c r="F474" s="192" t="s">
        <v>677</v>
      </c>
      <c r="G474" s="192" t="s">
        <v>890</v>
      </c>
      <c r="H474" s="210" t="s">
        <v>1440</v>
      </c>
      <c r="I474" s="167">
        <v>8038588000</v>
      </c>
      <c r="J474" s="166"/>
      <c r="K474" s="167">
        <v>8038588000</v>
      </c>
      <c r="L474" s="171"/>
      <c r="M474" s="168">
        <f t="shared" si="48"/>
        <v>8038588000</v>
      </c>
      <c r="N474" s="171"/>
      <c r="O474" s="167">
        <v>8038588000</v>
      </c>
      <c r="P474" s="167">
        <f t="shared" si="49"/>
        <v>8038588000</v>
      </c>
      <c r="Q474" s="167"/>
      <c r="S474" s="201">
        <f t="shared" si="50"/>
        <v>8038.5879999999997</v>
      </c>
      <c r="T474" s="201">
        <f t="shared" si="45"/>
        <v>8038.5879999999997</v>
      </c>
      <c r="U474" s="201">
        <f t="shared" si="45"/>
        <v>0</v>
      </c>
      <c r="V474" s="201">
        <f t="shared" si="45"/>
        <v>8038.5879999999997</v>
      </c>
      <c r="W474" s="201">
        <f t="shared" si="45"/>
        <v>8038.5879999999997</v>
      </c>
      <c r="X474" s="201">
        <f t="shared" si="45"/>
        <v>0</v>
      </c>
    </row>
    <row r="475" spans="1:24" s="169" customFormat="1" ht="13.8">
      <c r="A475" s="195"/>
      <c r="B475" s="188"/>
      <c r="C475" s="183" t="str">
        <f t="shared" si="46"/>
        <v/>
      </c>
      <c r="D475" s="182" t="str">
        <f t="shared" si="47"/>
        <v/>
      </c>
      <c r="E475" s="192" t="s">
        <v>679</v>
      </c>
      <c r="F475" s="192" t="s">
        <v>677</v>
      </c>
      <c r="G475" s="192" t="s">
        <v>890</v>
      </c>
      <c r="H475" s="210" t="s">
        <v>1440</v>
      </c>
      <c r="I475" s="167">
        <v>217000000</v>
      </c>
      <c r="J475" s="166"/>
      <c r="K475" s="166"/>
      <c r="L475" s="168">
        <v>217000000</v>
      </c>
      <c r="M475" s="168">
        <f t="shared" si="48"/>
        <v>217000000</v>
      </c>
      <c r="N475" s="168"/>
      <c r="O475" s="167">
        <v>217000000</v>
      </c>
      <c r="P475" s="167">
        <f t="shared" si="49"/>
        <v>217000000</v>
      </c>
      <c r="Q475" s="167"/>
      <c r="S475" s="201">
        <f t="shared" si="50"/>
        <v>217</v>
      </c>
      <c r="T475" s="201">
        <f t="shared" si="45"/>
        <v>217</v>
      </c>
      <c r="U475" s="201">
        <f t="shared" si="45"/>
        <v>0</v>
      </c>
      <c r="V475" s="201">
        <f t="shared" si="45"/>
        <v>217</v>
      </c>
      <c r="W475" s="201">
        <f t="shared" si="45"/>
        <v>217</v>
      </c>
      <c r="X475" s="201">
        <f t="shared" si="45"/>
        <v>0</v>
      </c>
    </row>
    <row r="476" spans="1:24" s="169" customFormat="1" ht="13.8">
      <c r="A476" s="192"/>
      <c r="B476" s="170" t="s">
        <v>680</v>
      </c>
      <c r="C476" s="183" t="str">
        <f t="shared" si="46"/>
        <v/>
      </c>
      <c r="D476" s="182" t="str">
        <f t="shared" si="47"/>
        <v/>
      </c>
      <c r="E476" s="206"/>
      <c r="F476" s="207"/>
      <c r="G476" s="207"/>
      <c r="H476" s="205"/>
      <c r="I476" s="167">
        <v>557600000</v>
      </c>
      <c r="J476" s="166"/>
      <c r="K476" s="167">
        <v>550000000</v>
      </c>
      <c r="L476" s="168">
        <v>7600000</v>
      </c>
      <c r="M476" s="168">
        <f t="shared" si="48"/>
        <v>557600000</v>
      </c>
      <c r="N476" s="168"/>
      <c r="O476" s="167">
        <v>556300000</v>
      </c>
      <c r="P476" s="167">
        <f t="shared" si="49"/>
        <v>556300000</v>
      </c>
      <c r="Q476" s="167"/>
      <c r="S476" s="201">
        <f t="shared" si="50"/>
        <v>557.6</v>
      </c>
      <c r="T476" s="201">
        <f t="shared" si="45"/>
        <v>557.6</v>
      </c>
      <c r="U476" s="201">
        <f t="shared" si="45"/>
        <v>0</v>
      </c>
      <c r="V476" s="201">
        <f t="shared" si="45"/>
        <v>556.29999999999995</v>
      </c>
      <c r="W476" s="201">
        <f t="shared" si="45"/>
        <v>556.29999999999995</v>
      </c>
      <c r="X476" s="201">
        <f t="shared" si="45"/>
        <v>0</v>
      </c>
    </row>
    <row r="477" spans="1:24" s="169" customFormat="1" ht="13.8">
      <c r="A477" s="193"/>
      <c r="B477" s="187"/>
      <c r="C477" s="183" t="str">
        <f t="shared" si="46"/>
        <v/>
      </c>
      <c r="D477" s="182" t="str">
        <f t="shared" si="47"/>
        <v/>
      </c>
      <c r="E477" s="192" t="s">
        <v>681</v>
      </c>
      <c r="F477" s="192" t="s">
        <v>677</v>
      </c>
      <c r="G477" s="192" t="s">
        <v>890</v>
      </c>
      <c r="H477" s="210" t="s">
        <v>1440</v>
      </c>
      <c r="I477" s="167">
        <v>550000000</v>
      </c>
      <c r="J477" s="166"/>
      <c r="K477" s="167">
        <v>550000000</v>
      </c>
      <c r="L477" s="171"/>
      <c r="M477" s="168">
        <f t="shared" si="48"/>
        <v>550000000</v>
      </c>
      <c r="N477" s="171"/>
      <c r="O477" s="167">
        <v>550000000</v>
      </c>
      <c r="P477" s="167">
        <f t="shared" si="49"/>
        <v>550000000</v>
      </c>
      <c r="Q477" s="167"/>
      <c r="S477" s="201">
        <f t="shared" si="50"/>
        <v>550</v>
      </c>
      <c r="T477" s="201">
        <f t="shared" si="45"/>
        <v>550</v>
      </c>
      <c r="U477" s="201">
        <f t="shared" si="45"/>
        <v>0</v>
      </c>
      <c r="V477" s="201">
        <f t="shared" si="45"/>
        <v>550</v>
      </c>
      <c r="W477" s="201">
        <f t="shared" si="45"/>
        <v>550</v>
      </c>
      <c r="X477" s="201">
        <f t="shared" si="45"/>
        <v>0</v>
      </c>
    </row>
    <row r="478" spans="1:24" s="169" customFormat="1" ht="13.8">
      <c r="A478" s="195"/>
      <c r="B478" s="188"/>
      <c r="C478" s="183" t="str">
        <f t="shared" si="46"/>
        <v/>
      </c>
      <c r="D478" s="182" t="str">
        <f t="shared" si="47"/>
        <v/>
      </c>
      <c r="E478" s="192" t="s">
        <v>669</v>
      </c>
      <c r="F478" s="192" t="s">
        <v>677</v>
      </c>
      <c r="G478" s="192" t="s">
        <v>890</v>
      </c>
      <c r="H478" s="210" t="s">
        <v>1440</v>
      </c>
      <c r="I478" s="167">
        <v>7600000</v>
      </c>
      <c r="J478" s="166"/>
      <c r="K478" s="166"/>
      <c r="L478" s="168">
        <v>7600000</v>
      </c>
      <c r="M478" s="168">
        <f t="shared" si="48"/>
        <v>7600000</v>
      </c>
      <c r="N478" s="168"/>
      <c r="O478" s="167">
        <v>6300000</v>
      </c>
      <c r="P478" s="167">
        <f t="shared" si="49"/>
        <v>6300000</v>
      </c>
      <c r="Q478" s="167"/>
      <c r="S478" s="201">
        <f t="shared" si="50"/>
        <v>7.6</v>
      </c>
      <c r="T478" s="201">
        <f t="shared" si="45"/>
        <v>7.6</v>
      </c>
      <c r="U478" s="201">
        <f t="shared" si="45"/>
        <v>0</v>
      </c>
      <c r="V478" s="201">
        <f t="shared" si="45"/>
        <v>6.3</v>
      </c>
      <c r="W478" s="201">
        <f t="shared" si="45"/>
        <v>6.3</v>
      </c>
      <c r="X478" s="201">
        <f t="shared" si="45"/>
        <v>0</v>
      </c>
    </row>
    <row r="479" spans="1:24" s="169" customFormat="1" ht="26.4">
      <c r="A479" s="192" t="s">
        <v>891</v>
      </c>
      <c r="B479" s="165" t="s">
        <v>892</v>
      </c>
      <c r="C479" s="183" t="str">
        <f t="shared" si="46"/>
        <v>1037519</v>
      </c>
      <c r="D479" s="182" t="str">
        <f t="shared" si="47"/>
        <v>-Văn phòng sờ Giáo dục và Dào tạo</v>
      </c>
      <c r="E479" s="206"/>
      <c r="F479" s="207"/>
      <c r="G479" s="207"/>
      <c r="H479" s="205"/>
      <c r="I479" s="167">
        <v>16586658500</v>
      </c>
      <c r="J479" s="167">
        <v>846058500</v>
      </c>
      <c r="K479" s="167">
        <v>14200000000</v>
      </c>
      <c r="L479" s="168">
        <v>1540600000</v>
      </c>
      <c r="M479" s="168">
        <f t="shared" si="48"/>
        <v>16586658500</v>
      </c>
      <c r="N479" s="168"/>
      <c r="O479" s="167">
        <v>16560882000</v>
      </c>
      <c r="P479" s="167">
        <f t="shared" si="49"/>
        <v>16560882000</v>
      </c>
      <c r="Q479" s="167"/>
      <c r="S479" s="201">
        <f t="shared" si="50"/>
        <v>16586.658500000001</v>
      </c>
      <c r="T479" s="201">
        <f t="shared" si="45"/>
        <v>16586.658500000001</v>
      </c>
      <c r="U479" s="201">
        <f t="shared" si="45"/>
        <v>0</v>
      </c>
      <c r="V479" s="201">
        <f t="shared" si="45"/>
        <v>16560.882000000001</v>
      </c>
      <c r="W479" s="201">
        <f t="shared" si="45"/>
        <v>16560.882000000001</v>
      </c>
      <c r="X479" s="201">
        <f t="shared" si="45"/>
        <v>0</v>
      </c>
    </row>
    <row r="480" spans="1:24" s="169" customFormat="1" ht="13.8">
      <c r="A480" s="192" t="s">
        <v>893</v>
      </c>
      <c r="B480" s="170" t="s">
        <v>675</v>
      </c>
      <c r="C480" s="183" t="str">
        <f t="shared" si="46"/>
        <v/>
      </c>
      <c r="D480" s="182" t="str">
        <f t="shared" si="47"/>
        <v/>
      </c>
      <c r="E480" s="206"/>
      <c r="F480" s="207"/>
      <c r="G480" s="207"/>
      <c r="H480" s="205"/>
      <c r="I480" s="167">
        <v>16586658500</v>
      </c>
      <c r="J480" s="167">
        <v>846058500</v>
      </c>
      <c r="K480" s="167">
        <v>14200000000</v>
      </c>
      <c r="L480" s="168">
        <v>1540600000</v>
      </c>
      <c r="M480" s="168">
        <f t="shared" si="48"/>
        <v>16586658500</v>
      </c>
      <c r="N480" s="168"/>
      <c r="O480" s="167">
        <v>16560882000</v>
      </c>
      <c r="P480" s="167">
        <f t="shared" si="49"/>
        <v>16560882000</v>
      </c>
      <c r="Q480" s="167"/>
      <c r="S480" s="201">
        <f t="shared" si="50"/>
        <v>16586.658500000001</v>
      </c>
      <c r="T480" s="201">
        <f t="shared" si="45"/>
        <v>16586.658500000001</v>
      </c>
      <c r="U480" s="201">
        <f t="shared" si="45"/>
        <v>0</v>
      </c>
      <c r="V480" s="201">
        <f t="shared" si="45"/>
        <v>16560.882000000001</v>
      </c>
      <c r="W480" s="201">
        <f t="shared" si="45"/>
        <v>16560.882000000001</v>
      </c>
      <c r="X480" s="201">
        <f t="shared" si="45"/>
        <v>0</v>
      </c>
    </row>
    <row r="481" spans="1:24" s="169" customFormat="1" ht="13.8">
      <c r="A481" s="192"/>
      <c r="B481" s="170" t="s">
        <v>676</v>
      </c>
      <c r="C481" s="183" t="str">
        <f t="shared" si="46"/>
        <v/>
      </c>
      <c r="D481" s="182" t="str">
        <f t="shared" si="47"/>
        <v/>
      </c>
      <c r="E481" s="206"/>
      <c r="F481" s="207"/>
      <c r="G481" s="207"/>
      <c r="H481" s="205"/>
      <c r="I481" s="167">
        <v>6824000000</v>
      </c>
      <c r="J481" s="167">
        <v>203000000</v>
      </c>
      <c r="K481" s="167">
        <v>6621000000</v>
      </c>
      <c r="L481" s="171"/>
      <c r="M481" s="168">
        <f t="shared" si="48"/>
        <v>6824000000</v>
      </c>
      <c r="N481" s="171"/>
      <c r="O481" s="167">
        <v>6824000000</v>
      </c>
      <c r="P481" s="167">
        <f t="shared" si="49"/>
        <v>6824000000</v>
      </c>
      <c r="Q481" s="167"/>
      <c r="S481" s="201">
        <f t="shared" si="50"/>
        <v>6824</v>
      </c>
      <c r="T481" s="201">
        <f t="shared" si="45"/>
        <v>6824</v>
      </c>
      <c r="U481" s="201">
        <f t="shared" si="45"/>
        <v>0</v>
      </c>
      <c r="V481" s="201">
        <f t="shared" si="45"/>
        <v>6824</v>
      </c>
      <c r="W481" s="201">
        <f t="shared" si="45"/>
        <v>6824</v>
      </c>
      <c r="X481" s="201">
        <f t="shared" si="45"/>
        <v>0</v>
      </c>
    </row>
    <row r="482" spans="1:24" s="169" customFormat="1" ht="13.8">
      <c r="A482" s="193"/>
      <c r="B482" s="187"/>
      <c r="C482" s="183" t="str">
        <f t="shared" si="46"/>
        <v/>
      </c>
      <c r="D482" s="182" t="str">
        <f t="shared" si="47"/>
        <v/>
      </c>
      <c r="E482" s="192" t="s">
        <v>666</v>
      </c>
      <c r="F482" s="192" t="s">
        <v>677</v>
      </c>
      <c r="G482" s="192" t="s">
        <v>766</v>
      </c>
      <c r="H482" s="210" t="s">
        <v>1440</v>
      </c>
      <c r="I482" s="167">
        <v>6509000000</v>
      </c>
      <c r="J482" s="167">
        <v>50000000</v>
      </c>
      <c r="K482" s="167">
        <v>6459000000</v>
      </c>
      <c r="L482" s="171"/>
      <c r="M482" s="168">
        <f t="shared" si="48"/>
        <v>6509000000</v>
      </c>
      <c r="N482" s="171"/>
      <c r="O482" s="167">
        <v>6509000000</v>
      </c>
      <c r="P482" s="167">
        <f t="shared" si="49"/>
        <v>6509000000</v>
      </c>
      <c r="Q482" s="167"/>
      <c r="S482" s="201">
        <f t="shared" si="50"/>
        <v>6509</v>
      </c>
      <c r="T482" s="201">
        <f t="shared" si="45"/>
        <v>6509</v>
      </c>
      <c r="U482" s="201">
        <f t="shared" si="45"/>
        <v>0</v>
      </c>
      <c r="V482" s="201">
        <f t="shared" si="45"/>
        <v>6509</v>
      </c>
      <c r="W482" s="201">
        <f t="shared" si="45"/>
        <v>6509</v>
      </c>
      <c r="X482" s="201">
        <f t="shared" si="45"/>
        <v>0</v>
      </c>
    </row>
    <row r="483" spans="1:24" s="169" customFormat="1" ht="13.8">
      <c r="A483" s="194"/>
      <c r="B483" s="184"/>
      <c r="C483" s="183" t="str">
        <f t="shared" si="46"/>
        <v/>
      </c>
      <c r="D483" s="182" t="str">
        <f t="shared" si="47"/>
        <v/>
      </c>
      <c r="E483" s="192" t="s">
        <v>679</v>
      </c>
      <c r="F483" s="192" t="s">
        <v>677</v>
      </c>
      <c r="G483" s="192" t="s">
        <v>766</v>
      </c>
      <c r="H483" s="210" t="s">
        <v>1440</v>
      </c>
      <c r="I483" s="167">
        <v>162000000</v>
      </c>
      <c r="J483" s="166"/>
      <c r="K483" s="167">
        <v>162000000</v>
      </c>
      <c r="L483" s="171"/>
      <c r="M483" s="168">
        <f t="shared" si="48"/>
        <v>162000000</v>
      </c>
      <c r="N483" s="171"/>
      <c r="O483" s="167">
        <v>162000000</v>
      </c>
      <c r="P483" s="167">
        <f t="shared" si="49"/>
        <v>162000000</v>
      </c>
      <c r="Q483" s="167"/>
      <c r="S483" s="201">
        <f t="shared" si="50"/>
        <v>162</v>
      </c>
      <c r="T483" s="201">
        <f t="shared" si="45"/>
        <v>162</v>
      </c>
      <c r="U483" s="201">
        <f t="shared" si="45"/>
        <v>0</v>
      </c>
      <c r="V483" s="201">
        <f t="shared" si="45"/>
        <v>162</v>
      </c>
      <c r="W483" s="201">
        <f t="shared" si="45"/>
        <v>162</v>
      </c>
      <c r="X483" s="201">
        <f t="shared" si="45"/>
        <v>0</v>
      </c>
    </row>
    <row r="484" spans="1:24" s="169" customFormat="1" ht="13.8">
      <c r="A484" s="195"/>
      <c r="B484" s="188"/>
      <c r="C484" s="183" t="str">
        <f t="shared" si="46"/>
        <v/>
      </c>
      <c r="D484" s="182" t="str">
        <f t="shared" si="47"/>
        <v/>
      </c>
      <c r="E484" s="192" t="s">
        <v>666</v>
      </c>
      <c r="F484" s="192" t="s">
        <v>677</v>
      </c>
      <c r="G484" s="192" t="s">
        <v>894</v>
      </c>
      <c r="H484" s="210" t="s">
        <v>1440</v>
      </c>
      <c r="I484" s="167">
        <v>153000000</v>
      </c>
      <c r="J484" s="167">
        <v>153000000</v>
      </c>
      <c r="K484" s="166"/>
      <c r="L484" s="171"/>
      <c r="M484" s="168">
        <f t="shared" si="48"/>
        <v>153000000</v>
      </c>
      <c r="N484" s="171"/>
      <c r="O484" s="167">
        <v>153000000</v>
      </c>
      <c r="P484" s="167">
        <f t="shared" si="49"/>
        <v>153000000</v>
      </c>
      <c r="Q484" s="167"/>
      <c r="S484" s="201">
        <f t="shared" si="50"/>
        <v>153</v>
      </c>
      <c r="T484" s="201">
        <f t="shared" si="45"/>
        <v>153</v>
      </c>
      <c r="U484" s="201">
        <f t="shared" si="45"/>
        <v>0</v>
      </c>
      <c r="V484" s="201">
        <f t="shared" si="45"/>
        <v>153</v>
      </c>
      <c r="W484" s="201">
        <f t="shared" si="45"/>
        <v>153</v>
      </c>
      <c r="X484" s="201">
        <f t="shared" si="45"/>
        <v>0</v>
      </c>
    </row>
    <row r="485" spans="1:24" s="169" customFormat="1" ht="13.8">
      <c r="A485" s="192"/>
      <c r="B485" s="170" t="s">
        <v>680</v>
      </c>
      <c r="C485" s="183" t="str">
        <f t="shared" si="46"/>
        <v/>
      </c>
      <c r="D485" s="182" t="str">
        <f t="shared" si="47"/>
        <v/>
      </c>
      <c r="E485" s="206"/>
      <c r="F485" s="207"/>
      <c r="G485" s="207"/>
      <c r="H485" s="205"/>
      <c r="I485" s="167">
        <v>9762658500</v>
      </c>
      <c r="J485" s="167">
        <v>643058500</v>
      </c>
      <c r="K485" s="167">
        <v>7579000000</v>
      </c>
      <c r="L485" s="168">
        <v>1540600000</v>
      </c>
      <c r="M485" s="168">
        <f t="shared" si="48"/>
        <v>9762658500</v>
      </c>
      <c r="N485" s="168"/>
      <c r="O485" s="167">
        <v>9736882000</v>
      </c>
      <c r="P485" s="167">
        <f t="shared" si="49"/>
        <v>9736882000</v>
      </c>
      <c r="Q485" s="167"/>
      <c r="S485" s="201">
        <f t="shared" si="50"/>
        <v>9762.6584999999995</v>
      </c>
      <c r="T485" s="201">
        <f t="shared" si="45"/>
        <v>9762.6584999999995</v>
      </c>
      <c r="U485" s="201">
        <f t="shared" si="45"/>
        <v>0</v>
      </c>
      <c r="V485" s="201">
        <f t="shared" si="45"/>
        <v>9736.8819999999996</v>
      </c>
      <c r="W485" s="201">
        <f t="shared" si="45"/>
        <v>9736.8819999999996</v>
      </c>
      <c r="X485" s="201">
        <f t="shared" si="45"/>
        <v>0</v>
      </c>
    </row>
    <row r="486" spans="1:24" s="169" customFormat="1" ht="13.8">
      <c r="A486" s="193"/>
      <c r="B486" s="187"/>
      <c r="C486" s="183" t="str">
        <f t="shared" si="46"/>
        <v/>
      </c>
      <c r="D486" s="182" t="str">
        <f t="shared" si="47"/>
        <v/>
      </c>
      <c r="E486" s="192" t="s">
        <v>681</v>
      </c>
      <c r="F486" s="192" t="s">
        <v>677</v>
      </c>
      <c r="G486" s="192" t="s">
        <v>766</v>
      </c>
      <c r="H486" s="210" t="s">
        <v>1440</v>
      </c>
      <c r="I486" s="167">
        <v>266000000</v>
      </c>
      <c r="J486" s="166"/>
      <c r="K486" s="167">
        <v>183000000</v>
      </c>
      <c r="L486" s="168">
        <v>83000000</v>
      </c>
      <c r="M486" s="168">
        <f t="shared" si="48"/>
        <v>266000000</v>
      </c>
      <c r="N486" s="168"/>
      <c r="O486" s="167">
        <v>266000000</v>
      </c>
      <c r="P486" s="167">
        <f t="shared" si="49"/>
        <v>266000000</v>
      </c>
      <c r="Q486" s="167"/>
      <c r="S486" s="201">
        <f t="shared" si="50"/>
        <v>266</v>
      </c>
      <c r="T486" s="201">
        <f t="shared" si="45"/>
        <v>266</v>
      </c>
      <c r="U486" s="201">
        <f t="shared" si="45"/>
        <v>0</v>
      </c>
      <c r="V486" s="201">
        <f t="shared" si="45"/>
        <v>266</v>
      </c>
      <c r="W486" s="201">
        <f t="shared" si="45"/>
        <v>266</v>
      </c>
      <c r="X486" s="201">
        <f t="shared" si="45"/>
        <v>0</v>
      </c>
    </row>
    <row r="487" spans="1:24" s="169" customFormat="1" ht="13.8">
      <c r="A487" s="194"/>
      <c r="B487" s="184"/>
      <c r="C487" s="183" t="str">
        <f t="shared" si="46"/>
        <v/>
      </c>
      <c r="D487" s="182" t="str">
        <f t="shared" si="47"/>
        <v/>
      </c>
      <c r="E487" s="192" t="s">
        <v>667</v>
      </c>
      <c r="F487" s="192" t="s">
        <v>677</v>
      </c>
      <c r="G487" s="192" t="s">
        <v>766</v>
      </c>
      <c r="H487" s="210" t="s">
        <v>1440</v>
      </c>
      <c r="I487" s="167">
        <v>40000000</v>
      </c>
      <c r="J487" s="166"/>
      <c r="K487" s="166"/>
      <c r="L487" s="168">
        <v>40000000</v>
      </c>
      <c r="M487" s="168">
        <f t="shared" si="48"/>
        <v>40000000</v>
      </c>
      <c r="N487" s="168"/>
      <c r="O487" s="167">
        <v>40000000</v>
      </c>
      <c r="P487" s="167">
        <f t="shared" si="49"/>
        <v>40000000</v>
      </c>
      <c r="Q487" s="167"/>
      <c r="S487" s="201">
        <f t="shared" si="50"/>
        <v>40</v>
      </c>
      <c r="T487" s="201">
        <f t="shared" si="45"/>
        <v>40</v>
      </c>
      <c r="U487" s="201">
        <f t="shared" si="45"/>
        <v>0</v>
      </c>
      <c r="V487" s="201">
        <f t="shared" si="45"/>
        <v>40</v>
      </c>
      <c r="W487" s="201">
        <f t="shared" si="45"/>
        <v>40</v>
      </c>
      <c r="X487" s="201">
        <f t="shared" si="45"/>
        <v>0</v>
      </c>
    </row>
    <row r="488" spans="1:24" s="169" customFormat="1" ht="13.8">
      <c r="A488" s="194"/>
      <c r="B488" s="184"/>
      <c r="C488" s="183" t="str">
        <f t="shared" si="46"/>
        <v/>
      </c>
      <c r="D488" s="182" t="str">
        <f t="shared" si="47"/>
        <v/>
      </c>
      <c r="E488" s="192" t="s">
        <v>681</v>
      </c>
      <c r="F488" s="192" t="s">
        <v>677</v>
      </c>
      <c r="G488" s="192" t="s">
        <v>678</v>
      </c>
      <c r="H488" s="210" t="s">
        <v>1440</v>
      </c>
      <c r="I488" s="167">
        <v>6917600000</v>
      </c>
      <c r="J488" s="166"/>
      <c r="K488" s="167">
        <v>5500000000</v>
      </c>
      <c r="L488" s="168">
        <v>1417600000</v>
      </c>
      <c r="M488" s="168">
        <f t="shared" si="48"/>
        <v>6917600000</v>
      </c>
      <c r="N488" s="168"/>
      <c r="O488" s="167">
        <v>6917600000</v>
      </c>
      <c r="P488" s="167">
        <f t="shared" si="49"/>
        <v>6917600000</v>
      </c>
      <c r="Q488" s="167"/>
      <c r="S488" s="201">
        <f t="shared" si="50"/>
        <v>6917.6</v>
      </c>
      <c r="T488" s="201">
        <f t="shared" ref="T488:X538" si="51">M488/1000000</f>
        <v>6917.6</v>
      </c>
      <c r="U488" s="201">
        <f t="shared" si="51"/>
        <v>0</v>
      </c>
      <c r="V488" s="201">
        <f t="shared" si="51"/>
        <v>6917.6</v>
      </c>
      <c r="W488" s="201">
        <f t="shared" si="51"/>
        <v>6917.6</v>
      </c>
      <c r="X488" s="201">
        <f t="shared" si="51"/>
        <v>0</v>
      </c>
    </row>
    <row r="489" spans="1:24" s="169" customFormat="1" ht="13.8">
      <c r="A489" s="195"/>
      <c r="B489" s="188"/>
      <c r="C489" s="183" t="str">
        <f t="shared" si="46"/>
        <v/>
      </c>
      <c r="D489" s="182" t="str">
        <f t="shared" si="47"/>
        <v/>
      </c>
      <c r="E489" s="192" t="s">
        <v>681</v>
      </c>
      <c r="F489" s="192" t="s">
        <v>677</v>
      </c>
      <c r="G489" s="192" t="s">
        <v>894</v>
      </c>
      <c r="H489" s="210" t="s">
        <v>1440</v>
      </c>
      <c r="I489" s="167">
        <v>2539058500</v>
      </c>
      <c r="J489" s="167">
        <v>643058500</v>
      </c>
      <c r="K489" s="167">
        <v>1896000000</v>
      </c>
      <c r="L489" s="171"/>
      <c r="M489" s="168">
        <f t="shared" si="48"/>
        <v>2539058500</v>
      </c>
      <c r="N489" s="171"/>
      <c r="O489" s="167">
        <v>2513282000</v>
      </c>
      <c r="P489" s="167">
        <f t="shared" si="49"/>
        <v>2513282000</v>
      </c>
      <c r="Q489" s="167"/>
      <c r="S489" s="201">
        <f t="shared" si="50"/>
        <v>2539.0585000000001</v>
      </c>
      <c r="T489" s="201">
        <f t="shared" si="51"/>
        <v>2539.0585000000001</v>
      </c>
      <c r="U489" s="201">
        <f t="shared" si="51"/>
        <v>0</v>
      </c>
      <c r="V489" s="201">
        <f t="shared" si="51"/>
        <v>2513.2820000000002</v>
      </c>
      <c r="W489" s="201">
        <f t="shared" si="51"/>
        <v>2513.2820000000002</v>
      </c>
      <c r="X489" s="201">
        <f t="shared" si="51"/>
        <v>0</v>
      </c>
    </row>
    <row r="490" spans="1:24" s="169" customFormat="1" ht="26.4">
      <c r="A490" s="192" t="s">
        <v>895</v>
      </c>
      <c r="B490" s="165" t="s">
        <v>896</v>
      </c>
      <c r="C490" s="183" t="str">
        <f t="shared" si="46"/>
        <v>1037574</v>
      </c>
      <c r="D490" s="182" t="str">
        <f t="shared" si="47"/>
        <v>-Trường Cao đẳng sư phạm rỉnh Kontum</v>
      </c>
      <c r="E490" s="206"/>
      <c r="F490" s="207"/>
      <c r="G490" s="207"/>
      <c r="H490" s="205"/>
      <c r="I490" s="167">
        <v>18238310000</v>
      </c>
      <c r="J490" s="167">
        <v>399984000</v>
      </c>
      <c r="K490" s="167">
        <v>15355900000</v>
      </c>
      <c r="L490" s="168">
        <v>2482426000</v>
      </c>
      <c r="M490" s="168">
        <f t="shared" si="48"/>
        <v>18238310000</v>
      </c>
      <c r="N490" s="168"/>
      <c r="O490" s="167">
        <v>15140896398</v>
      </c>
      <c r="P490" s="167">
        <f t="shared" si="49"/>
        <v>15140896398</v>
      </c>
      <c r="Q490" s="167"/>
      <c r="S490" s="201">
        <f t="shared" si="50"/>
        <v>18238.310000000001</v>
      </c>
      <c r="T490" s="201">
        <f t="shared" si="51"/>
        <v>18238.310000000001</v>
      </c>
      <c r="U490" s="201">
        <f t="shared" si="51"/>
        <v>0</v>
      </c>
      <c r="V490" s="201">
        <f t="shared" si="51"/>
        <v>15140.896398000001</v>
      </c>
      <c r="W490" s="201">
        <f t="shared" si="51"/>
        <v>15140.896398000001</v>
      </c>
      <c r="X490" s="201">
        <f t="shared" si="51"/>
        <v>0</v>
      </c>
    </row>
    <row r="491" spans="1:24" s="169" customFormat="1" ht="13.8">
      <c r="A491" s="192" t="s">
        <v>897</v>
      </c>
      <c r="B491" s="170" t="s">
        <v>675</v>
      </c>
      <c r="C491" s="183" t="str">
        <f t="shared" si="46"/>
        <v/>
      </c>
      <c r="D491" s="182" t="str">
        <f t="shared" si="47"/>
        <v/>
      </c>
      <c r="E491" s="206"/>
      <c r="F491" s="207"/>
      <c r="G491" s="207"/>
      <c r="H491" s="205"/>
      <c r="I491" s="167">
        <v>18238310000</v>
      </c>
      <c r="J491" s="167">
        <v>399984000</v>
      </c>
      <c r="K491" s="167">
        <v>15355900000</v>
      </c>
      <c r="L491" s="168">
        <v>2482426000</v>
      </c>
      <c r="M491" s="168">
        <f t="shared" si="48"/>
        <v>18238310000</v>
      </c>
      <c r="N491" s="168"/>
      <c r="O491" s="167">
        <v>15140896398</v>
      </c>
      <c r="P491" s="167">
        <f t="shared" si="49"/>
        <v>15140896398</v>
      </c>
      <c r="Q491" s="167"/>
      <c r="S491" s="201">
        <f t="shared" si="50"/>
        <v>18238.310000000001</v>
      </c>
      <c r="T491" s="201">
        <f t="shared" si="51"/>
        <v>18238.310000000001</v>
      </c>
      <c r="U491" s="201">
        <f t="shared" si="51"/>
        <v>0</v>
      </c>
      <c r="V491" s="201">
        <f t="shared" si="51"/>
        <v>15140.896398000001</v>
      </c>
      <c r="W491" s="201">
        <f t="shared" si="51"/>
        <v>15140.896398000001</v>
      </c>
      <c r="X491" s="201">
        <f t="shared" si="51"/>
        <v>0</v>
      </c>
    </row>
    <row r="492" spans="1:24" s="169" customFormat="1" ht="13.8">
      <c r="A492" s="192"/>
      <c r="B492" s="170" t="s">
        <v>676</v>
      </c>
      <c r="C492" s="183" t="str">
        <f t="shared" si="46"/>
        <v/>
      </c>
      <c r="D492" s="182" t="str">
        <f t="shared" si="47"/>
        <v/>
      </c>
      <c r="E492" s="206"/>
      <c r="F492" s="207"/>
      <c r="G492" s="207"/>
      <c r="H492" s="205"/>
      <c r="I492" s="167">
        <v>11951310000</v>
      </c>
      <c r="J492" s="167">
        <v>61954000</v>
      </c>
      <c r="K492" s="167">
        <v>11712900000</v>
      </c>
      <c r="L492" s="168">
        <v>176456000</v>
      </c>
      <c r="M492" s="168">
        <f t="shared" si="48"/>
        <v>11951310000</v>
      </c>
      <c r="N492" s="168"/>
      <c r="O492" s="167">
        <v>11843939000</v>
      </c>
      <c r="P492" s="167">
        <f t="shared" si="49"/>
        <v>11843939000</v>
      </c>
      <c r="Q492" s="167"/>
      <c r="S492" s="201">
        <f t="shared" si="50"/>
        <v>11951.31</v>
      </c>
      <c r="T492" s="201">
        <f t="shared" si="51"/>
        <v>11951.31</v>
      </c>
      <c r="U492" s="201">
        <f t="shared" si="51"/>
        <v>0</v>
      </c>
      <c r="V492" s="201">
        <f t="shared" si="51"/>
        <v>11843.939</v>
      </c>
      <c r="W492" s="201">
        <f t="shared" si="51"/>
        <v>11843.939</v>
      </c>
      <c r="X492" s="201">
        <f t="shared" si="51"/>
        <v>0</v>
      </c>
    </row>
    <row r="493" spans="1:24" s="169" customFormat="1" ht="13.8">
      <c r="A493" s="193"/>
      <c r="B493" s="187"/>
      <c r="C493" s="183" t="str">
        <f t="shared" si="46"/>
        <v/>
      </c>
      <c r="D493" s="182" t="str">
        <f t="shared" si="47"/>
        <v/>
      </c>
      <c r="E493" s="192" t="s">
        <v>666</v>
      </c>
      <c r="F493" s="192" t="s">
        <v>677</v>
      </c>
      <c r="G493" s="192" t="s">
        <v>898</v>
      </c>
      <c r="H493" s="210" t="s">
        <v>1440</v>
      </c>
      <c r="I493" s="167">
        <v>11712900000</v>
      </c>
      <c r="J493" s="166"/>
      <c r="K493" s="167">
        <v>11712900000</v>
      </c>
      <c r="L493" s="171"/>
      <c r="M493" s="168">
        <f t="shared" si="48"/>
        <v>11712900000</v>
      </c>
      <c r="N493" s="171"/>
      <c r="O493" s="167">
        <v>11712900000</v>
      </c>
      <c r="P493" s="167">
        <f t="shared" si="49"/>
        <v>11712900000</v>
      </c>
      <c r="Q493" s="167"/>
      <c r="S493" s="201">
        <f t="shared" si="50"/>
        <v>11712.9</v>
      </c>
      <c r="T493" s="201">
        <f t="shared" si="51"/>
        <v>11712.9</v>
      </c>
      <c r="U493" s="201">
        <f t="shared" si="51"/>
        <v>0</v>
      </c>
      <c r="V493" s="201">
        <f t="shared" si="51"/>
        <v>11712.9</v>
      </c>
      <c r="W493" s="201">
        <f t="shared" si="51"/>
        <v>11712.9</v>
      </c>
      <c r="X493" s="201">
        <f t="shared" si="51"/>
        <v>0</v>
      </c>
    </row>
    <row r="494" spans="1:24" s="169" customFormat="1" ht="13.8">
      <c r="A494" s="195"/>
      <c r="B494" s="188"/>
      <c r="C494" s="183" t="str">
        <f t="shared" si="46"/>
        <v/>
      </c>
      <c r="D494" s="182" t="str">
        <f t="shared" si="47"/>
        <v/>
      </c>
      <c r="E494" s="192" t="s">
        <v>669</v>
      </c>
      <c r="F494" s="192" t="s">
        <v>677</v>
      </c>
      <c r="G494" s="192" t="s">
        <v>898</v>
      </c>
      <c r="H494" s="210" t="s">
        <v>1440</v>
      </c>
      <c r="I494" s="167">
        <v>238410000</v>
      </c>
      <c r="J494" s="167">
        <v>61954000</v>
      </c>
      <c r="K494" s="166"/>
      <c r="L494" s="168">
        <v>176456000</v>
      </c>
      <c r="M494" s="168">
        <f t="shared" si="48"/>
        <v>238410000</v>
      </c>
      <c r="N494" s="168"/>
      <c r="O494" s="167">
        <v>131039000</v>
      </c>
      <c r="P494" s="167">
        <f t="shared" si="49"/>
        <v>131039000</v>
      </c>
      <c r="Q494" s="167"/>
      <c r="S494" s="201">
        <f t="shared" si="50"/>
        <v>238.41</v>
      </c>
      <c r="T494" s="201">
        <f t="shared" si="51"/>
        <v>238.41</v>
      </c>
      <c r="U494" s="201">
        <f t="shared" si="51"/>
        <v>0</v>
      </c>
      <c r="V494" s="201">
        <f t="shared" si="51"/>
        <v>131.03899999999999</v>
      </c>
      <c r="W494" s="201">
        <f t="shared" si="51"/>
        <v>131.03899999999999</v>
      </c>
      <c r="X494" s="201">
        <f t="shared" si="51"/>
        <v>0</v>
      </c>
    </row>
    <row r="495" spans="1:24" s="169" customFormat="1" ht="13.8">
      <c r="A495" s="192"/>
      <c r="B495" s="170" t="s">
        <v>680</v>
      </c>
      <c r="C495" s="183" t="str">
        <f t="shared" si="46"/>
        <v/>
      </c>
      <c r="D495" s="182" t="str">
        <f t="shared" si="47"/>
        <v/>
      </c>
      <c r="E495" s="206"/>
      <c r="F495" s="207"/>
      <c r="G495" s="207"/>
      <c r="H495" s="205"/>
      <c r="I495" s="167">
        <v>6287000000</v>
      </c>
      <c r="J495" s="167">
        <v>338030000</v>
      </c>
      <c r="K495" s="167">
        <v>3643000000</v>
      </c>
      <c r="L495" s="168">
        <v>2305970000</v>
      </c>
      <c r="M495" s="168">
        <f t="shared" si="48"/>
        <v>6287000000</v>
      </c>
      <c r="N495" s="168"/>
      <c r="O495" s="167">
        <v>3296957398</v>
      </c>
      <c r="P495" s="167">
        <f t="shared" si="49"/>
        <v>3296957398</v>
      </c>
      <c r="Q495" s="167"/>
      <c r="S495" s="201">
        <f t="shared" si="50"/>
        <v>6287</v>
      </c>
      <c r="T495" s="201">
        <f t="shared" si="51"/>
        <v>6287</v>
      </c>
      <c r="U495" s="201">
        <f t="shared" si="51"/>
        <v>0</v>
      </c>
      <c r="V495" s="201">
        <f t="shared" si="51"/>
        <v>3296.957398</v>
      </c>
      <c r="W495" s="201">
        <f t="shared" si="51"/>
        <v>3296.957398</v>
      </c>
      <c r="X495" s="201">
        <f t="shared" si="51"/>
        <v>0</v>
      </c>
    </row>
    <row r="496" spans="1:24" s="169" customFormat="1" ht="13.8">
      <c r="A496" s="193"/>
      <c r="B496" s="187"/>
      <c r="C496" s="183" t="str">
        <f t="shared" si="46"/>
        <v/>
      </c>
      <c r="D496" s="182" t="str">
        <f t="shared" si="47"/>
        <v/>
      </c>
      <c r="E496" s="192" t="s">
        <v>681</v>
      </c>
      <c r="F496" s="192" t="s">
        <v>677</v>
      </c>
      <c r="G496" s="192" t="s">
        <v>898</v>
      </c>
      <c r="H496" s="210" t="s">
        <v>1440</v>
      </c>
      <c r="I496" s="167">
        <v>1478798000</v>
      </c>
      <c r="J496" s="166"/>
      <c r="K496" s="167">
        <v>1376000000</v>
      </c>
      <c r="L496" s="168">
        <v>102798000</v>
      </c>
      <c r="M496" s="168">
        <f t="shared" si="48"/>
        <v>1478798000</v>
      </c>
      <c r="N496" s="168"/>
      <c r="O496" s="167">
        <v>873726874</v>
      </c>
      <c r="P496" s="167">
        <f t="shared" si="49"/>
        <v>873726874</v>
      </c>
      <c r="Q496" s="167"/>
      <c r="S496" s="201">
        <f t="shared" si="50"/>
        <v>1478.798</v>
      </c>
      <c r="T496" s="201">
        <f t="shared" si="51"/>
        <v>1478.798</v>
      </c>
      <c r="U496" s="201">
        <f t="shared" si="51"/>
        <v>0</v>
      </c>
      <c r="V496" s="201">
        <f t="shared" si="51"/>
        <v>873.72687399999995</v>
      </c>
      <c r="W496" s="201">
        <f t="shared" si="51"/>
        <v>873.72687399999995</v>
      </c>
      <c r="X496" s="201">
        <f t="shared" si="51"/>
        <v>0</v>
      </c>
    </row>
    <row r="497" spans="1:24" s="169" customFormat="1" ht="13.8">
      <c r="A497" s="194"/>
      <c r="B497" s="184"/>
      <c r="C497" s="183" t="str">
        <f t="shared" si="46"/>
        <v/>
      </c>
      <c r="D497" s="182" t="str">
        <f t="shared" si="47"/>
        <v/>
      </c>
      <c r="E497" s="192" t="s">
        <v>679</v>
      </c>
      <c r="F497" s="192" t="s">
        <v>677</v>
      </c>
      <c r="G497" s="192" t="s">
        <v>898</v>
      </c>
      <c r="H497" s="210" t="s">
        <v>1440</v>
      </c>
      <c r="I497" s="167">
        <v>380000000</v>
      </c>
      <c r="J497" s="166"/>
      <c r="K497" s="167">
        <v>380000000</v>
      </c>
      <c r="L497" s="171"/>
      <c r="M497" s="168">
        <f t="shared" si="48"/>
        <v>380000000</v>
      </c>
      <c r="N497" s="171"/>
      <c r="O497" s="167">
        <v>380000000</v>
      </c>
      <c r="P497" s="167">
        <f t="shared" si="49"/>
        <v>380000000</v>
      </c>
      <c r="Q497" s="167"/>
      <c r="S497" s="201">
        <f t="shared" si="50"/>
        <v>380</v>
      </c>
      <c r="T497" s="201">
        <f t="shared" si="51"/>
        <v>380</v>
      </c>
      <c r="U497" s="201">
        <f t="shared" si="51"/>
        <v>0</v>
      </c>
      <c r="V497" s="201">
        <f t="shared" si="51"/>
        <v>380</v>
      </c>
      <c r="W497" s="201">
        <f t="shared" si="51"/>
        <v>380</v>
      </c>
      <c r="X497" s="201">
        <f t="shared" si="51"/>
        <v>0</v>
      </c>
    </row>
    <row r="498" spans="1:24" s="169" customFormat="1" ht="13.8">
      <c r="A498" s="195"/>
      <c r="B498" s="188"/>
      <c r="C498" s="183" t="str">
        <f t="shared" si="46"/>
        <v/>
      </c>
      <c r="D498" s="182" t="str">
        <f t="shared" si="47"/>
        <v/>
      </c>
      <c r="E498" s="192" t="s">
        <v>667</v>
      </c>
      <c r="F498" s="192" t="s">
        <v>677</v>
      </c>
      <c r="G498" s="192" t="s">
        <v>898</v>
      </c>
      <c r="H498" s="210" t="s">
        <v>1440</v>
      </c>
      <c r="I498" s="167">
        <v>2178376000</v>
      </c>
      <c r="J498" s="166"/>
      <c r="K498" s="166"/>
      <c r="L498" s="168">
        <v>2178376000</v>
      </c>
      <c r="M498" s="168">
        <f t="shared" si="48"/>
        <v>2178376000</v>
      </c>
      <c r="N498" s="168"/>
      <c r="O498" s="166"/>
      <c r="P498" s="167">
        <f t="shared" si="49"/>
        <v>0</v>
      </c>
      <c r="Q498" s="166"/>
      <c r="S498" s="201">
        <f t="shared" si="50"/>
        <v>2178.3760000000002</v>
      </c>
      <c r="T498" s="201">
        <f t="shared" si="51"/>
        <v>2178.3760000000002</v>
      </c>
      <c r="U498" s="201">
        <f t="shared" si="51"/>
        <v>0</v>
      </c>
      <c r="V498" s="201">
        <f t="shared" si="51"/>
        <v>0</v>
      </c>
      <c r="W498" s="201">
        <f t="shared" si="51"/>
        <v>0</v>
      </c>
      <c r="X498" s="201">
        <f t="shared" si="51"/>
        <v>0</v>
      </c>
    </row>
    <row r="499" spans="1:24" s="169" customFormat="1" ht="13.8">
      <c r="A499" s="192"/>
      <c r="B499" s="173"/>
      <c r="C499" s="183" t="str">
        <f t="shared" si="46"/>
        <v/>
      </c>
      <c r="D499" s="182" t="str">
        <f t="shared" si="47"/>
        <v/>
      </c>
      <c r="E499" s="192"/>
      <c r="F499" s="192"/>
      <c r="G499" s="192"/>
      <c r="H499" s="210"/>
      <c r="I499" s="174"/>
      <c r="J499" s="174"/>
      <c r="K499" s="174"/>
      <c r="L499" s="175"/>
      <c r="M499" s="168">
        <f t="shared" si="48"/>
        <v>0</v>
      </c>
      <c r="N499" s="175"/>
      <c r="O499" s="174"/>
      <c r="P499" s="167">
        <f t="shared" si="49"/>
        <v>0</v>
      </c>
      <c r="Q499" s="174"/>
      <c r="S499" s="201">
        <f t="shared" si="50"/>
        <v>0</v>
      </c>
      <c r="T499" s="201">
        <f t="shared" si="51"/>
        <v>0</v>
      </c>
      <c r="U499" s="201">
        <f t="shared" si="51"/>
        <v>0</v>
      </c>
      <c r="V499" s="201">
        <f t="shared" si="51"/>
        <v>0</v>
      </c>
      <c r="W499" s="201">
        <f t="shared" si="51"/>
        <v>0</v>
      </c>
      <c r="X499" s="201">
        <f t="shared" si="51"/>
        <v>0</v>
      </c>
    </row>
    <row r="500" spans="1:24" s="169" customFormat="1" ht="13.8">
      <c r="A500" s="193"/>
      <c r="B500" s="187"/>
      <c r="C500" s="183" t="str">
        <f t="shared" si="46"/>
        <v/>
      </c>
      <c r="D500" s="182" t="str">
        <f t="shared" si="47"/>
        <v/>
      </c>
      <c r="E500" s="192" t="s">
        <v>669</v>
      </c>
      <c r="F500" s="192" t="s">
        <v>677</v>
      </c>
      <c r="G500" s="192" t="s">
        <v>898</v>
      </c>
      <c r="H500" s="210" t="s">
        <v>1440</v>
      </c>
      <c r="I500" s="167">
        <v>970826000</v>
      </c>
      <c r="J500" s="167">
        <v>338030000</v>
      </c>
      <c r="K500" s="167">
        <v>608000000</v>
      </c>
      <c r="L500" s="168">
        <v>24796000</v>
      </c>
      <c r="M500" s="168">
        <f t="shared" si="48"/>
        <v>970826000</v>
      </c>
      <c r="N500" s="168"/>
      <c r="O500" s="167">
        <v>957704000</v>
      </c>
      <c r="P500" s="167">
        <f t="shared" si="49"/>
        <v>957704000</v>
      </c>
      <c r="Q500" s="167"/>
      <c r="S500" s="201">
        <f t="shared" si="50"/>
        <v>970.82600000000002</v>
      </c>
      <c r="T500" s="201">
        <f t="shared" si="51"/>
        <v>970.82600000000002</v>
      </c>
      <c r="U500" s="201">
        <f t="shared" si="51"/>
        <v>0</v>
      </c>
      <c r="V500" s="201">
        <f t="shared" si="51"/>
        <v>957.70399999999995</v>
      </c>
      <c r="W500" s="201">
        <f t="shared" si="51"/>
        <v>957.70399999999995</v>
      </c>
      <c r="X500" s="201">
        <f t="shared" si="51"/>
        <v>0</v>
      </c>
    </row>
    <row r="501" spans="1:24" s="169" customFormat="1" ht="13.8">
      <c r="A501" s="195"/>
      <c r="B501" s="188"/>
      <c r="C501" s="183" t="str">
        <f t="shared" si="46"/>
        <v/>
      </c>
      <c r="D501" s="182" t="str">
        <f t="shared" si="47"/>
        <v/>
      </c>
      <c r="E501" s="192" t="s">
        <v>681</v>
      </c>
      <c r="F501" s="192" t="s">
        <v>677</v>
      </c>
      <c r="G501" s="192" t="s">
        <v>894</v>
      </c>
      <c r="H501" s="210" t="s">
        <v>1440</v>
      </c>
      <c r="I501" s="167">
        <v>1279000000</v>
      </c>
      <c r="J501" s="166"/>
      <c r="K501" s="167">
        <v>1279000000</v>
      </c>
      <c r="L501" s="171"/>
      <c r="M501" s="168">
        <f t="shared" si="48"/>
        <v>1279000000</v>
      </c>
      <c r="N501" s="171"/>
      <c r="O501" s="167">
        <v>1085526524</v>
      </c>
      <c r="P501" s="167">
        <f t="shared" si="49"/>
        <v>1085526524</v>
      </c>
      <c r="Q501" s="167"/>
      <c r="S501" s="201">
        <f t="shared" si="50"/>
        <v>1279</v>
      </c>
      <c r="T501" s="201">
        <f t="shared" si="51"/>
        <v>1279</v>
      </c>
      <c r="U501" s="201">
        <f t="shared" si="51"/>
        <v>0</v>
      </c>
      <c r="V501" s="201">
        <f t="shared" si="51"/>
        <v>1085.5265240000001</v>
      </c>
      <c r="W501" s="201">
        <f t="shared" si="51"/>
        <v>1085.5265240000001</v>
      </c>
      <c r="X501" s="201">
        <f t="shared" si="51"/>
        <v>0</v>
      </c>
    </row>
    <row r="502" spans="1:24" s="169" customFormat="1" ht="26.4">
      <c r="A502" s="192" t="s">
        <v>899</v>
      </c>
      <c r="B502" s="165" t="s">
        <v>900</v>
      </c>
      <c r="C502" s="183" t="str">
        <f t="shared" si="46"/>
        <v>1037575</v>
      </c>
      <c r="D502" s="182" t="str">
        <f t="shared" si="47"/>
        <v>-Trường PT Dân tộc Nội trú luyện Ngọc hSi</v>
      </c>
      <c r="E502" s="206"/>
      <c r="F502" s="207"/>
      <c r="G502" s="207"/>
      <c r="H502" s="205"/>
      <c r="I502" s="167">
        <v>10113566153</v>
      </c>
      <c r="J502" s="167">
        <v>41660153</v>
      </c>
      <c r="K502" s="167">
        <v>9290577000</v>
      </c>
      <c r="L502" s="168">
        <v>781329000</v>
      </c>
      <c r="M502" s="168">
        <f t="shared" si="48"/>
        <v>10113566153</v>
      </c>
      <c r="N502" s="168"/>
      <c r="O502" s="167">
        <v>9486884003</v>
      </c>
      <c r="P502" s="167">
        <f t="shared" si="49"/>
        <v>9486884003</v>
      </c>
      <c r="Q502" s="167"/>
      <c r="S502" s="201">
        <f t="shared" si="50"/>
        <v>10113.566153</v>
      </c>
      <c r="T502" s="201">
        <f t="shared" si="51"/>
        <v>10113.566153</v>
      </c>
      <c r="U502" s="201">
        <f t="shared" si="51"/>
        <v>0</v>
      </c>
      <c r="V502" s="201">
        <f t="shared" si="51"/>
        <v>9486.8840029999992</v>
      </c>
      <c r="W502" s="201">
        <f t="shared" si="51"/>
        <v>9486.8840029999992</v>
      </c>
      <c r="X502" s="201">
        <f t="shared" si="51"/>
        <v>0</v>
      </c>
    </row>
    <row r="503" spans="1:24" s="169" customFormat="1" ht="13.8">
      <c r="A503" s="192" t="s">
        <v>901</v>
      </c>
      <c r="B503" s="170" t="s">
        <v>689</v>
      </c>
      <c r="C503" s="183" t="str">
        <f t="shared" si="46"/>
        <v/>
      </c>
      <c r="D503" s="182" t="str">
        <f t="shared" si="47"/>
        <v/>
      </c>
      <c r="E503" s="206"/>
      <c r="F503" s="207"/>
      <c r="G503" s="207"/>
      <c r="H503" s="205"/>
      <c r="I503" s="167">
        <v>10113566153</v>
      </c>
      <c r="J503" s="167">
        <v>41660153</v>
      </c>
      <c r="K503" s="167">
        <v>9290577000</v>
      </c>
      <c r="L503" s="168">
        <v>781329000</v>
      </c>
      <c r="M503" s="168">
        <f t="shared" si="48"/>
        <v>10113566153</v>
      </c>
      <c r="N503" s="168"/>
      <c r="O503" s="167">
        <v>9486884003</v>
      </c>
      <c r="P503" s="167">
        <f t="shared" si="49"/>
        <v>9486884003</v>
      </c>
      <c r="Q503" s="167"/>
      <c r="S503" s="201">
        <f t="shared" si="50"/>
        <v>10113.566153</v>
      </c>
      <c r="T503" s="201">
        <f t="shared" si="51"/>
        <v>10113.566153</v>
      </c>
      <c r="U503" s="201">
        <f t="shared" si="51"/>
        <v>0</v>
      </c>
      <c r="V503" s="201">
        <f t="shared" si="51"/>
        <v>9486.8840029999992</v>
      </c>
      <c r="W503" s="201">
        <f t="shared" si="51"/>
        <v>9486.8840029999992</v>
      </c>
      <c r="X503" s="201">
        <f t="shared" si="51"/>
        <v>0</v>
      </c>
    </row>
    <row r="504" spans="1:24" s="169" customFormat="1" ht="13.8">
      <c r="A504" s="192"/>
      <c r="B504" s="170" t="s">
        <v>690</v>
      </c>
      <c r="C504" s="183" t="str">
        <f t="shared" si="46"/>
        <v/>
      </c>
      <c r="D504" s="182" t="str">
        <f t="shared" si="47"/>
        <v/>
      </c>
      <c r="E504" s="206"/>
      <c r="F504" s="207"/>
      <c r="G504" s="207"/>
      <c r="H504" s="205"/>
      <c r="I504" s="167">
        <v>5799725153</v>
      </c>
      <c r="J504" s="167">
        <v>41660153</v>
      </c>
      <c r="K504" s="167">
        <v>5584287000</v>
      </c>
      <c r="L504" s="168">
        <v>173778000</v>
      </c>
      <c r="M504" s="168">
        <f t="shared" si="48"/>
        <v>5799725153</v>
      </c>
      <c r="N504" s="168"/>
      <c r="O504" s="167">
        <v>5799725153</v>
      </c>
      <c r="P504" s="167">
        <f t="shared" si="49"/>
        <v>5799725153</v>
      </c>
      <c r="Q504" s="167"/>
      <c r="S504" s="201">
        <f t="shared" si="50"/>
        <v>5799.7251530000003</v>
      </c>
      <c r="T504" s="201">
        <f t="shared" si="51"/>
        <v>5799.7251530000003</v>
      </c>
      <c r="U504" s="201">
        <f t="shared" si="51"/>
        <v>0</v>
      </c>
      <c r="V504" s="201">
        <f t="shared" si="51"/>
        <v>5799.7251530000003</v>
      </c>
      <c r="W504" s="201">
        <f t="shared" si="51"/>
        <v>5799.7251530000003</v>
      </c>
      <c r="X504" s="201">
        <f t="shared" si="51"/>
        <v>0</v>
      </c>
    </row>
    <row r="505" spans="1:24" s="169" customFormat="1" ht="13.8">
      <c r="A505" s="193"/>
      <c r="B505" s="187"/>
      <c r="C505" s="183" t="str">
        <f t="shared" si="46"/>
        <v/>
      </c>
      <c r="D505" s="182" t="str">
        <f t="shared" si="47"/>
        <v/>
      </c>
      <c r="E505" s="192" t="s">
        <v>666</v>
      </c>
      <c r="F505" s="192" t="s">
        <v>677</v>
      </c>
      <c r="G505" s="192" t="s">
        <v>685</v>
      </c>
      <c r="H505" s="210" t="s">
        <v>1440</v>
      </c>
      <c r="I505" s="167">
        <v>5625947153</v>
      </c>
      <c r="J505" s="167">
        <v>41660153</v>
      </c>
      <c r="K505" s="167">
        <v>5584287000</v>
      </c>
      <c r="L505" s="171"/>
      <c r="M505" s="168">
        <f t="shared" si="48"/>
        <v>5625947153</v>
      </c>
      <c r="N505" s="171"/>
      <c r="O505" s="167">
        <v>5625947153</v>
      </c>
      <c r="P505" s="167">
        <f t="shared" si="49"/>
        <v>5625947153</v>
      </c>
      <c r="Q505" s="167"/>
      <c r="S505" s="201">
        <f t="shared" si="50"/>
        <v>5625.9471530000001</v>
      </c>
      <c r="T505" s="201">
        <f t="shared" si="51"/>
        <v>5625.9471530000001</v>
      </c>
      <c r="U505" s="201">
        <f t="shared" si="51"/>
        <v>0</v>
      </c>
      <c r="V505" s="201">
        <f t="shared" si="51"/>
        <v>5625.9471530000001</v>
      </c>
      <c r="W505" s="201">
        <f t="shared" si="51"/>
        <v>5625.9471530000001</v>
      </c>
      <c r="X505" s="201">
        <f t="shared" si="51"/>
        <v>0</v>
      </c>
    </row>
    <row r="506" spans="1:24" s="169" customFormat="1" ht="13.8">
      <c r="A506" s="194"/>
      <c r="B506" s="184"/>
      <c r="C506" s="183" t="str">
        <f t="shared" si="46"/>
        <v/>
      </c>
      <c r="D506" s="182" t="str">
        <f t="shared" si="47"/>
        <v/>
      </c>
      <c r="E506" s="192" t="s">
        <v>679</v>
      </c>
      <c r="F506" s="192" t="s">
        <v>677</v>
      </c>
      <c r="G506" s="192" t="s">
        <v>685</v>
      </c>
      <c r="H506" s="210" t="s">
        <v>1440</v>
      </c>
      <c r="I506" s="167">
        <v>171000000</v>
      </c>
      <c r="J506" s="166"/>
      <c r="K506" s="166"/>
      <c r="L506" s="168">
        <v>171000000</v>
      </c>
      <c r="M506" s="168">
        <f t="shared" si="48"/>
        <v>171000000</v>
      </c>
      <c r="N506" s="168"/>
      <c r="O506" s="167">
        <v>171000000</v>
      </c>
      <c r="P506" s="167">
        <f t="shared" si="49"/>
        <v>171000000</v>
      </c>
      <c r="Q506" s="167"/>
      <c r="S506" s="201">
        <f t="shared" si="50"/>
        <v>171</v>
      </c>
      <c r="T506" s="201">
        <f t="shared" si="51"/>
        <v>171</v>
      </c>
      <c r="U506" s="201">
        <f t="shared" si="51"/>
        <v>0</v>
      </c>
      <c r="V506" s="201">
        <f t="shared" si="51"/>
        <v>171</v>
      </c>
      <c r="W506" s="201">
        <f t="shared" si="51"/>
        <v>171</v>
      </c>
      <c r="X506" s="201">
        <f t="shared" si="51"/>
        <v>0</v>
      </c>
    </row>
    <row r="507" spans="1:24" s="169" customFormat="1" ht="13.8">
      <c r="A507" s="195"/>
      <c r="B507" s="188"/>
      <c r="C507" s="183" t="str">
        <f t="shared" si="46"/>
        <v/>
      </c>
      <c r="D507" s="182" t="str">
        <f t="shared" si="47"/>
        <v/>
      </c>
      <c r="E507" s="192" t="s">
        <v>669</v>
      </c>
      <c r="F507" s="192" t="s">
        <v>677</v>
      </c>
      <c r="G507" s="192" t="s">
        <v>685</v>
      </c>
      <c r="H507" s="210" t="s">
        <v>1440</v>
      </c>
      <c r="I507" s="167">
        <v>2778000</v>
      </c>
      <c r="J507" s="166"/>
      <c r="K507" s="166"/>
      <c r="L507" s="168">
        <v>2778000</v>
      </c>
      <c r="M507" s="168">
        <f t="shared" si="48"/>
        <v>2778000</v>
      </c>
      <c r="N507" s="168"/>
      <c r="O507" s="167">
        <v>2778000</v>
      </c>
      <c r="P507" s="167">
        <f t="shared" si="49"/>
        <v>2778000</v>
      </c>
      <c r="Q507" s="167"/>
      <c r="S507" s="201">
        <f t="shared" si="50"/>
        <v>2.778</v>
      </c>
      <c r="T507" s="201">
        <f t="shared" si="51"/>
        <v>2.778</v>
      </c>
      <c r="U507" s="201">
        <f t="shared" si="51"/>
        <v>0</v>
      </c>
      <c r="V507" s="201">
        <f t="shared" si="51"/>
        <v>2.778</v>
      </c>
      <c r="W507" s="201">
        <f t="shared" si="51"/>
        <v>2.778</v>
      </c>
      <c r="X507" s="201">
        <f t="shared" si="51"/>
        <v>0</v>
      </c>
    </row>
    <row r="508" spans="1:24" s="169" customFormat="1" ht="13.8">
      <c r="A508" s="192"/>
      <c r="B508" s="170" t="s">
        <v>686</v>
      </c>
      <c r="C508" s="183" t="str">
        <f t="shared" si="46"/>
        <v/>
      </c>
      <c r="D508" s="182" t="str">
        <f t="shared" si="47"/>
        <v/>
      </c>
      <c r="E508" s="206"/>
      <c r="F508" s="207"/>
      <c r="G508" s="207"/>
      <c r="H508" s="205"/>
      <c r="I508" s="167">
        <v>4313841000</v>
      </c>
      <c r="J508" s="166"/>
      <c r="K508" s="167">
        <v>3706290000</v>
      </c>
      <c r="L508" s="168">
        <v>607551000</v>
      </c>
      <c r="M508" s="168">
        <f t="shared" si="48"/>
        <v>4313841000</v>
      </c>
      <c r="N508" s="168"/>
      <c r="O508" s="167">
        <v>3687158850</v>
      </c>
      <c r="P508" s="167">
        <f t="shared" si="49"/>
        <v>3687158850</v>
      </c>
      <c r="Q508" s="167"/>
      <c r="S508" s="201">
        <f t="shared" si="50"/>
        <v>4313.8410000000003</v>
      </c>
      <c r="T508" s="201">
        <f t="shared" si="51"/>
        <v>4313.8410000000003</v>
      </c>
      <c r="U508" s="201">
        <f t="shared" si="51"/>
        <v>0</v>
      </c>
      <c r="V508" s="201">
        <f t="shared" si="51"/>
        <v>3687.1588499999998</v>
      </c>
      <c r="W508" s="201">
        <f t="shared" si="51"/>
        <v>3687.1588499999998</v>
      </c>
      <c r="X508" s="201">
        <f t="shared" si="51"/>
        <v>0</v>
      </c>
    </row>
    <row r="509" spans="1:24" s="169" customFormat="1" ht="13.8">
      <c r="A509" s="193"/>
      <c r="B509" s="187"/>
      <c r="C509" s="183" t="str">
        <f t="shared" si="46"/>
        <v/>
      </c>
      <c r="D509" s="182" t="str">
        <f t="shared" si="47"/>
        <v/>
      </c>
      <c r="E509" s="192" t="s">
        <v>681</v>
      </c>
      <c r="F509" s="192" t="s">
        <v>677</v>
      </c>
      <c r="G509" s="192" t="s">
        <v>685</v>
      </c>
      <c r="H509" s="210" t="s">
        <v>1440</v>
      </c>
      <c r="I509" s="167">
        <v>809651000</v>
      </c>
      <c r="J509" s="166"/>
      <c r="K509" s="167">
        <v>634700000</v>
      </c>
      <c r="L509" s="168">
        <v>174951000</v>
      </c>
      <c r="M509" s="168">
        <f t="shared" si="48"/>
        <v>809651000</v>
      </c>
      <c r="N509" s="168"/>
      <c r="O509" s="167">
        <v>798153550</v>
      </c>
      <c r="P509" s="167">
        <f t="shared" si="49"/>
        <v>798153550</v>
      </c>
      <c r="Q509" s="167"/>
      <c r="S509" s="201">
        <f t="shared" si="50"/>
        <v>809.65099999999995</v>
      </c>
      <c r="T509" s="201">
        <f t="shared" si="51"/>
        <v>809.65099999999995</v>
      </c>
      <c r="U509" s="201">
        <f t="shared" si="51"/>
        <v>0</v>
      </c>
      <c r="V509" s="201">
        <f t="shared" si="51"/>
        <v>798.15355</v>
      </c>
      <c r="W509" s="201">
        <f t="shared" si="51"/>
        <v>798.15355</v>
      </c>
      <c r="X509" s="201">
        <f t="shared" si="51"/>
        <v>0</v>
      </c>
    </row>
    <row r="510" spans="1:24" s="169" customFormat="1" ht="13.8">
      <c r="A510" s="194"/>
      <c r="B510" s="184"/>
      <c r="C510" s="183" t="str">
        <f t="shared" si="46"/>
        <v/>
      </c>
      <c r="D510" s="182" t="str">
        <f t="shared" si="47"/>
        <v/>
      </c>
      <c r="E510" s="192" t="s">
        <v>679</v>
      </c>
      <c r="F510" s="192" t="s">
        <v>677</v>
      </c>
      <c r="G510" s="192" t="s">
        <v>685</v>
      </c>
      <c r="H510" s="210" t="s">
        <v>1440</v>
      </c>
      <c r="I510" s="167">
        <v>2979040000</v>
      </c>
      <c r="J510" s="166"/>
      <c r="K510" s="167">
        <v>2979040000</v>
      </c>
      <c r="L510" s="171"/>
      <c r="M510" s="168">
        <f t="shared" si="48"/>
        <v>2979040000</v>
      </c>
      <c r="N510" s="171"/>
      <c r="O510" s="167">
        <v>2776555300</v>
      </c>
      <c r="P510" s="167">
        <f t="shared" si="49"/>
        <v>2776555300</v>
      </c>
      <c r="Q510" s="167"/>
      <c r="S510" s="201">
        <f t="shared" si="50"/>
        <v>2979.04</v>
      </c>
      <c r="T510" s="201">
        <f t="shared" si="51"/>
        <v>2979.04</v>
      </c>
      <c r="U510" s="201">
        <f t="shared" si="51"/>
        <v>0</v>
      </c>
      <c r="V510" s="201">
        <f t="shared" si="51"/>
        <v>2776.5553</v>
      </c>
      <c r="W510" s="201">
        <f t="shared" si="51"/>
        <v>2776.5553</v>
      </c>
      <c r="X510" s="201">
        <f t="shared" si="51"/>
        <v>0</v>
      </c>
    </row>
    <row r="511" spans="1:24" s="169" customFormat="1" ht="13.8">
      <c r="A511" s="194"/>
      <c r="B511" s="184"/>
      <c r="C511" s="183" t="str">
        <f t="shared" si="46"/>
        <v/>
      </c>
      <c r="D511" s="182" t="str">
        <f t="shared" si="47"/>
        <v/>
      </c>
      <c r="E511" s="192" t="s">
        <v>667</v>
      </c>
      <c r="F511" s="192" t="s">
        <v>677</v>
      </c>
      <c r="G511" s="192" t="s">
        <v>685</v>
      </c>
      <c r="H511" s="210" t="s">
        <v>1440</v>
      </c>
      <c r="I511" s="167">
        <v>400000000</v>
      </c>
      <c r="J511" s="166"/>
      <c r="K511" s="166"/>
      <c r="L511" s="168">
        <v>400000000</v>
      </c>
      <c r="M511" s="168">
        <f t="shared" si="48"/>
        <v>400000000</v>
      </c>
      <c r="N511" s="168"/>
      <c r="O511" s="166"/>
      <c r="P511" s="167">
        <f t="shared" si="49"/>
        <v>0</v>
      </c>
      <c r="Q511" s="166"/>
      <c r="S511" s="201">
        <f t="shared" si="50"/>
        <v>400</v>
      </c>
      <c r="T511" s="201">
        <f t="shared" si="51"/>
        <v>400</v>
      </c>
      <c r="U511" s="201">
        <f t="shared" si="51"/>
        <v>0</v>
      </c>
      <c r="V511" s="201">
        <f t="shared" si="51"/>
        <v>0</v>
      </c>
      <c r="W511" s="201">
        <f t="shared" si="51"/>
        <v>0</v>
      </c>
      <c r="X511" s="201">
        <f t="shared" si="51"/>
        <v>0</v>
      </c>
    </row>
    <row r="512" spans="1:24" s="169" customFormat="1" ht="13.8">
      <c r="A512" s="195"/>
      <c r="B512" s="188"/>
      <c r="C512" s="183" t="str">
        <f t="shared" si="46"/>
        <v/>
      </c>
      <c r="D512" s="182" t="str">
        <f t="shared" si="47"/>
        <v/>
      </c>
      <c r="E512" s="192" t="s">
        <v>669</v>
      </c>
      <c r="F512" s="192" t="s">
        <v>677</v>
      </c>
      <c r="G512" s="192" t="s">
        <v>685</v>
      </c>
      <c r="H512" s="210" t="s">
        <v>1440</v>
      </c>
      <c r="I512" s="167">
        <v>125150000</v>
      </c>
      <c r="J512" s="166"/>
      <c r="K512" s="167">
        <v>92550000</v>
      </c>
      <c r="L512" s="168">
        <v>32600000</v>
      </c>
      <c r="M512" s="168">
        <f t="shared" si="48"/>
        <v>125150000</v>
      </c>
      <c r="N512" s="168"/>
      <c r="O512" s="167">
        <v>112450000</v>
      </c>
      <c r="P512" s="167">
        <f t="shared" si="49"/>
        <v>112450000</v>
      </c>
      <c r="Q512" s="167"/>
      <c r="S512" s="201">
        <f t="shared" si="50"/>
        <v>125.15</v>
      </c>
      <c r="T512" s="201">
        <f t="shared" si="51"/>
        <v>125.15</v>
      </c>
      <c r="U512" s="201">
        <f t="shared" si="51"/>
        <v>0</v>
      </c>
      <c r="V512" s="201">
        <f t="shared" si="51"/>
        <v>112.45</v>
      </c>
      <c r="W512" s="201">
        <f t="shared" si="51"/>
        <v>112.45</v>
      </c>
      <c r="X512" s="201">
        <f t="shared" si="51"/>
        <v>0</v>
      </c>
    </row>
    <row r="513" spans="1:24" s="169" customFormat="1" ht="26.4">
      <c r="A513" s="192" t="s">
        <v>902</v>
      </c>
      <c r="B513" s="170" t="s">
        <v>903</v>
      </c>
      <c r="C513" s="183" t="str">
        <f t="shared" si="46"/>
        <v>1037577</v>
      </c>
      <c r="D513" s="182" t="str">
        <f t="shared" si="47"/>
        <v>-Hội chử thập đỏ tỉnh Kontum</v>
      </c>
      <c r="E513" s="206"/>
      <c r="F513" s="207"/>
      <c r="G513" s="207"/>
      <c r="H513" s="205"/>
      <c r="I513" s="167">
        <v>1654000000</v>
      </c>
      <c r="J513" s="166"/>
      <c r="K513" s="167">
        <v>1614000000</v>
      </c>
      <c r="L513" s="168">
        <v>40000000</v>
      </c>
      <c r="M513" s="168">
        <f t="shared" si="48"/>
        <v>1654000000</v>
      </c>
      <c r="N513" s="168"/>
      <c r="O513" s="167">
        <v>1654000000</v>
      </c>
      <c r="P513" s="167">
        <f t="shared" si="49"/>
        <v>1654000000</v>
      </c>
      <c r="Q513" s="167"/>
      <c r="S513" s="201">
        <f t="shared" si="50"/>
        <v>1654</v>
      </c>
      <c r="T513" s="201">
        <f t="shared" si="51"/>
        <v>1654</v>
      </c>
      <c r="U513" s="201">
        <f t="shared" si="51"/>
        <v>0</v>
      </c>
      <c r="V513" s="201">
        <f t="shared" si="51"/>
        <v>1654</v>
      </c>
      <c r="W513" s="201">
        <f t="shared" si="51"/>
        <v>1654</v>
      </c>
      <c r="X513" s="201">
        <f t="shared" si="51"/>
        <v>0</v>
      </c>
    </row>
    <row r="514" spans="1:24" s="169" customFormat="1" ht="13.8">
      <c r="A514" s="192" t="s">
        <v>904</v>
      </c>
      <c r="B514" s="170" t="s">
        <v>689</v>
      </c>
      <c r="C514" s="183" t="str">
        <f t="shared" si="46"/>
        <v/>
      </c>
      <c r="D514" s="182" t="str">
        <f t="shared" si="47"/>
        <v/>
      </c>
      <c r="E514" s="206"/>
      <c r="F514" s="207"/>
      <c r="G514" s="207"/>
      <c r="H514" s="205"/>
      <c r="I514" s="167">
        <v>1654000000</v>
      </c>
      <c r="J514" s="166"/>
      <c r="K514" s="167">
        <v>1614000000</v>
      </c>
      <c r="L514" s="168">
        <v>40000000</v>
      </c>
      <c r="M514" s="168">
        <f t="shared" si="48"/>
        <v>1654000000</v>
      </c>
      <c r="N514" s="168"/>
      <c r="O514" s="167">
        <v>1654000000</v>
      </c>
      <c r="P514" s="167">
        <f t="shared" si="49"/>
        <v>1654000000</v>
      </c>
      <c r="Q514" s="167"/>
      <c r="S514" s="201">
        <f t="shared" si="50"/>
        <v>1654</v>
      </c>
      <c r="T514" s="201">
        <f t="shared" si="51"/>
        <v>1654</v>
      </c>
      <c r="U514" s="201">
        <f t="shared" si="51"/>
        <v>0</v>
      </c>
      <c r="V514" s="201">
        <f t="shared" si="51"/>
        <v>1654</v>
      </c>
      <c r="W514" s="201">
        <f t="shared" si="51"/>
        <v>1654</v>
      </c>
      <c r="X514" s="201">
        <f t="shared" si="51"/>
        <v>0</v>
      </c>
    </row>
    <row r="515" spans="1:24" s="169" customFormat="1" ht="13.8">
      <c r="A515" s="192"/>
      <c r="B515" s="170" t="s">
        <v>686</v>
      </c>
      <c r="C515" s="183" t="str">
        <f t="shared" si="46"/>
        <v/>
      </c>
      <c r="D515" s="182" t="str">
        <f t="shared" si="47"/>
        <v/>
      </c>
      <c r="E515" s="206"/>
      <c r="F515" s="207"/>
      <c r="G515" s="207"/>
      <c r="H515" s="205"/>
      <c r="I515" s="167">
        <v>1654000000</v>
      </c>
      <c r="J515" s="166"/>
      <c r="K515" s="167">
        <v>1614000000</v>
      </c>
      <c r="L515" s="168">
        <v>40000000</v>
      </c>
      <c r="M515" s="168">
        <f t="shared" si="48"/>
        <v>1654000000</v>
      </c>
      <c r="N515" s="168"/>
      <c r="O515" s="167">
        <v>1654000000</v>
      </c>
      <c r="P515" s="167">
        <f t="shared" si="49"/>
        <v>1654000000</v>
      </c>
      <c r="Q515" s="167"/>
      <c r="S515" s="201">
        <f t="shared" si="50"/>
        <v>1654</v>
      </c>
      <c r="T515" s="201">
        <f t="shared" si="51"/>
        <v>1654</v>
      </c>
      <c r="U515" s="201">
        <f t="shared" si="51"/>
        <v>0</v>
      </c>
      <c r="V515" s="201">
        <f t="shared" si="51"/>
        <v>1654</v>
      </c>
      <c r="W515" s="201">
        <f t="shared" si="51"/>
        <v>1654</v>
      </c>
      <c r="X515" s="201">
        <f t="shared" si="51"/>
        <v>0</v>
      </c>
    </row>
    <row r="516" spans="1:24" s="169" customFormat="1" ht="13.8">
      <c r="A516" s="193"/>
      <c r="B516" s="187"/>
      <c r="C516" s="183" t="str">
        <f t="shared" si="46"/>
        <v/>
      </c>
      <c r="D516" s="182" t="str">
        <f t="shared" si="47"/>
        <v/>
      </c>
      <c r="E516" s="192" t="s">
        <v>681</v>
      </c>
      <c r="F516" s="192" t="s">
        <v>905</v>
      </c>
      <c r="G516" s="192" t="s">
        <v>906</v>
      </c>
      <c r="H516" s="210" t="s">
        <v>1440</v>
      </c>
      <c r="I516" s="167">
        <v>1624000000</v>
      </c>
      <c r="J516" s="166"/>
      <c r="K516" s="167">
        <v>1614000000</v>
      </c>
      <c r="L516" s="168">
        <v>10000000</v>
      </c>
      <c r="M516" s="168">
        <f t="shared" si="48"/>
        <v>1624000000</v>
      </c>
      <c r="N516" s="168"/>
      <c r="O516" s="167">
        <v>1624000000</v>
      </c>
      <c r="P516" s="167">
        <f t="shared" si="49"/>
        <v>1624000000</v>
      </c>
      <c r="Q516" s="167"/>
      <c r="S516" s="201">
        <f t="shared" si="50"/>
        <v>1624</v>
      </c>
      <c r="T516" s="201">
        <f t="shared" si="51"/>
        <v>1624</v>
      </c>
      <c r="U516" s="201">
        <f t="shared" si="51"/>
        <v>0</v>
      </c>
      <c r="V516" s="201">
        <f t="shared" si="51"/>
        <v>1624</v>
      </c>
      <c r="W516" s="201">
        <f t="shared" si="51"/>
        <v>1624</v>
      </c>
      <c r="X516" s="201">
        <f t="shared" si="51"/>
        <v>0</v>
      </c>
    </row>
    <row r="517" spans="1:24" s="169" customFormat="1" ht="13.8">
      <c r="A517" s="195"/>
      <c r="B517" s="188"/>
      <c r="C517" s="183" t="str">
        <f t="shared" si="46"/>
        <v/>
      </c>
      <c r="D517" s="182" t="str">
        <f t="shared" si="47"/>
        <v/>
      </c>
      <c r="E517" s="192" t="s">
        <v>679</v>
      </c>
      <c r="F517" s="192" t="s">
        <v>905</v>
      </c>
      <c r="G517" s="192" t="s">
        <v>906</v>
      </c>
      <c r="H517" s="210" t="s">
        <v>1440</v>
      </c>
      <c r="I517" s="167">
        <v>30000000</v>
      </c>
      <c r="J517" s="166"/>
      <c r="K517" s="166"/>
      <c r="L517" s="168">
        <v>30000000</v>
      </c>
      <c r="M517" s="168">
        <f t="shared" si="48"/>
        <v>30000000</v>
      </c>
      <c r="N517" s="168"/>
      <c r="O517" s="167">
        <v>30000000</v>
      </c>
      <c r="P517" s="167">
        <f t="shared" si="49"/>
        <v>30000000</v>
      </c>
      <c r="Q517" s="167"/>
      <c r="S517" s="201">
        <f t="shared" si="50"/>
        <v>30</v>
      </c>
      <c r="T517" s="201">
        <f t="shared" si="51"/>
        <v>30</v>
      </c>
      <c r="U517" s="201">
        <f t="shared" si="51"/>
        <v>0</v>
      </c>
      <c r="V517" s="201">
        <f t="shared" si="51"/>
        <v>30</v>
      </c>
      <c r="W517" s="201">
        <f t="shared" si="51"/>
        <v>30</v>
      </c>
      <c r="X517" s="201">
        <f t="shared" si="51"/>
        <v>0</v>
      </c>
    </row>
    <row r="518" spans="1:24" s="169" customFormat="1" ht="26.4">
      <c r="A518" s="192" t="s">
        <v>907</v>
      </c>
      <c r="B518" s="165" t="s">
        <v>908</v>
      </c>
      <c r="C518" s="183" t="str">
        <f t="shared" si="46"/>
        <v>1037579</v>
      </c>
      <c r="D518" s="182" t="str">
        <f t="shared" si="47"/>
        <v>-Bảo tàng - Thư viện tỉnh Kon Tum</v>
      </c>
      <c r="E518" s="206"/>
      <c r="F518" s="207"/>
      <c r="G518" s="207"/>
      <c r="H518" s="205"/>
      <c r="I518" s="167">
        <v>3409029000</v>
      </c>
      <c r="J518" s="167">
        <v>100000000</v>
      </c>
      <c r="K518" s="167">
        <v>3132000000</v>
      </c>
      <c r="L518" s="168">
        <v>177029000</v>
      </c>
      <c r="M518" s="168">
        <f t="shared" si="48"/>
        <v>3409029000</v>
      </c>
      <c r="N518" s="168"/>
      <c r="O518" s="167">
        <v>3404029000</v>
      </c>
      <c r="P518" s="167">
        <f t="shared" si="49"/>
        <v>3404029000</v>
      </c>
      <c r="Q518" s="167"/>
      <c r="S518" s="201">
        <f t="shared" si="50"/>
        <v>3409.029</v>
      </c>
      <c r="T518" s="201">
        <f t="shared" si="51"/>
        <v>3409.029</v>
      </c>
      <c r="U518" s="201">
        <f t="shared" si="51"/>
        <v>0</v>
      </c>
      <c r="V518" s="201">
        <f t="shared" si="51"/>
        <v>3404.029</v>
      </c>
      <c r="W518" s="201">
        <f t="shared" si="51"/>
        <v>3404.029</v>
      </c>
      <c r="X518" s="201">
        <f t="shared" si="51"/>
        <v>0</v>
      </c>
    </row>
    <row r="519" spans="1:24" s="169" customFormat="1" ht="13.8">
      <c r="A519" s="192" t="s">
        <v>909</v>
      </c>
      <c r="B519" s="170" t="s">
        <v>689</v>
      </c>
      <c r="C519" s="183" t="str">
        <f t="shared" si="46"/>
        <v/>
      </c>
      <c r="D519" s="182" t="str">
        <f t="shared" si="47"/>
        <v/>
      </c>
      <c r="E519" s="206"/>
      <c r="F519" s="207"/>
      <c r="G519" s="207"/>
      <c r="H519" s="205"/>
      <c r="I519" s="167">
        <v>3409029000</v>
      </c>
      <c r="J519" s="167">
        <v>100000000</v>
      </c>
      <c r="K519" s="167">
        <v>3132000000</v>
      </c>
      <c r="L519" s="168">
        <v>177029000</v>
      </c>
      <c r="M519" s="168">
        <f t="shared" si="48"/>
        <v>3409029000</v>
      </c>
      <c r="N519" s="168"/>
      <c r="O519" s="167">
        <v>3404029000</v>
      </c>
      <c r="P519" s="167">
        <f t="shared" si="49"/>
        <v>3404029000</v>
      </c>
      <c r="Q519" s="167"/>
      <c r="S519" s="201">
        <f t="shared" si="50"/>
        <v>3409.029</v>
      </c>
      <c r="T519" s="201">
        <f t="shared" si="51"/>
        <v>3409.029</v>
      </c>
      <c r="U519" s="201">
        <f t="shared" si="51"/>
        <v>0</v>
      </c>
      <c r="V519" s="201">
        <f t="shared" si="51"/>
        <v>3404.029</v>
      </c>
      <c r="W519" s="201">
        <f t="shared" si="51"/>
        <v>3404.029</v>
      </c>
      <c r="X519" s="201">
        <f t="shared" si="51"/>
        <v>0</v>
      </c>
    </row>
    <row r="520" spans="1:24" s="169" customFormat="1" ht="13.8">
      <c r="A520" s="192"/>
      <c r="B520" s="170" t="s">
        <v>690</v>
      </c>
      <c r="C520" s="183" t="str">
        <f t="shared" si="46"/>
        <v/>
      </c>
      <c r="D520" s="182" t="str">
        <f t="shared" si="47"/>
        <v/>
      </c>
      <c r="E520" s="206"/>
      <c r="F520" s="207"/>
      <c r="G520" s="207"/>
      <c r="H520" s="205"/>
      <c r="I520" s="167">
        <v>1915200000</v>
      </c>
      <c r="J520" s="166"/>
      <c r="K520" s="167">
        <v>1710500000</v>
      </c>
      <c r="L520" s="168">
        <v>204700000</v>
      </c>
      <c r="M520" s="168">
        <f t="shared" si="48"/>
        <v>1915200000</v>
      </c>
      <c r="N520" s="168"/>
      <c r="O520" s="167">
        <v>1915200000</v>
      </c>
      <c r="P520" s="167">
        <f t="shared" si="49"/>
        <v>1915200000</v>
      </c>
      <c r="Q520" s="167"/>
      <c r="S520" s="201">
        <f t="shared" si="50"/>
        <v>1915.2</v>
      </c>
      <c r="T520" s="201">
        <f t="shared" si="51"/>
        <v>1915.2</v>
      </c>
      <c r="U520" s="201">
        <f t="shared" si="51"/>
        <v>0</v>
      </c>
      <c r="V520" s="201">
        <f t="shared" si="51"/>
        <v>1915.2</v>
      </c>
      <c r="W520" s="201">
        <f t="shared" si="51"/>
        <v>1915.2</v>
      </c>
      <c r="X520" s="201">
        <f t="shared" si="51"/>
        <v>0</v>
      </c>
    </row>
    <row r="521" spans="1:24" s="169" customFormat="1" ht="13.8">
      <c r="A521" s="193"/>
      <c r="B521" s="187"/>
      <c r="C521" s="183" t="str">
        <f t="shared" si="46"/>
        <v/>
      </c>
      <c r="D521" s="182" t="str">
        <f t="shared" si="47"/>
        <v/>
      </c>
      <c r="E521" s="192" t="s">
        <v>666</v>
      </c>
      <c r="F521" s="192" t="s">
        <v>795</v>
      </c>
      <c r="G521" s="192" t="s">
        <v>910</v>
      </c>
      <c r="H521" s="210" t="s">
        <v>1440</v>
      </c>
      <c r="I521" s="167">
        <v>1878000000</v>
      </c>
      <c r="J521" s="166"/>
      <c r="K521" s="167">
        <v>1710500000</v>
      </c>
      <c r="L521" s="168">
        <v>167500000</v>
      </c>
      <c r="M521" s="168">
        <f t="shared" si="48"/>
        <v>1878000000</v>
      </c>
      <c r="N521" s="168"/>
      <c r="O521" s="167">
        <v>1878000000</v>
      </c>
      <c r="P521" s="167">
        <f t="shared" si="49"/>
        <v>1878000000</v>
      </c>
      <c r="Q521" s="167"/>
      <c r="S521" s="201">
        <f t="shared" si="50"/>
        <v>1878</v>
      </c>
      <c r="T521" s="201">
        <f t="shared" si="51"/>
        <v>1878</v>
      </c>
      <c r="U521" s="201">
        <f t="shared" si="51"/>
        <v>0</v>
      </c>
      <c r="V521" s="201">
        <f t="shared" si="51"/>
        <v>1878</v>
      </c>
      <c r="W521" s="201">
        <f t="shared" si="51"/>
        <v>1878</v>
      </c>
      <c r="X521" s="201">
        <f t="shared" si="51"/>
        <v>0</v>
      </c>
    </row>
    <row r="522" spans="1:24" s="169" customFormat="1" ht="13.8">
      <c r="A522" s="195"/>
      <c r="B522" s="188"/>
      <c r="C522" s="183" t="str">
        <f t="shared" si="46"/>
        <v/>
      </c>
      <c r="D522" s="182" t="str">
        <f t="shared" si="47"/>
        <v/>
      </c>
      <c r="E522" s="192" t="s">
        <v>679</v>
      </c>
      <c r="F522" s="192" t="s">
        <v>795</v>
      </c>
      <c r="G522" s="192" t="s">
        <v>910</v>
      </c>
      <c r="H522" s="210" t="s">
        <v>1440</v>
      </c>
      <c r="I522" s="167">
        <v>37200000</v>
      </c>
      <c r="J522" s="166"/>
      <c r="K522" s="166"/>
      <c r="L522" s="168">
        <v>37200000</v>
      </c>
      <c r="M522" s="168">
        <f t="shared" si="48"/>
        <v>37200000</v>
      </c>
      <c r="N522" s="168"/>
      <c r="O522" s="167">
        <v>37200000</v>
      </c>
      <c r="P522" s="167">
        <f t="shared" si="49"/>
        <v>37200000</v>
      </c>
      <c r="Q522" s="167"/>
      <c r="S522" s="201">
        <f t="shared" si="50"/>
        <v>37.200000000000003</v>
      </c>
      <c r="T522" s="201">
        <f t="shared" si="51"/>
        <v>37.200000000000003</v>
      </c>
      <c r="U522" s="201">
        <f t="shared" si="51"/>
        <v>0</v>
      </c>
      <c r="V522" s="201">
        <f t="shared" si="51"/>
        <v>37.200000000000003</v>
      </c>
      <c r="W522" s="201">
        <f t="shared" si="51"/>
        <v>37.200000000000003</v>
      </c>
      <c r="X522" s="201">
        <f t="shared" si="51"/>
        <v>0</v>
      </c>
    </row>
    <row r="523" spans="1:24" s="169" customFormat="1" ht="13.8">
      <c r="A523" s="192"/>
      <c r="B523" s="170" t="s">
        <v>686</v>
      </c>
      <c r="C523" s="183" t="str">
        <f t="shared" si="46"/>
        <v/>
      </c>
      <c r="D523" s="182" t="str">
        <f t="shared" si="47"/>
        <v/>
      </c>
      <c r="E523" s="206"/>
      <c r="F523" s="207"/>
      <c r="G523" s="207"/>
      <c r="H523" s="205"/>
      <c r="I523" s="167">
        <v>1493829000</v>
      </c>
      <c r="J523" s="167">
        <v>100000000</v>
      </c>
      <c r="K523" s="167">
        <v>1421500000</v>
      </c>
      <c r="L523" s="168">
        <v>-27671000</v>
      </c>
      <c r="M523" s="168">
        <f t="shared" si="48"/>
        <v>1493829000</v>
      </c>
      <c r="N523" s="168"/>
      <c r="O523" s="167">
        <v>1488829000</v>
      </c>
      <c r="P523" s="167">
        <f t="shared" si="49"/>
        <v>1488829000</v>
      </c>
      <c r="Q523" s="167"/>
      <c r="S523" s="201">
        <f t="shared" si="50"/>
        <v>1493.829</v>
      </c>
      <c r="T523" s="201">
        <f t="shared" si="51"/>
        <v>1493.829</v>
      </c>
      <c r="U523" s="201">
        <f t="shared" si="51"/>
        <v>0</v>
      </c>
      <c r="V523" s="201">
        <f t="shared" si="51"/>
        <v>1488.829</v>
      </c>
      <c r="W523" s="201">
        <f t="shared" si="51"/>
        <v>1488.829</v>
      </c>
      <c r="X523" s="201">
        <f t="shared" si="51"/>
        <v>0</v>
      </c>
    </row>
    <row r="524" spans="1:24" s="169" customFormat="1" ht="13.8">
      <c r="A524" s="193"/>
      <c r="B524" s="187"/>
      <c r="C524" s="183" t="str">
        <f t="shared" si="46"/>
        <v/>
      </c>
      <c r="D524" s="182" t="str">
        <f t="shared" si="47"/>
        <v/>
      </c>
      <c r="E524" s="192" t="s">
        <v>681</v>
      </c>
      <c r="F524" s="192" t="s">
        <v>795</v>
      </c>
      <c r="G524" s="192" t="s">
        <v>910</v>
      </c>
      <c r="H524" s="210" t="s">
        <v>1440</v>
      </c>
      <c r="I524" s="167">
        <v>1493829000</v>
      </c>
      <c r="J524" s="166"/>
      <c r="K524" s="167">
        <v>1421500000</v>
      </c>
      <c r="L524" s="168">
        <v>72329000</v>
      </c>
      <c r="M524" s="168">
        <f t="shared" si="48"/>
        <v>1493829000</v>
      </c>
      <c r="N524" s="168"/>
      <c r="O524" s="167">
        <v>1488829000</v>
      </c>
      <c r="P524" s="167">
        <f t="shared" si="49"/>
        <v>1488829000</v>
      </c>
      <c r="Q524" s="167"/>
      <c r="S524" s="201">
        <f t="shared" si="50"/>
        <v>1493.829</v>
      </c>
      <c r="T524" s="201">
        <f t="shared" si="51"/>
        <v>1493.829</v>
      </c>
      <c r="U524" s="201">
        <f t="shared" si="51"/>
        <v>0</v>
      </c>
      <c r="V524" s="201">
        <f t="shared" si="51"/>
        <v>1488.829</v>
      </c>
      <c r="W524" s="201">
        <f t="shared" si="51"/>
        <v>1488.829</v>
      </c>
      <c r="X524" s="201">
        <f t="shared" si="51"/>
        <v>0</v>
      </c>
    </row>
    <row r="525" spans="1:24" s="169" customFormat="1" ht="13.8">
      <c r="A525" s="195"/>
      <c r="B525" s="188"/>
      <c r="C525" s="183" t="str">
        <f t="shared" si="46"/>
        <v/>
      </c>
      <c r="D525" s="182" t="str">
        <f t="shared" si="47"/>
        <v/>
      </c>
      <c r="E525" s="192" t="s">
        <v>681</v>
      </c>
      <c r="F525" s="192" t="s">
        <v>795</v>
      </c>
      <c r="G525" s="192" t="s">
        <v>911</v>
      </c>
      <c r="H525" s="210" t="s">
        <v>1440</v>
      </c>
      <c r="I525" s="166"/>
      <c r="J525" s="167">
        <v>100000000</v>
      </c>
      <c r="K525" s="166"/>
      <c r="L525" s="168">
        <v>-100000000</v>
      </c>
      <c r="M525" s="168">
        <f t="shared" si="48"/>
        <v>0</v>
      </c>
      <c r="N525" s="168"/>
      <c r="O525" s="166"/>
      <c r="P525" s="167">
        <f t="shared" si="49"/>
        <v>0</v>
      </c>
      <c r="Q525" s="166"/>
      <c r="S525" s="201">
        <f t="shared" si="50"/>
        <v>0</v>
      </c>
      <c r="T525" s="201">
        <f t="shared" si="51"/>
        <v>0</v>
      </c>
      <c r="U525" s="201">
        <f t="shared" si="51"/>
        <v>0</v>
      </c>
      <c r="V525" s="201">
        <f t="shared" si="51"/>
        <v>0</v>
      </c>
      <c r="W525" s="201">
        <f t="shared" si="51"/>
        <v>0</v>
      </c>
      <c r="X525" s="201">
        <f t="shared" si="51"/>
        <v>0</v>
      </c>
    </row>
    <row r="526" spans="1:24" s="169" customFormat="1" ht="27.6">
      <c r="A526" s="192" t="s">
        <v>912</v>
      </c>
      <c r="B526" s="165" t="s">
        <v>913</v>
      </c>
      <c r="C526" s="183" t="str">
        <f t="shared" si="46"/>
        <v>1037582</v>
      </c>
      <c r="D526" s="182" t="str">
        <f t="shared" si="47"/>
        <v>-Văn phòng sờ Văn hoá Thể thao và Du lịch tỉnh Kontum</v>
      </c>
      <c r="E526" s="206"/>
      <c r="F526" s="207"/>
      <c r="G526" s="207"/>
      <c r="H526" s="205"/>
      <c r="I526" s="167">
        <v>14097089000</v>
      </c>
      <c r="J526" s="167">
        <v>349000000</v>
      </c>
      <c r="K526" s="167">
        <v>9484000000</v>
      </c>
      <c r="L526" s="168">
        <v>4264089000</v>
      </c>
      <c r="M526" s="168">
        <f t="shared" si="48"/>
        <v>14097089000</v>
      </c>
      <c r="N526" s="168"/>
      <c r="O526" s="167">
        <v>11028347600</v>
      </c>
      <c r="P526" s="167">
        <f t="shared" si="49"/>
        <v>11028347600</v>
      </c>
      <c r="Q526" s="167"/>
      <c r="S526" s="201">
        <f t="shared" si="50"/>
        <v>14097.089</v>
      </c>
      <c r="T526" s="201">
        <f t="shared" si="51"/>
        <v>14097.089</v>
      </c>
      <c r="U526" s="201">
        <f t="shared" si="51"/>
        <v>0</v>
      </c>
      <c r="V526" s="201">
        <f t="shared" si="51"/>
        <v>11028.347599999999</v>
      </c>
      <c r="W526" s="201">
        <f t="shared" si="51"/>
        <v>11028.347599999999</v>
      </c>
      <c r="X526" s="201">
        <f t="shared" si="51"/>
        <v>0</v>
      </c>
    </row>
    <row r="527" spans="1:24" s="169" customFormat="1" ht="13.8">
      <c r="A527" s="192" t="s">
        <v>914</v>
      </c>
      <c r="B527" s="170" t="s">
        <v>689</v>
      </c>
      <c r="C527" s="183" t="str">
        <f t="shared" si="46"/>
        <v/>
      </c>
      <c r="D527" s="182" t="str">
        <f t="shared" si="47"/>
        <v/>
      </c>
      <c r="E527" s="206"/>
      <c r="F527" s="207"/>
      <c r="G527" s="207"/>
      <c r="H527" s="205"/>
      <c r="I527" s="167">
        <v>11643089000</v>
      </c>
      <c r="J527" s="167">
        <v>349000000</v>
      </c>
      <c r="K527" s="167">
        <v>9484000000</v>
      </c>
      <c r="L527" s="168">
        <v>1810089000</v>
      </c>
      <c r="M527" s="168">
        <f t="shared" si="48"/>
        <v>11643089000</v>
      </c>
      <c r="N527" s="168"/>
      <c r="O527" s="167">
        <v>11028347600</v>
      </c>
      <c r="P527" s="167">
        <f t="shared" si="49"/>
        <v>11028347600</v>
      </c>
      <c r="Q527" s="167"/>
      <c r="S527" s="201">
        <f t="shared" si="50"/>
        <v>11643.089</v>
      </c>
      <c r="T527" s="201">
        <f t="shared" si="51"/>
        <v>11643.089</v>
      </c>
      <c r="U527" s="201">
        <f t="shared" si="51"/>
        <v>0</v>
      </c>
      <c r="V527" s="201">
        <f t="shared" si="51"/>
        <v>11028.347599999999</v>
      </c>
      <c r="W527" s="201">
        <f t="shared" si="51"/>
        <v>11028.347599999999</v>
      </c>
      <c r="X527" s="201">
        <f t="shared" si="51"/>
        <v>0</v>
      </c>
    </row>
    <row r="528" spans="1:24" s="169" customFormat="1" ht="13.8">
      <c r="A528" s="192"/>
      <c r="B528" s="170" t="s">
        <v>690</v>
      </c>
      <c r="C528" s="183" t="str">
        <f t="shared" si="46"/>
        <v/>
      </c>
      <c r="D528" s="182" t="str">
        <f t="shared" si="47"/>
        <v/>
      </c>
      <c r="E528" s="206"/>
      <c r="F528" s="207"/>
      <c r="G528" s="207"/>
      <c r="H528" s="205"/>
      <c r="I528" s="167">
        <v>5794100000</v>
      </c>
      <c r="J528" s="166"/>
      <c r="K528" s="167">
        <v>5578000000</v>
      </c>
      <c r="L528" s="168">
        <v>216100000</v>
      </c>
      <c r="M528" s="168">
        <f t="shared" si="48"/>
        <v>5794100000</v>
      </c>
      <c r="N528" s="168"/>
      <c r="O528" s="167">
        <v>5794100000</v>
      </c>
      <c r="P528" s="167">
        <f t="shared" si="49"/>
        <v>5794100000</v>
      </c>
      <c r="Q528" s="167"/>
      <c r="S528" s="201">
        <f t="shared" si="50"/>
        <v>5794.1</v>
      </c>
      <c r="T528" s="201">
        <f t="shared" si="51"/>
        <v>5794.1</v>
      </c>
      <c r="U528" s="201">
        <f t="shared" si="51"/>
        <v>0</v>
      </c>
      <c r="V528" s="201">
        <f t="shared" si="51"/>
        <v>5794.1</v>
      </c>
      <c r="W528" s="201">
        <f t="shared" si="51"/>
        <v>5794.1</v>
      </c>
      <c r="X528" s="201">
        <f t="shared" si="51"/>
        <v>0</v>
      </c>
    </row>
    <row r="529" spans="1:24" s="169" customFormat="1" ht="13.8">
      <c r="A529" s="192"/>
      <c r="B529" s="164"/>
      <c r="C529" s="183" t="str">
        <f t="shared" si="46"/>
        <v/>
      </c>
      <c r="D529" s="182" t="str">
        <f t="shared" si="47"/>
        <v/>
      </c>
      <c r="E529" s="192" t="s">
        <v>666</v>
      </c>
      <c r="F529" s="192" t="s">
        <v>795</v>
      </c>
      <c r="G529" s="192" t="s">
        <v>766</v>
      </c>
      <c r="H529" s="210" t="s">
        <v>1440</v>
      </c>
      <c r="I529" s="167">
        <v>5045100000</v>
      </c>
      <c r="J529" s="166"/>
      <c r="K529" s="167">
        <v>4961000000</v>
      </c>
      <c r="L529" s="168">
        <v>84100000</v>
      </c>
      <c r="M529" s="168">
        <f t="shared" si="48"/>
        <v>5045100000</v>
      </c>
      <c r="N529" s="168"/>
      <c r="O529" s="167">
        <v>5045100000</v>
      </c>
      <c r="P529" s="167">
        <f t="shared" si="49"/>
        <v>5045100000</v>
      </c>
      <c r="Q529" s="167"/>
      <c r="S529" s="201">
        <f t="shared" si="50"/>
        <v>5045.1000000000004</v>
      </c>
      <c r="T529" s="201">
        <f t="shared" si="51"/>
        <v>5045.1000000000004</v>
      </c>
      <c r="U529" s="201">
        <f t="shared" si="51"/>
        <v>0</v>
      </c>
      <c r="V529" s="201">
        <f t="shared" si="51"/>
        <v>5045.1000000000004</v>
      </c>
      <c r="W529" s="201">
        <f t="shared" si="51"/>
        <v>5045.1000000000004</v>
      </c>
      <c r="X529" s="201">
        <f t="shared" si="51"/>
        <v>0</v>
      </c>
    </row>
    <row r="530" spans="1:24" s="169" customFormat="1" ht="13.8">
      <c r="A530" s="192"/>
      <c r="B530" s="173"/>
      <c r="C530" s="183" t="str">
        <f t="shared" si="46"/>
        <v/>
      </c>
      <c r="D530" s="182" t="str">
        <f t="shared" si="47"/>
        <v/>
      </c>
      <c r="E530" s="192"/>
      <c r="F530" s="192"/>
      <c r="G530" s="192"/>
      <c r="H530" s="210"/>
      <c r="I530" s="174"/>
      <c r="J530" s="174"/>
      <c r="K530" s="174"/>
      <c r="L530" s="175"/>
      <c r="M530" s="168">
        <f t="shared" si="48"/>
        <v>0</v>
      </c>
      <c r="N530" s="175"/>
      <c r="O530" s="174"/>
      <c r="P530" s="167">
        <f t="shared" si="49"/>
        <v>0</v>
      </c>
      <c r="Q530" s="174"/>
      <c r="S530" s="201">
        <f t="shared" si="50"/>
        <v>0</v>
      </c>
      <c r="T530" s="201">
        <f t="shared" si="51"/>
        <v>0</v>
      </c>
      <c r="U530" s="201">
        <f t="shared" si="51"/>
        <v>0</v>
      </c>
      <c r="V530" s="201">
        <f t="shared" si="51"/>
        <v>0</v>
      </c>
      <c r="W530" s="201">
        <f t="shared" si="51"/>
        <v>0</v>
      </c>
      <c r="X530" s="201">
        <f t="shared" si="51"/>
        <v>0</v>
      </c>
    </row>
    <row r="531" spans="1:24" s="169" customFormat="1" ht="13.8">
      <c r="A531" s="193"/>
      <c r="B531" s="187"/>
      <c r="C531" s="183" t="str">
        <f t="shared" si="46"/>
        <v/>
      </c>
      <c r="D531" s="182" t="str">
        <f t="shared" si="47"/>
        <v/>
      </c>
      <c r="E531" s="192" t="s">
        <v>679</v>
      </c>
      <c r="F531" s="192" t="s">
        <v>795</v>
      </c>
      <c r="G531" s="192" t="s">
        <v>766</v>
      </c>
      <c r="H531" s="210" t="s">
        <v>1440</v>
      </c>
      <c r="I531" s="167">
        <v>119000000</v>
      </c>
      <c r="J531" s="166"/>
      <c r="K531" s="166"/>
      <c r="L531" s="168">
        <v>119000000</v>
      </c>
      <c r="M531" s="168">
        <f t="shared" si="48"/>
        <v>119000000</v>
      </c>
      <c r="N531" s="168"/>
      <c r="O531" s="167">
        <v>119000000</v>
      </c>
      <c r="P531" s="167">
        <f t="shared" si="49"/>
        <v>119000000</v>
      </c>
      <c r="Q531" s="167"/>
      <c r="S531" s="201">
        <f t="shared" si="50"/>
        <v>119</v>
      </c>
      <c r="T531" s="201">
        <f t="shared" si="51"/>
        <v>119</v>
      </c>
      <c r="U531" s="201">
        <f t="shared" si="51"/>
        <v>0</v>
      </c>
      <c r="V531" s="201">
        <f t="shared" si="51"/>
        <v>119</v>
      </c>
      <c r="W531" s="201">
        <f t="shared" si="51"/>
        <v>119</v>
      </c>
      <c r="X531" s="201">
        <f t="shared" si="51"/>
        <v>0</v>
      </c>
    </row>
    <row r="532" spans="1:24" s="169" customFormat="1" ht="13.8">
      <c r="A532" s="194"/>
      <c r="B532" s="184"/>
      <c r="C532" s="183" t="str">
        <f t="shared" si="46"/>
        <v/>
      </c>
      <c r="D532" s="182" t="str">
        <f t="shared" si="47"/>
        <v/>
      </c>
      <c r="E532" s="192" t="s">
        <v>666</v>
      </c>
      <c r="F532" s="192" t="s">
        <v>795</v>
      </c>
      <c r="G532" s="192" t="s">
        <v>911</v>
      </c>
      <c r="H532" s="210" t="s">
        <v>1440</v>
      </c>
      <c r="I532" s="167">
        <v>617000000</v>
      </c>
      <c r="J532" s="166"/>
      <c r="K532" s="167">
        <v>617000000</v>
      </c>
      <c r="L532" s="171"/>
      <c r="M532" s="168">
        <f t="shared" si="48"/>
        <v>617000000</v>
      </c>
      <c r="N532" s="171"/>
      <c r="O532" s="167">
        <v>617000000</v>
      </c>
      <c r="P532" s="167">
        <f t="shared" si="49"/>
        <v>617000000</v>
      </c>
      <c r="Q532" s="167"/>
      <c r="S532" s="201">
        <f t="shared" si="50"/>
        <v>617</v>
      </c>
      <c r="T532" s="201">
        <f t="shared" si="51"/>
        <v>617</v>
      </c>
      <c r="U532" s="201">
        <f t="shared" si="51"/>
        <v>0</v>
      </c>
      <c r="V532" s="201">
        <f t="shared" si="51"/>
        <v>617</v>
      </c>
      <c r="W532" s="201">
        <f t="shared" si="51"/>
        <v>617</v>
      </c>
      <c r="X532" s="201">
        <f t="shared" si="51"/>
        <v>0</v>
      </c>
    </row>
    <row r="533" spans="1:24" s="169" customFormat="1" ht="13.8">
      <c r="A533" s="195"/>
      <c r="B533" s="188"/>
      <c r="C533" s="183" t="str">
        <f t="shared" si="46"/>
        <v/>
      </c>
      <c r="D533" s="182" t="str">
        <f t="shared" si="47"/>
        <v/>
      </c>
      <c r="E533" s="192" t="s">
        <v>679</v>
      </c>
      <c r="F533" s="192" t="s">
        <v>795</v>
      </c>
      <c r="G533" s="192" t="s">
        <v>911</v>
      </c>
      <c r="H533" s="210" t="s">
        <v>1440</v>
      </c>
      <c r="I533" s="167">
        <v>13000000</v>
      </c>
      <c r="J533" s="166"/>
      <c r="K533" s="166"/>
      <c r="L533" s="168">
        <v>13000000</v>
      </c>
      <c r="M533" s="168">
        <f t="shared" si="48"/>
        <v>13000000</v>
      </c>
      <c r="N533" s="168"/>
      <c r="O533" s="167">
        <v>13000000</v>
      </c>
      <c r="P533" s="167">
        <f t="shared" si="49"/>
        <v>13000000</v>
      </c>
      <c r="Q533" s="167"/>
      <c r="S533" s="201">
        <f t="shared" si="50"/>
        <v>13</v>
      </c>
      <c r="T533" s="201">
        <f t="shared" si="51"/>
        <v>13</v>
      </c>
      <c r="U533" s="201">
        <f t="shared" si="51"/>
        <v>0</v>
      </c>
      <c r="V533" s="201">
        <f t="shared" si="51"/>
        <v>13</v>
      </c>
      <c r="W533" s="201">
        <f t="shared" si="51"/>
        <v>13</v>
      </c>
      <c r="X533" s="201">
        <f t="shared" si="51"/>
        <v>0</v>
      </c>
    </row>
    <row r="534" spans="1:24" s="169" customFormat="1" ht="13.8">
      <c r="A534" s="192"/>
      <c r="B534" s="164" t="s">
        <v>680</v>
      </c>
      <c r="C534" s="183" t="str">
        <f t="shared" ref="C534:C597" si="52">IF(B534&lt;&gt;"",IF(AND(LEFT(B534,1)&gt;="0",LEFT(B534,1)&lt;="9"),LEFT(B534,7),""),"")</f>
        <v/>
      </c>
      <c r="D534" s="182" t="str">
        <f t="shared" si="47"/>
        <v/>
      </c>
      <c r="E534" s="206"/>
      <c r="F534" s="207"/>
      <c r="G534" s="207"/>
      <c r="H534" s="205"/>
      <c r="I534" s="167">
        <v>5848989000</v>
      </c>
      <c r="J534" s="167">
        <v>349000000</v>
      </c>
      <c r="K534" s="167">
        <v>3906000000</v>
      </c>
      <c r="L534" s="168">
        <v>1593989000</v>
      </c>
      <c r="M534" s="168">
        <f t="shared" si="48"/>
        <v>5848989000</v>
      </c>
      <c r="N534" s="168"/>
      <c r="O534" s="167">
        <v>5234247600</v>
      </c>
      <c r="P534" s="167">
        <f t="shared" si="49"/>
        <v>5234247600</v>
      </c>
      <c r="Q534" s="167"/>
      <c r="S534" s="201">
        <f t="shared" si="50"/>
        <v>5848.9889999999996</v>
      </c>
      <c r="T534" s="201">
        <f t="shared" si="51"/>
        <v>5848.9889999999996</v>
      </c>
      <c r="U534" s="201">
        <f t="shared" si="51"/>
        <v>0</v>
      </c>
      <c r="V534" s="201">
        <f t="shared" si="51"/>
        <v>5234.2475999999997</v>
      </c>
      <c r="W534" s="201">
        <f t="shared" si="51"/>
        <v>5234.2475999999997</v>
      </c>
      <c r="X534" s="201">
        <f t="shared" si="51"/>
        <v>0</v>
      </c>
    </row>
    <row r="535" spans="1:24" s="169" customFormat="1" ht="13.8">
      <c r="A535" s="193"/>
      <c r="B535" s="187"/>
      <c r="C535" s="183" t="str">
        <f t="shared" si="52"/>
        <v/>
      </c>
      <c r="D535" s="182" t="str">
        <f t="shared" ref="D535:D598" si="53">IF(C535&lt;&gt;"",RIGHT(B535,LEN(B535)-7),"")</f>
        <v/>
      </c>
      <c r="E535" s="192" t="s">
        <v>681</v>
      </c>
      <c r="F535" s="192" t="s">
        <v>795</v>
      </c>
      <c r="G535" s="192" t="s">
        <v>766</v>
      </c>
      <c r="H535" s="210" t="s">
        <v>1440</v>
      </c>
      <c r="I535" s="167">
        <v>266600000</v>
      </c>
      <c r="J535" s="166"/>
      <c r="K535" s="167">
        <v>14000000</v>
      </c>
      <c r="L535" s="168">
        <v>252600000</v>
      </c>
      <c r="M535" s="168">
        <f t="shared" ref="M535:M598" si="54">I535-N535</f>
        <v>266600000</v>
      </c>
      <c r="N535" s="168"/>
      <c r="O535" s="167">
        <v>266270000</v>
      </c>
      <c r="P535" s="167">
        <f t="shared" ref="P535:P598" si="55">O535-Q535</f>
        <v>266270000</v>
      </c>
      <c r="Q535" s="167"/>
      <c r="S535" s="201">
        <f t="shared" ref="S535:S598" si="56">I535/1000000</f>
        <v>266.60000000000002</v>
      </c>
      <c r="T535" s="201">
        <f t="shared" si="51"/>
        <v>266.60000000000002</v>
      </c>
      <c r="U535" s="201">
        <f t="shared" si="51"/>
        <v>0</v>
      </c>
      <c r="V535" s="201">
        <f t="shared" si="51"/>
        <v>266.27</v>
      </c>
      <c r="W535" s="201">
        <f t="shared" si="51"/>
        <v>266.27</v>
      </c>
      <c r="X535" s="201">
        <f t="shared" si="51"/>
        <v>0</v>
      </c>
    </row>
    <row r="536" spans="1:24" s="169" customFormat="1" ht="13.8">
      <c r="A536" s="194"/>
      <c r="B536" s="184"/>
      <c r="C536" s="183" t="str">
        <f t="shared" si="52"/>
        <v/>
      </c>
      <c r="D536" s="182" t="str">
        <f t="shared" si="53"/>
        <v/>
      </c>
      <c r="E536" s="192" t="s">
        <v>681</v>
      </c>
      <c r="F536" s="192" t="s">
        <v>795</v>
      </c>
      <c r="G536" s="192" t="s">
        <v>915</v>
      </c>
      <c r="H536" s="210" t="s">
        <v>1440</v>
      </c>
      <c r="I536" s="167">
        <v>93259000</v>
      </c>
      <c r="J536" s="166"/>
      <c r="K536" s="166"/>
      <c r="L536" s="168">
        <v>93259000</v>
      </c>
      <c r="M536" s="168">
        <f t="shared" si="54"/>
        <v>93259000</v>
      </c>
      <c r="N536" s="168"/>
      <c r="O536" s="167">
        <v>93108000</v>
      </c>
      <c r="P536" s="167">
        <f t="shared" si="55"/>
        <v>93108000</v>
      </c>
      <c r="Q536" s="167"/>
      <c r="S536" s="201">
        <f t="shared" si="56"/>
        <v>93.259</v>
      </c>
      <c r="T536" s="201">
        <f t="shared" si="51"/>
        <v>93.259</v>
      </c>
      <c r="U536" s="201">
        <f t="shared" si="51"/>
        <v>0</v>
      </c>
      <c r="V536" s="201">
        <f t="shared" si="51"/>
        <v>93.108000000000004</v>
      </c>
      <c r="W536" s="201">
        <f t="shared" si="51"/>
        <v>93.108000000000004</v>
      </c>
      <c r="X536" s="201">
        <f t="shared" si="51"/>
        <v>0</v>
      </c>
    </row>
    <row r="537" spans="1:24" s="169" customFormat="1" ht="13.8">
      <c r="A537" s="194"/>
      <c r="B537" s="184"/>
      <c r="C537" s="183" t="str">
        <f t="shared" si="52"/>
        <v/>
      </c>
      <c r="D537" s="182" t="str">
        <f t="shared" si="53"/>
        <v/>
      </c>
      <c r="E537" s="192" t="s">
        <v>681</v>
      </c>
      <c r="F537" s="192" t="s">
        <v>795</v>
      </c>
      <c r="G537" s="192" t="s">
        <v>911</v>
      </c>
      <c r="H537" s="210" t="s">
        <v>1440</v>
      </c>
      <c r="I537" s="167">
        <v>4731730000</v>
      </c>
      <c r="J537" s="167">
        <v>349000000</v>
      </c>
      <c r="K537" s="167">
        <v>3892000000</v>
      </c>
      <c r="L537" s="168">
        <v>490730000</v>
      </c>
      <c r="M537" s="168">
        <f t="shared" si="54"/>
        <v>4731730000</v>
      </c>
      <c r="N537" s="168"/>
      <c r="O537" s="167">
        <v>4717469600</v>
      </c>
      <c r="P537" s="167">
        <f t="shared" si="55"/>
        <v>4717469600</v>
      </c>
      <c r="Q537" s="167"/>
      <c r="S537" s="201">
        <f t="shared" si="56"/>
        <v>4731.7299999999996</v>
      </c>
      <c r="T537" s="201">
        <f t="shared" si="51"/>
        <v>4731.7299999999996</v>
      </c>
      <c r="U537" s="201">
        <f t="shared" si="51"/>
        <v>0</v>
      </c>
      <c r="V537" s="201">
        <f t="shared" si="51"/>
        <v>4717.4696000000004</v>
      </c>
      <c r="W537" s="201">
        <f t="shared" si="51"/>
        <v>4717.4696000000004</v>
      </c>
      <c r="X537" s="201">
        <f t="shared" si="51"/>
        <v>0</v>
      </c>
    </row>
    <row r="538" spans="1:24" s="169" customFormat="1" ht="13.8">
      <c r="A538" s="195"/>
      <c r="B538" s="188"/>
      <c r="C538" s="183" t="str">
        <f t="shared" si="52"/>
        <v/>
      </c>
      <c r="D538" s="182" t="str">
        <f t="shared" si="53"/>
        <v/>
      </c>
      <c r="E538" s="192" t="s">
        <v>667</v>
      </c>
      <c r="F538" s="192" t="s">
        <v>795</v>
      </c>
      <c r="G538" s="192" t="s">
        <v>911</v>
      </c>
      <c r="H538" s="210" t="s">
        <v>1440</v>
      </c>
      <c r="I538" s="167">
        <v>757400000</v>
      </c>
      <c r="J538" s="166"/>
      <c r="K538" s="166"/>
      <c r="L538" s="168">
        <v>757400000</v>
      </c>
      <c r="M538" s="168">
        <f t="shared" si="54"/>
        <v>757400000</v>
      </c>
      <c r="N538" s="168"/>
      <c r="O538" s="167">
        <v>157400000</v>
      </c>
      <c r="P538" s="167">
        <f t="shared" si="55"/>
        <v>157400000</v>
      </c>
      <c r="Q538" s="167"/>
      <c r="S538" s="201">
        <f t="shared" si="56"/>
        <v>757.4</v>
      </c>
      <c r="T538" s="201">
        <f t="shared" si="51"/>
        <v>757.4</v>
      </c>
      <c r="U538" s="201">
        <f t="shared" si="51"/>
        <v>0</v>
      </c>
      <c r="V538" s="201">
        <f t="shared" si="51"/>
        <v>157.4</v>
      </c>
      <c r="W538" s="201">
        <f t="shared" si="51"/>
        <v>157.4</v>
      </c>
      <c r="X538" s="201">
        <f t="shared" si="51"/>
        <v>0</v>
      </c>
    </row>
    <row r="539" spans="1:24" s="169" customFormat="1" ht="13.8">
      <c r="A539" s="192" t="s">
        <v>916</v>
      </c>
      <c r="B539" s="164" t="s">
        <v>731</v>
      </c>
      <c r="C539" s="183" t="str">
        <f t="shared" si="52"/>
        <v/>
      </c>
      <c r="D539" s="182" t="str">
        <f t="shared" si="53"/>
        <v/>
      </c>
      <c r="E539" s="206"/>
      <c r="F539" s="207"/>
      <c r="G539" s="207"/>
      <c r="H539" s="205"/>
      <c r="I539" s="167">
        <v>2454000000</v>
      </c>
      <c r="J539" s="166"/>
      <c r="K539" s="166"/>
      <c r="L539" s="168">
        <v>2454000000</v>
      </c>
      <c r="M539" s="168">
        <f t="shared" si="54"/>
        <v>2454000000</v>
      </c>
      <c r="N539" s="168"/>
      <c r="O539" s="166"/>
      <c r="P539" s="167">
        <f t="shared" si="55"/>
        <v>0</v>
      </c>
      <c r="Q539" s="166"/>
      <c r="S539" s="201">
        <f t="shared" si="56"/>
        <v>2454</v>
      </c>
      <c r="T539" s="201">
        <f t="shared" ref="T539:X589" si="57">M539/1000000</f>
        <v>2454</v>
      </c>
      <c r="U539" s="201">
        <f t="shared" si="57"/>
        <v>0</v>
      </c>
      <c r="V539" s="201">
        <f t="shared" si="57"/>
        <v>0</v>
      </c>
      <c r="W539" s="201">
        <f t="shared" si="57"/>
        <v>0</v>
      </c>
      <c r="X539" s="201">
        <f t="shared" si="57"/>
        <v>0</v>
      </c>
    </row>
    <row r="540" spans="1:24" s="169" customFormat="1" ht="13.8">
      <c r="A540" s="192"/>
      <c r="B540" s="164"/>
      <c r="C540" s="183" t="str">
        <f t="shared" si="52"/>
        <v/>
      </c>
      <c r="D540" s="182" t="str">
        <f t="shared" si="53"/>
        <v/>
      </c>
      <c r="E540" s="192" t="s">
        <v>667</v>
      </c>
      <c r="F540" s="192" t="s">
        <v>795</v>
      </c>
      <c r="G540" s="192" t="s">
        <v>911</v>
      </c>
      <c r="H540" s="210" t="s">
        <v>1449</v>
      </c>
      <c r="I540" s="167">
        <v>2454000000</v>
      </c>
      <c r="J540" s="166"/>
      <c r="K540" s="166"/>
      <c r="L540" s="168">
        <v>2454000000</v>
      </c>
      <c r="M540" s="168">
        <f t="shared" si="54"/>
        <v>2454000000</v>
      </c>
      <c r="N540" s="168"/>
      <c r="O540" s="166"/>
      <c r="P540" s="167">
        <f t="shared" si="55"/>
        <v>0</v>
      </c>
      <c r="Q540" s="166"/>
      <c r="S540" s="201">
        <f t="shared" si="56"/>
        <v>2454</v>
      </c>
      <c r="T540" s="201">
        <f t="shared" si="57"/>
        <v>2454</v>
      </c>
      <c r="U540" s="201">
        <f t="shared" si="57"/>
        <v>0</v>
      </c>
      <c r="V540" s="201">
        <f t="shared" si="57"/>
        <v>0</v>
      </c>
      <c r="W540" s="201">
        <f t="shared" si="57"/>
        <v>0</v>
      </c>
      <c r="X540" s="201">
        <f t="shared" si="57"/>
        <v>0</v>
      </c>
    </row>
    <row r="541" spans="1:24" s="169" customFormat="1" ht="13.8">
      <c r="A541" s="192" t="s">
        <v>917</v>
      </c>
      <c r="B541" s="164" t="s">
        <v>918</v>
      </c>
      <c r="C541" s="183" t="str">
        <f t="shared" si="52"/>
        <v>1037583</v>
      </c>
      <c r="D541" s="182" t="str">
        <f t="shared" si="53"/>
        <v>-Trung tâm Văn hóa Tỉnh</v>
      </c>
      <c r="E541" s="206"/>
      <c r="F541" s="207"/>
      <c r="G541" s="207"/>
      <c r="H541" s="205"/>
      <c r="I541" s="167">
        <v>3766093000</v>
      </c>
      <c r="J541" s="166"/>
      <c r="K541" s="167">
        <v>3355000000</v>
      </c>
      <c r="L541" s="168">
        <v>411093000</v>
      </c>
      <c r="M541" s="168">
        <f t="shared" si="54"/>
        <v>3766093000</v>
      </c>
      <c r="N541" s="168"/>
      <c r="O541" s="167">
        <v>3765673000</v>
      </c>
      <c r="P541" s="167">
        <f t="shared" si="55"/>
        <v>3765673000</v>
      </c>
      <c r="Q541" s="167"/>
      <c r="S541" s="201">
        <f t="shared" si="56"/>
        <v>3766.0929999999998</v>
      </c>
      <c r="T541" s="201">
        <f t="shared" si="57"/>
        <v>3766.0929999999998</v>
      </c>
      <c r="U541" s="201">
        <f t="shared" si="57"/>
        <v>0</v>
      </c>
      <c r="V541" s="201">
        <f t="shared" si="57"/>
        <v>3765.6729999999998</v>
      </c>
      <c r="W541" s="201">
        <f t="shared" si="57"/>
        <v>3765.6729999999998</v>
      </c>
      <c r="X541" s="201">
        <f t="shared" si="57"/>
        <v>0</v>
      </c>
    </row>
    <row r="542" spans="1:24" s="169" customFormat="1" ht="13.8">
      <c r="A542" s="192" t="s">
        <v>919</v>
      </c>
      <c r="B542" s="164" t="s">
        <v>675</v>
      </c>
      <c r="C542" s="183" t="str">
        <f t="shared" si="52"/>
        <v/>
      </c>
      <c r="D542" s="182" t="str">
        <f t="shared" si="53"/>
        <v/>
      </c>
      <c r="E542" s="206"/>
      <c r="F542" s="207"/>
      <c r="G542" s="207"/>
      <c r="H542" s="205"/>
      <c r="I542" s="167">
        <v>3766093000</v>
      </c>
      <c r="J542" s="166"/>
      <c r="K542" s="167">
        <v>3355000000</v>
      </c>
      <c r="L542" s="168">
        <v>411093000</v>
      </c>
      <c r="M542" s="168">
        <f t="shared" si="54"/>
        <v>3766093000</v>
      </c>
      <c r="N542" s="168"/>
      <c r="O542" s="167">
        <v>3765673000</v>
      </c>
      <c r="P542" s="167">
        <f t="shared" si="55"/>
        <v>3765673000</v>
      </c>
      <c r="Q542" s="167"/>
      <c r="S542" s="201">
        <f t="shared" si="56"/>
        <v>3766.0929999999998</v>
      </c>
      <c r="T542" s="201">
        <f t="shared" si="57"/>
        <v>3766.0929999999998</v>
      </c>
      <c r="U542" s="201">
        <f t="shared" si="57"/>
        <v>0</v>
      </c>
      <c r="V542" s="201">
        <f t="shared" si="57"/>
        <v>3765.6729999999998</v>
      </c>
      <c r="W542" s="201">
        <f t="shared" si="57"/>
        <v>3765.6729999999998</v>
      </c>
      <c r="X542" s="201">
        <f t="shared" si="57"/>
        <v>0</v>
      </c>
    </row>
    <row r="543" spans="1:24" s="169" customFormat="1" ht="13.8">
      <c r="A543" s="192"/>
      <c r="B543" s="164" t="s">
        <v>676</v>
      </c>
      <c r="C543" s="183" t="str">
        <f t="shared" si="52"/>
        <v/>
      </c>
      <c r="D543" s="182" t="str">
        <f t="shared" si="53"/>
        <v/>
      </c>
      <c r="E543" s="206"/>
      <c r="F543" s="207"/>
      <c r="G543" s="207"/>
      <c r="H543" s="205"/>
      <c r="I543" s="167">
        <v>1678000000</v>
      </c>
      <c r="J543" s="166"/>
      <c r="K543" s="167">
        <v>1361500000</v>
      </c>
      <c r="L543" s="168">
        <v>316500000</v>
      </c>
      <c r="M543" s="168">
        <f t="shared" si="54"/>
        <v>1678000000</v>
      </c>
      <c r="N543" s="168"/>
      <c r="O543" s="167">
        <v>1678000000</v>
      </c>
      <c r="P543" s="167">
        <f t="shared" si="55"/>
        <v>1678000000</v>
      </c>
      <c r="Q543" s="167"/>
      <c r="S543" s="201">
        <f t="shared" si="56"/>
        <v>1678</v>
      </c>
      <c r="T543" s="201">
        <f t="shared" si="57"/>
        <v>1678</v>
      </c>
      <c r="U543" s="201">
        <f t="shared" si="57"/>
        <v>0</v>
      </c>
      <c r="V543" s="201">
        <f t="shared" si="57"/>
        <v>1678</v>
      </c>
      <c r="W543" s="201">
        <f t="shared" si="57"/>
        <v>1678</v>
      </c>
      <c r="X543" s="201">
        <f t="shared" si="57"/>
        <v>0</v>
      </c>
    </row>
    <row r="544" spans="1:24" s="169" customFormat="1" ht="13.8">
      <c r="A544" s="193"/>
      <c r="B544" s="187"/>
      <c r="C544" s="183" t="str">
        <f t="shared" si="52"/>
        <v/>
      </c>
      <c r="D544" s="182" t="str">
        <f t="shared" si="53"/>
        <v/>
      </c>
      <c r="E544" s="192" t="s">
        <v>666</v>
      </c>
      <c r="F544" s="192" t="s">
        <v>795</v>
      </c>
      <c r="G544" s="192" t="s">
        <v>865</v>
      </c>
      <c r="H544" s="210" t="s">
        <v>1440</v>
      </c>
      <c r="I544" s="167">
        <v>1636000000</v>
      </c>
      <c r="J544" s="166"/>
      <c r="K544" s="167">
        <v>1361500000</v>
      </c>
      <c r="L544" s="168">
        <v>274500000</v>
      </c>
      <c r="M544" s="168">
        <f t="shared" si="54"/>
        <v>1636000000</v>
      </c>
      <c r="N544" s="168"/>
      <c r="O544" s="167">
        <v>1636000000</v>
      </c>
      <c r="P544" s="167">
        <f t="shared" si="55"/>
        <v>1636000000</v>
      </c>
      <c r="Q544" s="167"/>
      <c r="S544" s="201">
        <f t="shared" si="56"/>
        <v>1636</v>
      </c>
      <c r="T544" s="201">
        <f t="shared" si="57"/>
        <v>1636</v>
      </c>
      <c r="U544" s="201">
        <f t="shared" si="57"/>
        <v>0</v>
      </c>
      <c r="V544" s="201">
        <f t="shared" si="57"/>
        <v>1636</v>
      </c>
      <c r="W544" s="201">
        <f t="shared" si="57"/>
        <v>1636</v>
      </c>
      <c r="X544" s="201">
        <f t="shared" si="57"/>
        <v>0</v>
      </c>
    </row>
    <row r="545" spans="1:24" s="169" customFormat="1" ht="13.8">
      <c r="A545" s="195"/>
      <c r="B545" s="188"/>
      <c r="C545" s="183" t="str">
        <f t="shared" si="52"/>
        <v/>
      </c>
      <c r="D545" s="182" t="str">
        <f t="shared" si="53"/>
        <v/>
      </c>
      <c r="E545" s="192" t="s">
        <v>679</v>
      </c>
      <c r="F545" s="192" t="s">
        <v>795</v>
      </c>
      <c r="G545" s="192" t="s">
        <v>865</v>
      </c>
      <c r="H545" s="210" t="s">
        <v>1440</v>
      </c>
      <c r="I545" s="167">
        <v>42000000</v>
      </c>
      <c r="J545" s="166"/>
      <c r="K545" s="166"/>
      <c r="L545" s="168">
        <v>42000000</v>
      </c>
      <c r="M545" s="168">
        <f t="shared" si="54"/>
        <v>42000000</v>
      </c>
      <c r="N545" s="168"/>
      <c r="O545" s="167">
        <v>42000000</v>
      </c>
      <c r="P545" s="167">
        <f t="shared" si="55"/>
        <v>42000000</v>
      </c>
      <c r="Q545" s="167"/>
      <c r="S545" s="201">
        <f t="shared" si="56"/>
        <v>42</v>
      </c>
      <c r="T545" s="201">
        <f t="shared" si="57"/>
        <v>42</v>
      </c>
      <c r="U545" s="201">
        <f t="shared" si="57"/>
        <v>0</v>
      </c>
      <c r="V545" s="201">
        <f t="shared" si="57"/>
        <v>42</v>
      </c>
      <c r="W545" s="201">
        <f t="shared" si="57"/>
        <v>42</v>
      </c>
      <c r="X545" s="201">
        <f t="shared" si="57"/>
        <v>0</v>
      </c>
    </row>
    <row r="546" spans="1:24" s="169" customFormat="1" ht="13.8">
      <c r="A546" s="192"/>
      <c r="B546" s="164" t="s">
        <v>680</v>
      </c>
      <c r="C546" s="183" t="str">
        <f t="shared" si="52"/>
        <v/>
      </c>
      <c r="D546" s="182" t="str">
        <f t="shared" si="53"/>
        <v/>
      </c>
      <c r="E546" s="206"/>
      <c r="F546" s="207"/>
      <c r="G546" s="207"/>
      <c r="H546" s="205"/>
      <c r="I546" s="167">
        <v>2088093000</v>
      </c>
      <c r="J546" s="166"/>
      <c r="K546" s="167">
        <v>1993500000</v>
      </c>
      <c r="L546" s="168">
        <v>94593000</v>
      </c>
      <c r="M546" s="168">
        <f t="shared" si="54"/>
        <v>2088093000</v>
      </c>
      <c r="N546" s="168"/>
      <c r="O546" s="167">
        <v>2087673000</v>
      </c>
      <c r="P546" s="167">
        <f t="shared" si="55"/>
        <v>2087673000</v>
      </c>
      <c r="Q546" s="167"/>
      <c r="S546" s="201">
        <f t="shared" si="56"/>
        <v>2088.0929999999998</v>
      </c>
      <c r="T546" s="201">
        <f t="shared" si="57"/>
        <v>2088.0929999999998</v>
      </c>
      <c r="U546" s="201">
        <f t="shared" si="57"/>
        <v>0</v>
      </c>
      <c r="V546" s="201">
        <f t="shared" si="57"/>
        <v>2087.6729999999998</v>
      </c>
      <c r="W546" s="201">
        <f t="shared" si="57"/>
        <v>2087.6729999999998</v>
      </c>
      <c r="X546" s="201">
        <f t="shared" si="57"/>
        <v>0</v>
      </c>
    </row>
    <row r="547" spans="1:24" s="169" customFormat="1" ht="13.8">
      <c r="A547" s="192"/>
      <c r="B547" s="164"/>
      <c r="C547" s="183" t="str">
        <f t="shared" si="52"/>
        <v/>
      </c>
      <c r="D547" s="182" t="str">
        <f t="shared" si="53"/>
        <v/>
      </c>
      <c r="E547" s="192" t="s">
        <v>681</v>
      </c>
      <c r="F547" s="192" t="s">
        <v>795</v>
      </c>
      <c r="G547" s="192" t="s">
        <v>865</v>
      </c>
      <c r="H547" s="210" t="s">
        <v>1440</v>
      </c>
      <c r="I547" s="167">
        <v>2088093000</v>
      </c>
      <c r="J547" s="166"/>
      <c r="K547" s="167">
        <v>1993500000</v>
      </c>
      <c r="L547" s="168">
        <v>94593000</v>
      </c>
      <c r="M547" s="168">
        <f t="shared" si="54"/>
        <v>2088093000</v>
      </c>
      <c r="N547" s="168"/>
      <c r="O547" s="167">
        <v>2087673000</v>
      </c>
      <c r="P547" s="167">
        <f t="shared" si="55"/>
        <v>2087673000</v>
      </c>
      <c r="Q547" s="167"/>
      <c r="S547" s="201">
        <f t="shared" si="56"/>
        <v>2088.0929999999998</v>
      </c>
      <c r="T547" s="201">
        <f t="shared" si="57"/>
        <v>2088.0929999999998</v>
      </c>
      <c r="U547" s="201">
        <f t="shared" si="57"/>
        <v>0</v>
      </c>
      <c r="V547" s="201">
        <f t="shared" si="57"/>
        <v>2087.6729999999998</v>
      </c>
      <c r="W547" s="201">
        <f t="shared" si="57"/>
        <v>2087.6729999999998</v>
      </c>
      <c r="X547" s="201">
        <f t="shared" si="57"/>
        <v>0</v>
      </c>
    </row>
    <row r="548" spans="1:24" s="169" customFormat="1" ht="26.4">
      <c r="A548" s="192" t="s">
        <v>920</v>
      </c>
      <c r="B548" s="176" t="s">
        <v>921</v>
      </c>
      <c r="C548" s="183" t="str">
        <f t="shared" si="52"/>
        <v>1037584</v>
      </c>
      <c r="D548" s="182" t="str">
        <f t="shared" si="53"/>
        <v>-Trung tâm Văn hóa - nghệ liuậttỉnh Kon Tum</v>
      </c>
      <c r="E548" s="206"/>
      <c r="F548" s="207"/>
      <c r="G548" s="207"/>
      <c r="H548" s="205"/>
      <c r="I548" s="167">
        <v>4484000000</v>
      </c>
      <c r="J548" s="166"/>
      <c r="K548" s="167">
        <v>4023000000</v>
      </c>
      <c r="L548" s="168">
        <v>461000000</v>
      </c>
      <c r="M548" s="168">
        <f t="shared" si="54"/>
        <v>4484000000</v>
      </c>
      <c r="N548" s="168"/>
      <c r="O548" s="167">
        <v>4471904200</v>
      </c>
      <c r="P548" s="167">
        <f t="shared" si="55"/>
        <v>4471904200</v>
      </c>
      <c r="Q548" s="167"/>
      <c r="S548" s="201">
        <f t="shared" si="56"/>
        <v>4484</v>
      </c>
      <c r="T548" s="201">
        <f t="shared" si="57"/>
        <v>4484</v>
      </c>
      <c r="U548" s="201">
        <f t="shared" si="57"/>
        <v>0</v>
      </c>
      <c r="V548" s="201">
        <f t="shared" si="57"/>
        <v>4471.9041999999999</v>
      </c>
      <c r="W548" s="201">
        <f t="shared" si="57"/>
        <v>4471.9041999999999</v>
      </c>
      <c r="X548" s="201">
        <f t="shared" si="57"/>
        <v>0</v>
      </c>
    </row>
    <row r="549" spans="1:24" s="169" customFormat="1" ht="13.8">
      <c r="A549" s="192" t="s">
        <v>922</v>
      </c>
      <c r="B549" s="164" t="s">
        <v>675</v>
      </c>
      <c r="C549" s="183" t="str">
        <f t="shared" si="52"/>
        <v/>
      </c>
      <c r="D549" s="182" t="str">
        <f t="shared" si="53"/>
        <v/>
      </c>
      <c r="E549" s="206"/>
      <c r="F549" s="207"/>
      <c r="G549" s="207"/>
      <c r="H549" s="205"/>
      <c r="I549" s="167">
        <v>4484000000</v>
      </c>
      <c r="J549" s="166"/>
      <c r="K549" s="167">
        <v>4023000000</v>
      </c>
      <c r="L549" s="168">
        <v>461000000</v>
      </c>
      <c r="M549" s="168">
        <f t="shared" si="54"/>
        <v>4484000000</v>
      </c>
      <c r="N549" s="168"/>
      <c r="O549" s="167">
        <v>4471904200</v>
      </c>
      <c r="P549" s="167">
        <f t="shared" si="55"/>
        <v>4471904200</v>
      </c>
      <c r="Q549" s="167"/>
      <c r="S549" s="201">
        <f t="shared" si="56"/>
        <v>4484</v>
      </c>
      <c r="T549" s="201">
        <f t="shared" si="57"/>
        <v>4484</v>
      </c>
      <c r="U549" s="201">
        <f t="shared" si="57"/>
        <v>0</v>
      </c>
      <c r="V549" s="201">
        <f t="shared" si="57"/>
        <v>4471.9041999999999</v>
      </c>
      <c r="W549" s="201">
        <f t="shared" si="57"/>
        <v>4471.9041999999999</v>
      </c>
      <c r="X549" s="201">
        <f t="shared" si="57"/>
        <v>0</v>
      </c>
    </row>
    <row r="550" spans="1:24" s="169" customFormat="1" ht="13.8">
      <c r="A550" s="192"/>
      <c r="B550" s="164" t="s">
        <v>676</v>
      </c>
      <c r="C550" s="183" t="str">
        <f t="shared" si="52"/>
        <v/>
      </c>
      <c r="D550" s="182" t="str">
        <f t="shared" si="53"/>
        <v/>
      </c>
      <c r="E550" s="206"/>
      <c r="F550" s="207"/>
      <c r="G550" s="207"/>
      <c r="H550" s="205"/>
      <c r="I550" s="167">
        <v>2618200000</v>
      </c>
      <c r="J550" s="166"/>
      <c r="K550" s="167">
        <v>2374000000</v>
      </c>
      <c r="L550" s="168">
        <v>244200000</v>
      </c>
      <c r="M550" s="168">
        <f t="shared" si="54"/>
        <v>2618200000</v>
      </c>
      <c r="N550" s="168"/>
      <c r="O550" s="167">
        <v>2618200000</v>
      </c>
      <c r="P550" s="167">
        <f t="shared" si="55"/>
        <v>2618200000</v>
      </c>
      <c r="Q550" s="167"/>
      <c r="S550" s="201">
        <f t="shared" si="56"/>
        <v>2618.1999999999998</v>
      </c>
      <c r="T550" s="201">
        <f t="shared" si="57"/>
        <v>2618.1999999999998</v>
      </c>
      <c r="U550" s="201">
        <f t="shared" si="57"/>
        <v>0</v>
      </c>
      <c r="V550" s="201">
        <f t="shared" si="57"/>
        <v>2618.1999999999998</v>
      </c>
      <c r="W550" s="201">
        <f t="shared" si="57"/>
        <v>2618.1999999999998</v>
      </c>
      <c r="X550" s="201">
        <f t="shared" si="57"/>
        <v>0</v>
      </c>
    </row>
    <row r="551" spans="1:24" s="169" customFormat="1" ht="13.8">
      <c r="A551" s="193"/>
      <c r="B551" s="187"/>
      <c r="C551" s="183" t="str">
        <f t="shared" si="52"/>
        <v/>
      </c>
      <c r="D551" s="182" t="str">
        <f t="shared" si="53"/>
        <v/>
      </c>
      <c r="E551" s="192" t="s">
        <v>666</v>
      </c>
      <c r="F551" s="192" t="s">
        <v>795</v>
      </c>
      <c r="G551" s="192" t="s">
        <v>911</v>
      </c>
      <c r="H551" s="210" t="s">
        <v>1440</v>
      </c>
      <c r="I551" s="167">
        <v>2553000000</v>
      </c>
      <c r="J551" s="166"/>
      <c r="K551" s="167">
        <v>2374000000</v>
      </c>
      <c r="L551" s="168">
        <v>179000000</v>
      </c>
      <c r="M551" s="168">
        <f t="shared" si="54"/>
        <v>2553000000</v>
      </c>
      <c r="N551" s="168"/>
      <c r="O551" s="167">
        <v>2553000000</v>
      </c>
      <c r="P551" s="167">
        <f t="shared" si="55"/>
        <v>2553000000</v>
      </c>
      <c r="Q551" s="167"/>
      <c r="S551" s="201">
        <f t="shared" si="56"/>
        <v>2553</v>
      </c>
      <c r="T551" s="201">
        <f t="shared" si="57"/>
        <v>2553</v>
      </c>
      <c r="U551" s="201">
        <f t="shared" si="57"/>
        <v>0</v>
      </c>
      <c r="V551" s="201">
        <f t="shared" si="57"/>
        <v>2553</v>
      </c>
      <c r="W551" s="201">
        <f t="shared" si="57"/>
        <v>2553</v>
      </c>
      <c r="X551" s="201">
        <f t="shared" si="57"/>
        <v>0</v>
      </c>
    </row>
    <row r="552" spans="1:24" s="169" customFormat="1" ht="13.8">
      <c r="A552" s="195"/>
      <c r="B552" s="188"/>
      <c r="C552" s="183" t="str">
        <f t="shared" si="52"/>
        <v/>
      </c>
      <c r="D552" s="182" t="str">
        <f t="shared" si="53"/>
        <v/>
      </c>
      <c r="E552" s="192" t="s">
        <v>679</v>
      </c>
      <c r="F552" s="192" t="s">
        <v>795</v>
      </c>
      <c r="G552" s="192" t="s">
        <v>911</v>
      </c>
      <c r="H552" s="210" t="s">
        <v>1440</v>
      </c>
      <c r="I552" s="167">
        <v>65200000</v>
      </c>
      <c r="J552" s="166"/>
      <c r="K552" s="166"/>
      <c r="L552" s="168">
        <v>65200000</v>
      </c>
      <c r="M552" s="168">
        <f t="shared" si="54"/>
        <v>65200000</v>
      </c>
      <c r="N552" s="168"/>
      <c r="O552" s="167">
        <v>65200000</v>
      </c>
      <c r="P552" s="167">
        <f t="shared" si="55"/>
        <v>65200000</v>
      </c>
      <c r="Q552" s="167"/>
      <c r="S552" s="201">
        <f t="shared" si="56"/>
        <v>65.2</v>
      </c>
      <c r="T552" s="201">
        <f t="shared" si="57"/>
        <v>65.2</v>
      </c>
      <c r="U552" s="201">
        <f t="shared" si="57"/>
        <v>0</v>
      </c>
      <c r="V552" s="201">
        <f t="shared" si="57"/>
        <v>65.2</v>
      </c>
      <c r="W552" s="201">
        <f t="shared" si="57"/>
        <v>65.2</v>
      </c>
      <c r="X552" s="201">
        <f t="shared" si="57"/>
        <v>0</v>
      </c>
    </row>
    <row r="553" spans="1:24" s="169" customFormat="1" ht="13.8">
      <c r="A553" s="192"/>
      <c r="B553" s="164" t="s">
        <v>680</v>
      </c>
      <c r="C553" s="183" t="str">
        <f t="shared" si="52"/>
        <v/>
      </c>
      <c r="D553" s="182" t="str">
        <f t="shared" si="53"/>
        <v/>
      </c>
      <c r="E553" s="206"/>
      <c r="F553" s="207"/>
      <c r="G553" s="207"/>
      <c r="H553" s="205"/>
      <c r="I553" s="167">
        <v>1865800000</v>
      </c>
      <c r="J553" s="166"/>
      <c r="K553" s="167">
        <v>1649000000</v>
      </c>
      <c r="L553" s="168">
        <v>216800000</v>
      </c>
      <c r="M553" s="168">
        <f t="shared" si="54"/>
        <v>1865800000</v>
      </c>
      <c r="N553" s="168"/>
      <c r="O553" s="167">
        <v>1853704200</v>
      </c>
      <c r="P553" s="167">
        <f t="shared" si="55"/>
        <v>1853704200</v>
      </c>
      <c r="Q553" s="167"/>
      <c r="S553" s="201">
        <f t="shared" si="56"/>
        <v>1865.8</v>
      </c>
      <c r="T553" s="201">
        <f t="shared" si="57"/>
        <v>1865.8</v>
      </c>
      <c r="U553" s="201">
        <f t="shared" si="57"/>
        <v>0</v>
      </c>
      <c r="V553" s="201">
        <f t="shared" si="57"/>
        <v>1853.7041999999999</v>
      </c>
      <c r="W553" s="201">
        <f t="shared" si="57"/>
        <v>1853.7041999999999</v>
      </c>
      <c r="X553" s="201">
        <f t="shared" si="57"/>
        <v>0</v>
      </c>
    </row>
    <row r="554" spans="1:24" s="169" customFormat="1" ht="13.8">
      <c r="A554" s="192"/>
      <c r="B554" s="164"/>
      <c r="C554" s="183" t="str">
        <f t="shared" si="52"/>
        <v/>
      </c>
      <c r="D554" s="182" t="str">
        <f t="shared" si="53"/>
        <v/>
      </c>
      <c r="E554" s="192" t="s">
        <v>681</v>
      </c>
      <c r="F554" s="192" t="s">
        <v>795</v>
      </c>
      <c r="G554" s="192" t="s">
        <v>911</v>
      </c>
      <c r="H554" s="210" t="s">
        <v>1440</v>
      </c>
      <c r="I554" s="167">
        <v>1865800000</v>
      </c>
      <c r="J554" s="166"/>
      <c r="K554" s="167">
        <v>1649000000</v>
      </c>
      <c r="L554" s="168">
        <v>216800000</v>
      </c>
      <c r="M554" s="168">
        <f t="shared" si="54"/>
        <v>1865800000</v>
      </c>
      <c r="N554" s="168"/>
      <c r="O554" s="167">
        <v>1853704200</v>
      </c>
      <c r="P554" s="167">
        <f t="shared" si="55"/>
        <v>1853704200</v>
      </c>
      <c r="Q554" s="167"/>
      <c r="S554" s="201">
        <f t="shared" si="56"/>
        <v>1865.8</v>
      </c>
      <c r="T554" s="201">
        <f t="shared" si="57"/>
        <v>1865.8</v>
      </c>
      <c r="U554" s="201">
        <f t="shared" si="57"/>
        <v>0</v>
      </c>
      <c r="V554" s="201">
        <f t="shared" si="57"/>
        <v>1853.7041999999999</v>
      </c>
      <c r="W554" s="201">
        <f t="shared" si="57"/>
        <v>1853.7041999999999</v>
      </c>
      <c r="X554" s="201">
        <f t="shared" si="57"/>
        <v>0</v>
      </c>
    </row>
    <row r="555" spans="1:24" s="169" customFormat="1" ht="13.8">
      <c r="A555" s="192" t="s">
        <v>923</v>
      </c>
      <c r="B555" s="164" t="s">
        <v>924</v>
      </c>
      <c r="C555" s="183" t="str">
        <f t="shared" si="52"/>
        <v>1037585</v>
      </c>
      <c r="D555" s="182" t="str">
        <f t="shared" si="53"/>
        <v>-Hội văn học Nghệ thuật</v>
      </c>
      <c r="E555" s="206"/>
      <c r="F555" s="207"/>
      <c r="G555" s="207"/>
      <c r="H555" s="205"/>
      <c r="I555" s="167">
        <v>1426869000</v>
      </c>
      <c r="J555" s="167">
        <v>100169000</v>
      </c>
      <c r="K555" s="167">
        <v>656000000</v>
      </c>
      <c r="L555" s="168">
        <v>670700000</v>
      </c>
      <c r="M555" s="168">
        <f t="shared" si="54"/>
        <v>1426869000</v>
      </c>
      <c r="N555" s="168"/>
      <c r="O555" s="167">
        <v>1107797303</v>
      </c>
      <c r="P555" s="167">
        <f t="shared" si="55"/>
        <v>1107797303</v>
      </c>
      <c r="Q555" s="167"/>
      <c r="S555" s="201">
        <f t="shared" si="56"/>
        <v>1426.8689999999999</v>
      </c>
      <c r="T555" s="201">
        <f t="shared" si="57"/>
        <v>1426.8689999999999</v>
      </c>
      <c r="U555" s="201">
        <f t="shared" si="57"/>
        <v>0</v>
      </c>
      <c r="V555" s="201">
        <f t="shared" si="57"/>
        <v>1107.7973030000001</v>
      </c>
      <c r="W555" s="201">
        <f t="shared" si="57"/>
        <v>1107.7973030000001</v>
      </c>
      <c r="X555" s="201">
        <f t="shared" si="57"/>
        <v>0</v>
      </c>
    </row>
    <row r="556" spans="1:24" s="169" customFormat="1" ht="13.8">
      <c r="A556" s="192" t="s">
        <v>925</v>
      </c>
      <c r="B556" s="164" t="s">
        <v>675</v>
      </c>
      <c r="C556" s="183" t="str">
        <f t="shared" si="52"/>
        <v/>
      </c>
      <c r="D556" s="182" t="str">
        <f t="shared" si="53"/>
        <v/>
      </c>
      <c r="E556" s="206"/>
      <c r="F556" s="207"/>
      <c r="G556" s="207"/>
      <c r="H556" s="205"/>
      <c r="I556" s="167">
        <v>1426869000</v>
      </c>
      <c r="J556" s="167">
        <v>100169000</v>
      </c>
      <c r="K556" s="167">
        <v>656000000</v>
      </c>
      <c r="L556" s="168">
        <v>670700000</v>
      </c>
      <c r="M556" s="168">
        <f t="shared" si="54"/>
        <v>1426869000</v>
      </c>
      <c r="N556" s="168"/>
      <c r="O556" s="167">
        <v>1107797303</v>
      </c>
      <c r="P556" s="167">
        <f t="shared" si="55"/>
        <v>1107797303</v>
      </c>
      <c r="Q556" s="167"/>
      <c r="S556" s="201">
        <f t="shared" si="56"/>
        <v>1426.8689999999999</v>
      </c>
      <c r="T556" s="201">
        <f t="shared" si="57"/>
        <v>1426.8689999999999</v>
      </c>
      <c r="U556" s="201">
        <f t="shared" si="57"/>
        <v>0</v>
      </c>
      <c r="V556" s="201">
        <f t="shared" si="57"/>
        <v>1107.7973030000001</v>
      </c>
      <c r="W556" s="201">
        <f t="shared" si="57"/>
        <v>1107.7973030000001</v>
      </c>
      <c r="X556" s="201">
        <f t="shared" si="57"/>
        <v>0</v>
      </c>
    </row>
    <row r="557" spans="1:24" s="169" customFormat="1" ht="13.8">
      <c r="A557" s="192"/>
      <c r="B557" s="164" t="s">
        <v>680</v>
      </c>
      <c r="C557" s="183" t="str">
        <f t="shared" si="52"/>
        <v/>
      </c>
      <c r="D557" s="182" t="str">
        <f t="shared" si="53"/>
        <v/>
      </c>
      <c r="E557" s="206"/>
      <c r="F557" s="207"/>
      <c r="G557" s="207"/>
      <c r="H557" s="205"/>
      <c r="I557" s="167">
        <v>1426869000</v>
      </c>
      <c r="J557" s="167">
        <v>100169000</v>
      </c>
      <c r="K557" s="167">
        <v>656000000</v>
      </c>
      <c r="L557" s="168">
        <v>670700000</v>
      </c>
      <c r="M557" s="168">
        <f t="shared" si="54"/>
        <v>1426869000</v>
      </c>
      <c r="N557" s="168"/>
      <c r="O557" s="167">
        <v>1107797303</v>
      </c>
      <c r="P557" s="167">
        <f t="shared" si="55"/>
        <v>1107797303</v>
      </c>
      <c r="Q557" s="167"/>
      <c r="S557" s="201">
        <f t="shared" si="56"/>
        <v>1426.8689999999999</v>
      </c>
      <c r="T557" s="201">
        <f t="shared" si="57"/>
        <v>1426.8689999999999</v>
      </c>
      <c r="U557" s="201">
        <f t="shared" si="57"/>
        <v>0</v>
      </c>
      <c r="V557" s="201">
        <f t="shared" si="57"/>
        <v>1107.7973030000001</v>
      </c>
      <c r="W557" s="201">
        <f t="shared" si="57"/>
        <v>1107.7973030000001</v>
      </c>
      <c r="X557" s="201">
        <f t="shared" si="57"/>
        <v>0</v>
      </c>
    </row>
    <row r="558" spans="1:24" s="169" customFormat="1" ht="13.8">
      <c r="A558" s="193"/>
      <c r="B558" s="187"/>
      <c r="C558" s="183" t="str">
        <f t="shared" si="52"/>
        <v/>
      </c>
      <c r="D558" s="182" t="str">
        <f t="shared" si="53"/>
        <v/>
      </c>
      <c r="E558" s="192" t="s">
        <v>681</v>
      </c>
      <c r="F558" s="192" t="s">
        <v>926</v>
      </c>
      <c r="G558" s="192" t="s">
        <v>786</v>
      </c>
      <c r="H558" s="210" t="s">
        <v>1440</v>
      </c>
      <c r="I558" s="167">
        <v>841000000</v>
      </c>
      <c r="J558" s="166"/>
      <c r="K558" s="167">
        <v>656000000</v>
      </c>
      <c r="L558" s="168">
        <v>185000000</v>
      </c>
      <c r="M558" s="168">
        <f t="shared" si="54"/>
        <v>841000000</v>
      </c>
      <c r="N558" s="168"/>
      <c r="O558" s="167">
        <v>841000000</v>
      </c>
      <c r="P558" s="167">
        <f t="shared" si="55"/>
        <v>841000000</v>
      </c>
      <c r="Q558" s="167"/>
      <c r="S558" s="201">
        <f t="shared" si="56"/>
        <v>841</v>
      </c>
      <c r="T558" s="201">
        <f t="shared" si="57"/>
        <v>841</v>
      </c>
      <c r="U558" s="201">
        <f t="shared" si="57"/>
        <v>0</v>
      </c>
      <c r="V558" s="201">
        <f t="shared" si="57"/>
        <v>841</v>
      </c>
      <c r="W558" s="201">
        <f t="shared" si="57"/>
        <v>841</v>
      </c>
      <c r="X558" s="201">
        <f t="shared" si="57"/>
        <v>0</v>
      </c>
    </row>
    <row r="559" spans="1:24" s="169" customFormat="1" ht="13.8">
      <c r="A559" s="194"/>
      <c r="B559" s="184"/>
      <c r="C559" s="183" t="str">
        <f t="shared" si="52"/>
        <v/>
      </c>
      <c r="D559" s="182" t="str">
        <f t="shared" si="53"/>
        <v/>
      </c>
      <c r="E559" s="192" t="s">
        <v>679</v>
      </c>
      <c r="F559" s="192" t="s">
        <v>926</v>
      </c>
      <c r="G559" s="192" t="s">
        <v>786</v>
      </c>
      <c r="H559" s="210" t="s">
        <v>1440</v>
      </c>
      <c r="I559" s="167">
        <v>10700000</v>
      </c>
      <c r="J559" s="166"/>
      <c r="K559" s="166"/>
      <c r="L559" s="168">
        <v>10700000</v>
      </c>
      <c r="M559" s="168">
        <f t="shared" si="54"/>
        <v>10700000</v>
      </c>
      <c r="N559" s="168"/>
      <c r="O559" s="167">
        <v>10700000</v>
      </c>
      <c r="P559" s="167">
        <f t="shared" si="55"/>
        <v>10700000</v>
      </c>
      <c r="Q559" s="167"/>
      <c r="S559" s="201">
        <f t="shared" si="56"/>
        <v>10.7</v>
      </c>
      <c r="T559" s="201">
        <f t="shared" si="57"/>
        <v>10.7</v>
      </c>
      <c r="U559" s="201">
        <f t="shared" si="57"/>
        <v>0</v>
      </c>
      <c r="V559" s="201">
        <f t="shared" si="57"/>
        <v>10.7</v>
      </c>
      <c r="W559" s="201">
        <f t="shared" si="57"/>
        <v>10.7</v>
      </c>
      <c r="X559" s="201">
        <f t="shared" si="57"/>
        <v>0</v>
      </c>
    </row>
    <row r="560" spans="1:24" s="169" customFormat="1" ht="13.8">
      <c r="A560" s="195"/>
      <c r="B560" s="188"/>
      <c r="C560" s="183" t="str">
        <f t="shared" si="52"/>
        <v/>
      </c>
      <c r="D560" s="182" t="str">
        <f t="shared" si="53"/>
        <v/>
      </c>
      <c r="E560" s="192" t="s">
        <v>667</v>
      </c>
      <c r="F560" s="192" t="s">
        <v>926</v>
      </c>
      <c r="G560" s="192" t="s">
        <v>786</v>
      </c>
      <c r="H560" s="210" t="s">
        <v>1440</v>
      </c>
      <c r="I560" s="167">
        <v>575169000</v>
      </c>
      <c r="J560" s="167">
        <v>100169000</v>
      </c>
      <c r="K560" s="166"/>
      <c r="L560" s="168">
        <v>475000000</v>
      </c>
      <c r="M560" s="168">
        <f t="shared" si="54"/>
        <v>575169000</v>
      </c>
      <c r="N560" s="168"/>
      <c r="O560" s="167">
        <v>256097303</v>
      </c>
      <c r="P560" s="167">
        <f t="shared" si="55"/>
        <v>256097303</v>
      </c>
      <c r="Q560" s="167"/>
      <c r="S560" s="201">
        <f t="shared" si="56"/>
        <v>575.16899999999998</v>
      </c>
      <c r="T560" s="201">
        <f t="shared" si="57"/>
        <v>575.16899999999998</v>
      </c>
      <c r="U560" s="201">
        <f t="shared" si="57"/>
        <v>0</v>
      </c>
      <c r="V560" s="201">
        <f t="shared" si="57"/>
        <v>256.09730300000001</v>
      </c>
      <c r="W560" s="201">
        <f t="shared" si="57"/>
        <v>256.09730300000001</v>
      </c>
      <c r="X560" s="201">
        <f t="shared" si="57"/>
        <v>0</v>
      </c>
    </row>
    <row r="561" spans="1:24" s="169" customFormat="1" ht="13.8">
      <c r="A561" s="192"/>
      <c r="B561" s="173"/>
      <c r="C561" s="183" t="str">
        <f t="shared" si="52"/>
        <v/>
      </c>
      <c r="D561" s="182" t="str">
        <f t="shared" si="53"/>
        <v/>
      </c>
      <c r="E561" s="192"/>
      <c r="F561" s="192"/>
      <c r="G561" s="192"/>
      <c r="H561" s="210"/>
      <c r="I561" s="174"/>
      <c r="J561" s="174"/>
      <c r="K561" s="174"/>
      <c r="L561" s="175"/>
      <c r="M561" s="168">
        <f t="shared" si="54"/>
        <v>0</v>
      </c>
      <c r="N561" s="175"/>
      <c r="O561" s="174"/>
      <c r="P561" s="167">
        <f t="shared" si="55"/>
        <v>0</v>
      </c>
      <c r="Q561" s="174"/>
      <c r="S561" s="201">
        <f t="shared" si="56"/>
        <v>0</v>
      </c>
      <c r="T561" s="201">
        <f t="shared" si="57"/>
        <v>0</v>
      </c>
      <c r="U561" s="201">
        <f t="shared" si="57"/>
        <v>0</v>
      </c>
      <c r="V561" s="201">
        <f t="shared" si="57"/>
        <v>0</v>
      </c>
      <c r="W561" s="201">
        <f t="shared" si="57"/>
        <v>0</v>
      </c>
      <c r="X561" s="201">
        <f t="shared" si="57"/>
        <v>0</v>
      </c>
    </row>
    <row r="562" spans="1:24" s="169" customFormat="1" ht="26.4">
      <c r="A562" s="192" t="s">
        <v>927</v>
      </c>
      <c r="B562" s="165" t="s">
        <v>928</v>
      </c>
      <c r="C562" s="183" t="str">
        <f t="shared" si="52"/>
        <v>1037641</v>
      </c>
      <c r="D562" s="182" t="str">
        <f t="shared" si="53"/>
        <v>-Đài Phát thanh và TruyỄn lình</v>
      </c>
      <c r="E562" s="206"/>
      <c r="F562" s="207"/>
      <c r="G562" s="207"/>
      <c r="H562" s="205"/>
      <c r="I562" s="167">
        <v>11672727000</v>
      </c>
      <c r="J562" s="166"/>
      <c r="K562" s="167">
        <v>11256000000</v>
      </c>
      <c r="L562" s="168">
        <v>416727000</v>
      </c>
      <c r="M562" s="168">
        <f t="shared" si="54"/>
        <v>11672727000</v>
      </c>
      <c r="N562" s="168"/>
      <c r="O562" s="167">
        <v>11672727000</v>
      </c>
      <c r="P562" s="167">
        <f t="shared" si="55"/>
        <v>11672727000</v>
      </c>
      <c r="Q562" s="167"/>
      <c r="S562" s="201">
        <f t="shared" si="56"/>
        <v>11672.727000000001</v>
      </c>
      <c r="T562" s="201">
        <f t="shared" si="57"/>
        <v>11672.727000000001</v>
      </c>
      <c r="U562" s="201">
        <f t="shared" si="57"/>
        <v>0</v>
      </c>
      <c r="V562" s="201">
        <f t="shared" si="57"/>
        <v>11672.727000000001</v>
      </c>
      <c r="W562" s="201">
        <f t="shared" si="57"/>
        <v>11672.727000000001</v>
      </c>
      <c r="X562" s="201">
        <f t="shared" si="57"/>
        <v>0</v>
      </c>
    </row>
    <row r="563" spans="1:24" s="169" customFormat="1" ht="13.8">
      <c r="A563" s="192" t="s">
        <v>929</v>
      </c>
      <c r="B563" s="170" t="s">
        <v>689</v>
      </c>
      <c r="C563" s="183" t="str">
        <f t="shared" si="52"/>
        <v/>
      </c>
      <c r="D563" s="182" t="str">
        <f t="shared" si="53"/>
        <v/>
      </c>
      <c r="E563" s="206"/>
      <c r="F563" s="207"/>
      <c r="G563" s="207"/>
      <c r="H563" s="205"/>
      <c r="I563" s="167">
        <v>11672727000</v>
      </c>
      <c r="J563" s="166"/>
      <c r="K563" s="167">
        <v>11256000000</v>
      </c>
      <c r="L563" s="168">
        <v>416727000</v>
      </c>
      <c r="M563" s="168">
        <f t="shared" si="54"/>
        <v>11672727000</v>
      </c>
      <c r="N563" s="168"/>
      <c r="O563" s="167">
        <v>11672727000</v>
      </c>
      <c r="P563" s="167">
        <f t="shared" si="55"/>
        <v>11672727000</v>
      </c>
      <c r="Q563" s="167"/>
      <c r="S563" s="201">
        <f t="shared" si="56"/>
        <v>11672.727000000001</v>
      </c>
      <c r="T563" s="201">
        <f t="shared" si="57"/>
        <v>11672.727000000001</v>
      </c>
      <c r="U563" s="201">
        <f t="shared" si="57"/>
        <v>0</v>
      </c>
      <c r="V563" s="201">
        <f t="shared" si="57"/>
        <v>11672.727000000001</v>
      </c>
      <c r="W563" s="201">
        <f t="shared" si="57"/>
        <v>11672.727000000001</v>
      </c>
      <c r="X563" s="201">
        <f t="shared" si="57"/>
        <v>0</v>
      </c>
    </row>
    <row r="564" spans="1:24" s="169" customFormat="1" ht="13.8">
      <c r="A564" s="192"/>
      <c r="B564" s="170" t="s">
        <v>690</v>
      </c>
      <c r="C564" s="183" t="str">
        <f t="shared" si="52"/>
        <v/>
      </c>
      <c r="D564" s="182" t="str">
        <f t="shared" si="53"/>
        <v/>
      </c>
      <c r="E564" s="206"/>
      <c r="F564" s="207"/>
      <c r="G564" s="207"/>
      <c r="H564" s="205"/>
      <c r="I564" s="167">
        <v>9714000000</v>
      </c>
      <c r="J564" s="166"/>
      <c r="K564" s="167">
        <v>9714000000</v>
      </c>
      <c r="L564" s="171"/>
      <c r="M564" s="168">
        <f t="shared" si="54"/>
        <v>9714000000</v>
      </c>
      <c r="N564" s="171"/>
      <c r="O564" s="167">
        <v>9714000000</v>
      </c>
      <c r="P564" s="167">
        <f t="shared" si="55"/>
        <v>9714000000</v>
      </c>
      <c r="Q564" s="167"/>
      <c r="S564" s="201">
        <f t="shared" si="56"/>
        <v>9714</v>
      </c>
      <c r="T564" s="201">
        <f t="shared" si="57"/>
        <v>9714</v>
      </c>
      <c r="U564" s="201">
        <f t="shared" si="57"/>
        <v>0</v>
      </c>
      <c r="V564" s="201">
        <f t="shared" si="57"/>
        <v>9714</v>
      </c>
      <c r="W564" s="201">
        <f t="shared" si="57"/>
        <v>9714</v>
      </c>
      <c r="X564" s="201">
        <f t="shared" si="57"/>
        <v>0</v>
      </c>
    </row>
    <row r="565" spans="1:24" s="169" customFormat="1" ht="13.8">
      <c r="A565" s="192"/>
      <c r="B565" s="164"/>
      <c r="C565" s="183" t="str">
        <f t="shared" si="52"/>
        <v/>
      </c>
      <c r="D565" s="182" t="str">
        <f t="shared" si="53"/>
        <v/>
      </c>
      <c r="E565" s="192" t="s">
        <v>666</v>
      </c>
      <c r="F565" s="192" t="s">
        <v>930</v>
      </c>
      <c r="G565" s="192" t="s">
        <v>931</v>
      </c>
      <c r="H565" s="210" t="s">
        <v>1440</v>
      </c>
      <c r="I565" s="167">
        <v>9714000000</v>
      </c>
      <c r="J565" s="166"/>
      <c r="K565" s="167">
        <v>9714000000</v>
      </c>
      <c r="L565" s="171"/>
      <c r="M565" s="168">
        <f t="shared" si="54"/>
        <v>9714000000</v>
      </c>
      <c r="N565" s="171"/>
      <c r="O565" s="167">
        <v>9714000000</v>
      </c>
      <c r="P565" s="167">
        <f t="shared" si="55"/>
        <v>9714000000</v>
      </c>
      <c r="Q565" s="167"/>
      <c r="S565" s="201">
        <f t="shared" si="56"/>
        <v>9714</v>
      </c>
      <c r="T565" s="201">
        <f t="shared" si="57"/>
        <v>9714</v>
      </c>
      <c r="U565" s="201">
        <f t="shared" si="57"/>
        <v>0</v>
      </c>
      <c r="V565" s="201">
        <f t="shared" si="57"/>
        <v>9714</v>
      </c>
      <c r="W565" s="201">
        <f t="shared" si="57"/>
        <v>9714</v>
      </c>
      <c r="X565" s="201">
        <f t="shared" si="57"/>
        <v>0</v>
      </c>
    </row>
    <row r="566" spans="1:24" s="169" customFormat="1" ht="13.8">
      <c r="A566" s="192"/>
      <c r="B566" s="170" t="s">
        <v>686</v>
      </c>
      <c r="C566" s="183" t="str">
        <f t="shared" si="52"/>
        <v/>
      </c>
      <c r="D566" s="182" t="str">
        <f t="shared" si="53"/>
        <v/>
      </c>
      <c r="E566" s="206"/>
      <c r="F566" s="207"/>
      <c r="G566" s="207"/>
      <c r="H566" s="205"/>
      <c r="I566" s="167">
        <v>1958727000</v>
      </c>
      <c r="J566" s="166"/>
      <c r="K566" s="167">
        <v>1542000000</v>
      </c>
      <c r="L566" s="168">
        <v>416727000</v>
      </c>
      <c r="M566" s="168">
        <f t="shared" si="54"/>
        <v>1958727000</v>
      </c>
      <c r="N566" s="168"/>
      <c r="O566" s="167">
        <v>1958727000</v>
      </c>
      <c r="P566" s="167">
        <f t="shared" si="55"/>
        <v>1958727000</v>
      </c>
      <c r="Q566" s="167"/>
      <c r="S566" s="201">
        <f t="shared" si="56"/>
        <v>1958.7270000000001</v>
      </c>
      <c r="T566" s="201">
        <f t="shared" si="57"/>
        <v>1958.7270000000001</v>
      </c>
      <c r="U566" s="201">
        <f t="shared" si="57"/>
        <v>0</v>
      </c>
      <c r="V566" s="201">
        <f t="shared" si="57"/>
        <v>1958.7270000000001</v>
      </c>
      <c r="W566" s="201">
        <f t="shared" si="57"/>
        <v>1958.7270000000001</v>
      </c>
      <c r="X566" s="201">
        <f t="shared" si="57"/>
        <v>0</v>
      </c>
    </row>
    <row r="567" spans="1:24" s="169" customFormat="1" ht="13.8">
      <c r="A567" s="192"/>
      <c r="B567" s="164"/>
      <c r="C567" s="183" t="str">
        <f t="shared" si="52"/>
        <v/>
      </c>
      <c r="D567" s="182" t="str">
        <f t="shared" si="53"/>
        <v/>
      </c>
      <c r="E567" s="192" t="s">
        <v>681</v>
      </c>
      <c r="F567" s="192" t="s">
        <v>930</v>
      </c>
      <c r="G567" s="192" t="s">
        <v>931</v>
      </c>
      <c r="H567" s="210" t="s">
        <v>1440</v>
      </c>
      <c r="I567" s="167">
        <v>1958727000</v>
      </c>
      <c r="J567" s="166"/>
      <c r="K567" s="167">
        <v>1542000000</v>
      </c>
      <c r="L567" s="168">
        <v>416727000</v>
      </c>
      <c r="M567" s="168">
        <f t="shared" si="54"/>
        <v>1958727000</v>
      </c>
      <c r="N567" s="168"/>
      <c r="O567" s="167">
        <v>1958727000</v>
      </c>
      <c r="P567" s="167">
        <f t="shared" si="55"/>
        <v>1958727000</v>
      </c>
      <c r="Q567" s="167"/>
      <c r="S567" s="201">
        <f t="shared" si="56"/>
        <v>1958.7270000000001</v>
      </c>
      <c r="T567" s="201">
        <f t="shared" si="57"/>
        <v>1958.7270000000001</v>
      </c>
      <c r="U567" s="201">
        <f t="shared" si="57"/>
        <v>0</v>
      </c>
      <c r="V567" s="201">
        <f t="shared" si="57"/>
        <v>1958.7270000000001</v>
      </c>
      <c r="W567" s="201">
        <f t="shared" si="57"/>
        <v>1958.7270000000001</v>
      </c>
      <c r="X567" s="201">
        <f t="shared" si="57"/>
        <v>0</v>
      </c>
    </row>
    <row r="568" spans="1:24" s="169" customFormat="1" ht="27.6">
      <c r="A568" s="192" t="s">
        <v>932</v>
      </c>
      <c r="B568" s="165" t="s">
        <v>933</v>
      </c>
      <c r="C568" s="183" t="str">
        <f t="shared" si="52"/>
        <v>1037642</v>
      </c>
      <c r="D568" s="182" t="str">
        <f t="shared" si="53"/>
        <v>-Trung tâm Huãn luyện và Thi đãu Thể dục Thể thao</v>
      </c>
      <c r="E568" s="206"/>
      <c r="F568" s="207"/>
      <c r="G568" s="207"/>
      <c r="H568" s="205"/>
      <c r="I568" s="167">
        <v>7783848759</v>
      </c>
      <c r="J568" s="167">
        <v>90364759</v>
      </c>
      <c r="K568" s="167">
        <v>7548000000</v>
      </c>
      <c r="L568" s="168">
        <v>145484000</v>
      </c>
      <c r="M568" s="168">
        <f t="shared" si="54"/>
        <v>7783848759</v>
      </c>
      <c r="N568" s="168"/>
      <c r="O568" s="167">
        <v>7756553419</v>
      </c>
      <c r="P568" s="167">
        <f t="shared" si="55"/>
        <v>7756553419</v>
      </c>
      <c r="Q568" s="167"/>
      <c r="S568" s="201">
        <f t="shared" si="56"/>
        <v>7783.8487590000004</v>
      </c>
      <c r="T568" s="201">
        <f t="shared" si="57"/>
        <v>7783.8487590000004</v>
      </c>
      <c r="U568" s="201">
        <f t="shared" si="57"/>
        <v>0</v>
      </c>
      <c r="V568" s="201">
        <f t="shared" si="57"/>
        <v>7756.5534189999998</v>
      </c>
      <c r="W568" s="201">
        <f t="shared" si="57"/>
        <v>7756.5534189999998</v>
      </c>
      <c r="X568" s="201">
        <f t="shared" si="57"/>
        <v>0</v>
      </c>
    </row>
    <row r="569" spans="1:24" s="169" customFormat="1" ht="13.8">
      <c r="A569" s="192" t="s">
        <v>934</v>
      </c>
      <c r="B569" s="170" t="s">
        <v>689</v>
      </c>
      <c r="C569" s="183" t="str">
        <f t="shared" si="52"/>
        <v/>
      </c>
      <c r="D569" s="182" t="str">
        <f t="shared" si="53"/>
        <v/>
      </c>
      <c r="E569" s="206"/>
      <c r="F569" s="207"/>
      <c r="G569" s="207"/>
      <c r="H569" s="205"/>
      <c r="I569" s="167">
        <v>7783848759</v>
      </c>
      <c r="J569" s="167">
        <v>90364759</v>
      </c>
      <c r="K569" s="167">
        <v>7548000000</v>
      </c>
      <c r="L569" s="168">
        <v>145484000</v>
      </c>
      <c r="M569" s="168">
        <f t="shared" si="54"/>
        <v>7783848759</v>
      </c>
      <c r="N569" s="168"/>
      <c r="O569" s="167">
        <v>7756553419</v>
      </c>
      <c r="P569" s="167">
        <f t="shared" si="55"/>
        <v>7756553419</v>
      </c>
      <c r="Q569" s="167"/>
      <c r="S569" s="201">
        <f t="shared" si="56"/>
        <v>7783.8487590000004</v>
      </c>
      <c r="T569" s="201">
        <f t="shared" si="57"/>
        <v>7783.8487590000004</v>
      </c>
      <c r="U569" s="201">
        <f t="shared" si="57"/>
        <v>0</v>
      </c>
      <c r="V569" s="201">
        <f t="shared" si="57"/>
        <v>7756.5534189999998</v>
      </c>
      <c r="W569" s="201">
        <f t="shared" si="57"/>
        <v>7756.5534189999998</v>
      </c>
      <c r="X569" s="201">
        <f t="shared" si="57"/>
        <v>0</v>
      </c>
    </row>
    <row r="570" spans="1:24" s="169" customFormat="1" ht="13.8">
      <c r="A570" s="192"/>
      <c r="B570" s="170" t="s">
        <v>690</v>
      </c>
      <c r="C570" s="183" t="str">
        <f t="shared" si="52"/>
        <v/>
      </c>
      <c r="D570" s="182" t="str">
        <f t="shared" si="53"/>
        <v/>
      </c>
      <c r="E570" s="206"/>
      <c r="F570" s="207"/>
      <c r="G570" s="207"/>
      <c r="H570" s="205"/>
      <c r="I570" s="167">
        <v>2636064759</v>
      </c>
      <c r="J570" s="167">
        <v>90364759</v>
      </c>
      <c r="K570" s="167">
        <v>1977500000</v>
      </c>
      <c r="L570" s="168">
        <v>568200000</v>
      </c>
      <c r="M570" s="168">
        <f t="shared" si="54"/>
        <v>2636064759</v>
      </c>
      <c r="N570" s="168"/>
      <c r="O570" s="167">
        <v>2636064759</v>
      </c>
      <c r="P570" s="167">
        <f t="shared" si="55"/>
        <v>2636064759</v>
      </c>
      <c r="Q570" s="167"/>
      <c r="S570" s="201">
        <f t="shared" si="56"/>
        <v>2636.0647589999999</v>
      </c>
      <c r="T570" s="201">
        <f t="shared" si="57"/>
        <v>2636.0647589999999</v>
      </c>
      <c r="U570" s="201">
        <f t="shared" si="57"/>
        <v>0</v>
      </c>
      <c r="V570" s="201">
        <f t="shared" si="57"/>
        <v>2636.0647589999999</v>
      </c>
      <c r="W570" s="201">
        <f t="shared" si="57"/>
        <v>2636.0647589999999</v>
      </c>
      <c r="X570" s="201">
        <f t="shared" si="57"/>
        <v>0</v>
      </c>
    </row>
    <row r="571" spans="1:24" s="169" customFormat="1" ht="13.8">
      <c r="A571" s="193"/>
      <c r="B571" s="187"/>
      <c r="C571" s="183" t="str">
        <f t="shared" si="52"/>
        <v/>
      </c>
      <c r="D571" s="182" t="str">
        <f t="shared" si="53"/>
        <v/>
      </c>
      <c r="E571" s="192" t="s">
        <v>666</v>
      </c>
      <c r="F571" s="192" t="s">
        <v>795</v>
      </c>
      <c r="G571" s="192" t="s">
        <v>935</v>
      </c>
      <c r="H571" s="210" t="s">
        <v>1440</v>
      </c>
      <c r="I571" s="167">
        <v>2575364759</v>
      </c>
      <c r="J571" s="167">
        <v>90364759</v>
      </c>
      <c r="K571" s="167">
        <v>1977500000</v>
      </c>
      <c r="L571" s="168">
        <v>507500000</v>
      </c>
      <c r="M571" s="168">
        <f t="shared" si="54"/>
        <v>2575364759</v>
      </c>
      <c r="N571" s="168"/>
      <c r="O571" s="167">
        <v>2575364759</v>
      </c>
      <c r="P571" s="167">
        <f t="shared" si="55"/>
        <v>2575364759</v>
      </c>
      <c r="Q571" s="167"/>
      <c r="S571" s="201">
        <f t="shared" si="56"/>
        <v>2575.364759</v>
      </c>
      <c r="T571" s="201">
        <f t="shared" si="57"/>
        <v>2575.364759</v>
      </c>
      <c r="U571" s="201">
        <f t="shared" si="57"/>
        <v>0</v>
      </c>
      <c r="V571" s="201">
        <f t="shared" si="57"/>
        <v>2575.364759</v>
      </c>
      <c r="W571" s="201">
        <f t="shared" si="57"/>
        <v>2575.364759</v>
      </c>
      <c r="X571" s="201">
        <f t="shared" si="57"/>
        <v>0</v>
      </c>
    </row>
    <row r="572" spans="1:24" s="169" customFormat="1" ht="13.8">
      <c r="A572" s="195"/>
      <c r="B572" s="188"/>
      <c r="C572" s="183" t="str">
        <f t="shared" si="52"/>
        <v/>
      </c>
      <c r="D572" s="182" t="str">
        <f t="shared" si="53"/>
        <v/>
      </c>
      <c r="E572" s="192" t="s">
        <v>679</v>
      </c>
      <c r="F572" s="192" t="s">
        <v>795</v>
      </c>
      <c r="G572" s="192" t="s">
        <v>935</v>
      </c>
      <c r="H572" s="210" t="s">
        <v>1440</v>
      </c>
      <c r="I572" s="167">
        <v>60700000</v>
      </c>
      <c r="J572" s="166"/>
      <c r="K572" s="166"/>
      <c r="L572" s="168">
        <v>60700000</v>
      </c>
      <c r="M572" s="168">
        <f t="shared" si="54"/>
        <v>60700000</v>
      </c>
      <c r="N572" s="168"/>
      <c r="O572" s="167">
        <v>60700000</v>
      </c>
      <c r="P572" s="167">
        <f t="shared" si="55"/>
        <v>60700000</v>
      </c>
      <c r="Q572" s="167"/>
      <c r="S572" s="201">
        <f t="shared" si="56"/>
        <v>60.7</v>
      </c>
      <c r="T572" s="201">
        <f t="shared" si="57"/>
        <v>60.7</v>
      </c>
      <c r="U572" s="201">
        <f t="shared" si="57"/>
        <v>0</v>
      </c>
      <c r="V572" s="201">
        <f t="shared" si="57"/>
        <v>60.7</v>
      </c>
      <c r="W572" s="201">
        <f t="shared" si="57"/>
        <v>60.7</v>
      </c>
      <c r="X572" s="201">
        <f t="shared" si="57"/>
        <v>0</v>
      </c>
    </row>
    <row r="573" spans="1:24" s="169" customFormat="1" ht="13.8">
      <c r="A573" s="192"/>
      <c r="B573" s="170" t="s">
        <v>686</v>
      </c>
      <c r="C573" s="183" t="str">
        <f t="shared" si="52"/>
        <v/>
      </c>
      <c r="D573" s="182" t="str">
        <f t="shared" si="53"/>
        <v/>
      </c>
      <c r="E573" s="206"/>
      <c r="F573" s="207"/>
      <c r="G573" s="207"/>
      <c r="H573" s="205"/>
      <c r="I573" s="167">
        <v>5147784000</v>
      </c>
      <c r="J573" s="166"/>
      <c r="K573" s="167">
        <v>5570500000</v>
      </c>
      <c r="L573" s="168">
        <v>-422716000</v>
      </c>
      <c r="M573" s="168">
        <f t="shared" si="54"/>
        <v>5147784000</v>
      </c>
      <c r="N573" s="168"/>
      <c r="O573" s="167">
        <v>5120488660</v>
      </c>
      <c r="P573" s="167">
        <f t="shared" si="55"/>
        <v>5120488660</v>
      </c>
      <c r="Q573" s="167"/>
      <c r="S573" s="201">
        <f t="shared" si="56"/>
        <v>5147.7839999999997</v>
      </c>
      <c r="T573" s="201">
        <f t="shared" si="57"/>
        <v>5147.7839999999997</v>
      </c>
      <c r="U573" s="201">
        <f t="shared" si="57"/>
        <v>0</v>
      </c>
      <c r="V573" s="201">
        <f t="shared" si="57"/>
        <v>5120.48866</v>
      </c>
      <c r="W573" s="201">
        <f t="shared" si="57"/>
        <v>5120.48866</v>
      </c>
      <c r="X573" s="201">
        <f t="shared" si="57"/>
        <v>0</v>
      </c>
    </row>
    <row r="574" spans="1:24" s="169" customFormat="1" ht="13.8">
      <c r="A574" s="192"/>
      <c r="B574" s="164"/>
      <c r="C574" s="183" t="str">
        <f t="shared" si="52"/>
        <v/>
      </c>
      <c r="D574" s="182" t="str">
        <f t="shared" si="53"/>
        <v/>
      </c>
      <c r="E574" s="192" t="s">
        <v>681</v>
      </c>
      <c r="F574" s="192" t="s">
        <v>795</v>
      </c>
      <c r="G574" s="192" t="s">
        <v>935</v>
      </c>
      <c r="H574" s="210" t="s">
        <v>1440</v>
      </c>
      <c r="I574" s="167">
        <v>5147784000</v>
      </c>
      <c r="J574" s="166"/>
      <c r="K574" s="167">
        <v>5570500000</v>
      </c>
      <c r="L574" s="168">
        <v>-422716000</v>
      </c>
      <c r="M574" s="168">
        <f t="shared" si="54"/>
        <v>5147784000</v>
      </c>
      <c r="N574" s="168"/>
      <c r="O574" s="167">
        <v>5120488660</v>
      </c>
      <c r="P574" s="167">
        <f t="shared" si="55"/>
        <v>5120488660</v>
      </c>
      <c r="Q574" s="167"/>
      <c r="S574" s="201">
        <f t="shared" si="56"/>
        <v>5147.7839999999997</v>
      </c>
      <c r="T574" s="201">
        <f t="shared" si="57"/>
        <v>5147.7839999999997</v>
      </c>
      <c r="U574" s="201">
        <f t="shared" si="57"/>
        <v>0</v>
      </c>
      <c r="V574" s="201">
        <f t="shared" si="57"/>
        <v>5120.48866</v>
      </c>
      <c r="W574" s="201">
        <f t="shared" si="57"/>
        <v>5120.48866</v>
      </c>
      <c r="X574" s="201">
        <f t="shared" si="57"/>
        <v>0</v>
      </c>
    </row>
    <row r="575" spans="1:24" s="169" customFormat="1" ht="13.8">
      <c r="A575" s="192" t="s">
        <v>936</v>
      </c>
      <c r="B575" s="170" t="s">
        <v>937</v>
      </c>
      <c r="C575" s="183" t="str">
        <f t="shared" si="52"/>
        <v>1037644</v>
      </c>
      <c r="D575" s="182" t="str">
        <f t="shared" si="53"/>
        <v>-SỜ Nội vụ tỉnh Kon Tum</v>
      </c>
      <c r="E575" s="206"/>
      <c r="F575" s="207"/>
      <c r="G575" s="207"/>
      <c r="H575" s="205"/>
      <c r="I575" s="167">
        <v>27732787866</v>
      </c>
      <c r="J575" s="167">
        <v>7097658866</v>
      </c>
      <c r="K575" s="167">
        <v>16353299000</v>
      </c>
      <c r="L575" s="168">
        <v>4281830000</v>
      </c>
      <c r="M575" s="168">
        <f t="shared" si="54"/>
        <v>27732787866</v>
      </c>
      <c r="N575" s="168"/>
      <c r="O575" s="167">
        <v>14332432450</v>
      </c>
      <c r="P575" s="167">
        <f t="shared" si="55"/>
        <v>14332432450</v>
      </c>
      <c r="Q575" s="167"/>
      <c r="S575" s="201">
        <f t="shared" si="56"/>
        <v>27732.787865999999</v>
      </c>
      <c r="T575" s="201">
        <f t="shared" si="57"/>
        <v>27732.787865999999</v>
      </c>
      <c r="U575" s="201">
        <f t="shared" si="57"/>
        <v>0</v>
      </c>
      <c r="V575" s="201">
        <f t="shared" si="57"/>
        <v>14332.43245</v>
      </c>
      <c r="W575" s="201">
        <f t="shared" si="57"/>
        <v>14332.43245</v>
      </c>
      <c r="X575" s="201">
        <f t="shared" si="57"/>
        <v>0</v>
      </c>
    </row>
    <row r="576" spans="1:24" s="169" customFormat="1" ht="13.8">
      <c r="A576" s="192" t="s">
        <v>938</v>
      </c>
      <c r="B576" s="170" t="s">
        <v>689</v>
      </c>
      <c r="C576" s="183" t="str">
        <f t="shared" si="52"/>
        <v/>
      </c>
      <c r="D576" s="182" t="str">
        <f t="shared" si="53"/>
        <v/>
      </c>
      <c r="E576" s="206"/>
      <c r="F576" s="207"/>
      <c r="G576" s="207"/>
      <c r="H576" s="205"/>
      <c r="I576" s="167">
        <v>27732787866</v>
      </c>
      <c r="J576" s="167">
        <v>7097658866</v>
      </c>
      <c r="K576" s="167">
        <v>16353299000</v>
      </c>
      <c r="L576" s="168">
        <v>4281830000</v>
      </c>
      <c r="M576" s="168">
        <f t="shared" si="54"/>
        <v>27732787866</v>
      </c>
      <c r="N576" s="168"/>
      <c r="O576" s="167">
        <v>14332432450</v>
      </c>
      <c r="P576" s="167">
        <f t="shared" si="55"/>
        <v>14332432450</v>
      </c>
      <c r="Q576" s="167"/>
      <c r="S576" s="201">
        <f t="shared" si="56"/>
        <v>27732.787865999999</v>
      </c>
      <c r="T576" s="201">
        <f t="shared" si="57"/>
        <v>27732.787865999999</v>
      </c>
      <c r="U576" s="201">
        <f t="shared" si="57"/>
        <v>0</v>
      </c>
      <c r="V576" s="201">
        <f t="shared" si="57"/>
        <v>14332.43245</v>
      </c>
      <c r="W576" s="201">
        <f t="shared" si="57"/>
        <v>14332.43245</v>
      </c>
      <c r="X576" s="201">
        <f t="shared" si="57"/>
        <v>0</v>
      </c>
    </row>
    <row r="577" spans="1:24" s="169" customFormat="1" ht="13.8">
      <c r="A577" s="192"/>
      <c r="B577" s="170" t="s">
        <v>690</v>
      </c>
      <c r="C577" s="183" t="str">
        <f t="shared" si="52"/>
        <v/>
      </c>
      <c r="D577" s="182" t="str">
        <f t="shared" si="53"/>
        <v/>
      </c>
      <c r="E577" s="206"/>
      <c r="F577" s="207"/>
      <c r="G577" s="207"/>
      <c r="H577" s="205"/>
      <c r="I577" s="167">
        <v>4838500000</v>
      </c>
      <c r="J577" s="166"/>
      <c r="K577" s="167">
        <v>4638000000</v>
      </c>
      <c r="L577" s="168">
        <v>200500000</v>
      </c>
      <c r="M577" s="168">
        <f t="shared" si="54"/>
        <v>4838500000</v>
      </c>
      <c r="N577" s="168"/>
      <c r="O577" s="167">
        <v>4838500000</v>
      </c>
      <c r="P577" s="167">
        <f t="shared" si="55"/>
        <v>4838500000</v>
      </c>
      <c r="Q577" s="167"/>
      <c r="S577" s="201">
        <f t="shared" si="56"/>
        <v>4838.5</v>
      </c>
      <c r="T577" s="201">
        <f t="shared" si="57"/>
        <v>4838.5</v>
      </c>
      <c r="U577" s="201">
        <f t="shared" si="57"/>
        <v>0</v>
      </c>
      <c r="V577" s="201">
        <f t="shared" si="57"/>
        <v>4838.5</v>
      </c>
      <c r="W577" s="201">
        <f t="shared" si="57"/>
        <v>4838.5</v>
      </c>
      <c r="X577" s="201">
        <f t="shared" si="57"/>
        <v>0</v>
      </c>
    </row>
    <row r="578" spans="1:24" s="169" customFormat="1" ht="13.8">
      <c r="A578" s="193"/>
      <c r="B578" s="187"/>
      <c r="C578" s="183" t="str">
        <f t="shared" si="52"/>
        <v/>
      </c>
      <c r="D578" s="182" t="str">
        <f t="shared" si="53"/>
        <v/>
      </c>
      <c r="E578" s="192" t="s">
        <v>666</v>
      </c>
      <c r="F578" s="192" t="s">
        <v>939</v>
      </c>
      <c r="G578" s="192" t="s">
        <v>695</v>
      </c>
      <c r="H578" s="210" t="s">
        <v>1440</v>
      </c>
      <c r="I578" s="167">
        <v>4737900000</v>
      </c>
      <c r="J578" s="166"/>
      <c r="K578" s="167">
        <v>4638000000</v>
      </c>
      <c r="L578" s="168">
        <v>99900000</v>
      </c>
      <c r="M578" s="168">
        <f t="shared" si="54"/>
        <v>4737900000</v>
      </c>
      <c r="N578" s="168"/>
      <c r="O578" s="167">
        <v>4737900000</v>
      </c>
      <c r="P578" s="167">
        <f t="shared" si="55"/>
        <v>4737900000</v>
      </c>
      <c r="Q578" s="167"/>
      <c r="S578" s="201">
        <f t="shared" si="56"/>
        <v>4737.8999999999996</v>
      </c>
      <c r="T578" s="201">
        <f t="shared" si="57"/>
        <v>4737.8999999999996</v>
      </c>
      <c r="U578" s="201">
        <f t="shared" si="57"/>
        <v>0</v>
      </c>
      <c r="V578" s="201">
        <f t="shared" si="57"/>
        <v>4737.8999999999996</v>
      </c>
      <c r="W578" s="201">
        <f t="shared" si="57"/>
        <v>4737.8999999999996</v>
      </c>
      <c r="X578" s="201">
        <f t="shared" si="57"/>
        <v>0</v>
      </c>
    </row>
    <row r="579" spans="1:24" s="169" customFormat="1" ht="13.8">
      <c r="A579" s="195"/>
      <c r="B579" s="188"/>
      <c r="C579" s="183" t="str">
        <f t="shared" si="52"/>
        <v/>
      </c>
      <c r="D579" s="182" t="str">
        <f t="shared" si="53"/>
        <v/>
      </c>
      <c r="E579" s="192" t="s">
        <v>679</v>
      </c>
      <c r="F579" s="192" t="s">
        <v>939</v>
      </c>
      <c r="G579" s="192" t="s">
        <v>695</v>
      </c>
      <c r="H579" s="210" t="s">
        <v>1440</v>
      </c>
      <c r="I579" s="167">
        <v>100600000</v>
      </c>
      <c r="J579" s="166"/>
      <c r="K579" s="166"/>
      <c r="L579" s="168">
        <v>100600000</v>
      </c>
      <c r="M579" s="168">
        <f t="shared" si="54"/>
        <v>100600000</v>
      </c>
      <c r="N579" s="168"/>
      <c r="O579" s="167">
        <v>100600000</v>
      </c>
      <c r="P579" s="167">
        <f t="shared" si="55"/>
        <v>100600000</v>
      </c>
      <c r="Q579" s="167"/>
      <c r="S579" s="201">
        <f t="shared" si="56"/>
        <v>100.6</v>
      </c>
      <c r="T579" s="201">
        <f t="shared" si="57"/>
        <v>100.6</v>
      </c>
      <c r="U579" s="201">
        <f t="shared" si="57"/>
        <v>0</v>
      </c>
      <c r="V579" s="201">
        <f t="shared" si="57"/>
        <v>100.6</v>
      </c>
      <c r="W579" s="201">
        <f t="shared" si="57"/>
        <v>100.6</v>
      </c>
      <c r="X579" s="201">
        <f t="shared" si="57"/>
        <v>0</v>
      </c>
    </row>
    <row r="580" spans="1:24" s="169" customFormat="1" ht="13.8">
      <c r="A580" s="192"/>
      <c r="B580" s="170" t="s">
        <v>686</v>
      </c>
      <c r="C580" s="183" t="str">
        <f t="shared" si="52"/>
        <v/>
      </c>
      <c r="D580" s="182" t="str">
        <f t="shared" si="53"/>
        <v/>
      </c>
      <c r="E580" s="206"/>
      <c r="F580" s="207"/>
      <c r="G580" s="207"/>
      <c r="H580" s="205"/>
      <c r="I580" s="167">
        <v>22894287866</v>
      </c>
      <c r="J580" s="167">
        <v>7097658866</v>
      </c>
      <c r="K580" s="167">
        <v>11715299000</v>
      </c>
      <c r="L580" s="168">
        <v>4081330000</v>
      </c>
      <c r="M580" s="168">
        <f t="shared" si="54"/>
        <v>22894287866</v>
      </c>
      <c r="N580" s="168"/>
      <c r="O580" s="167">
        <v>9493932450</v>
      </c>
      <c r="P580" s="167">
        <f t="shared" si="55"/>
        <v>9493932450</v>
      </c>
      <c r="Q580" s="167"/>
      <c r="S580" s="201">
        <f t="shared" si="56"/>
        <v>22894.287865999999</v>
      </c>
      <c r="T580" s="201">
        <f t="shared" si="57"/>
        <v>22894.287865999999</v>
      </c>
      <c r="U580" s="201">
        <f t="shared" si="57"/>
        <v>0</v>
      </c>
      <c r="V580" s="201">
        <f t="shared" si="57"/>
        <v>9493.9324500000002</v>
      </c>
      <c r="W580" s="201">
        <f t="shared" si="57"/>
        <v>9493.9324500000002</v>
      </c>
      <c r="X580" s="201">
        <f t="shared" si="57"/>
        <v>0</v>
      </c>
    </row>
    <row r="581" spans="1:24" s="169" customFormat="1" ht="13.8">
      <c r="A581" s="193"/>
      <c r="B581" s="187"/>
      <c r="C581" s="183" t="str">
        <f t="shared" si="52"/>
        <v/>
      </c>
      <c r="D581" s="182" t="str">
        <f t="shared" si="53"/>
        <v/>
      </c>
      <c r="E581" s="192" t="s">
        <v>681</v>
      </c>
      <c r="F581" s="192" t="s">
        <v>939</v>
      </c>
      <c r="G581" s="192" t="s">
        <v>780</v>
      </c>
      <c r="H581" s="210" t="s">
        <v>1440</v>
      </c>
      <c r="I581" s="167">
        <v>6748485750</v>
      </c>
      <c r="J581" s="167">
        <v>1489485750</v>
      </c>
      <c r="K581" s="167">
        <v>1572000000</v>
      </c>
      <c r="L581" s="168">
        <v>3687000000</v>
      </c>
      <c r="M581" s="168">
        <f t="shared" si="54"/>
        <v>6748485750</v>
      </c>
      <c r="N581" s="168"/>
      <c r="O581" s="167">
        <v>1383038000</v>
      </c>
      <c r="P581" s="167">
        <f t="shared" si="55"/>
        <v>1383038000</v>
      </c>
      <c r="Q581" s="167"/>
      <c r="S581" s="201">
        <f t="shared" si="56"/>
        <v>6748.4857499999998</v>
      </c>
      <c r="T581" s="201">
        <f t="shared" si="57"/>
        <v>6748.4857499999998</v>
      </c>
      <c r="U581" s="201">
        <f t="shared" si="57"/>
        <v>0</v>
      </c>
      <c r="V581" s="201">
        <f t="shared" si="57"/>
        <v>1383.038</v>
      </c>
      <c r="W581" s="201">
        <f t="shared" si="57"/>
        <v>1383.038</v>
      </c>
      <c r="X581" s="201">
        <f t="shared" si="57"/>
        <v>0</v>
      </c>
    </row>
    <row r="582" spans="1:24" s="169" customFormat="1" ht="13.8">
      <c r="A582" s="194"/>
      <c r="B582" s="184"/>
      <c r="C582" s="183" t="str">
        <f t="shared" si="52"/>
        <v/>
      </c>
      <c r="D582" s="182" t="str">
        <f t="shared" si="53"/>
        <v/>
      </c>
      <c r="E582" s="192" t="s">
        <v>681</v>
      </c>
      <c r="F582" s="192" t="s">
        <v>939</v>
      </c>
      <c r="G582" s="192" t="s">
        <v>695</v>
      </c>
      <c r="H582" s="210" t="s">
        <v>1440</v>
      </c>
      <c r="I582" s="167">
        <v>871030000</v>
      </c>
      <c r="J582" s="166"/>
      <c r="K582" s="167">
        <v>593000000</v>
      </c>
      <c r="L582" s="168">
        <v>278030000</v>
      </c>
      <c r="M582" s="168">
        <f t="shared" si="54"/>
        <v>871030000</v>
      </c>
      <c r="N582" s="168"/>
      <c r="O582" s="167">
        <v>868812500</v>
      </c>
      <c r="P582" s="167">
        <f t="shared" si="55"/>
        <v>868812500</v>
      </c>
      <c r="Q582" s="167"/>
      <c r="S582" s="201">
        <f t="shared" si="56"/>
        <v>871.03</v>
      </c>
      <c r="T582" s="201">
        <f t="shared" si="57"/>
        <v>871.03</v>
      </c>
      <c r="U582" s="201">
        <f t="shared" si="57"/>
        <v>0</v>
      </c>
      <c r="V582" s="201">
        <f t="shared" si="57"/>
        <v>868.8125</v>
      </c>
      <c r="W582" s="201">
        <f t="shared" si="57"/>
        <v>868.8125</v>
      </c>
      <c r="X582" s="201">
        <f t="shared" si="57"/>
        <v>0</v>
      </c>
    </row>
    <row r="583" spans="1:24" s="169" customFormat="1" ht="13.8">
      <c r="A583" s="194"/>
      <c r="B583" s="184"/>
      <c r="C583" s="183" t="str">
        <f t="shared" si="52"/>
        <v/>
      </c>
      <c r="D583" s="182" t="str">
        <f t="shared" si="53"/>
        <v/>
      </c>
      <c r="E583" s="192" t="s">
        <v>667</v>
      </c>
      <c r="F583" s="192" t="s">
        <v>939</v>
      </c>
      <c r="G583" s="192" t="s">
        <v>695</v>
      </c>
      <c r="H583" s="210" t="s">
        <v>1440</v>
      </c>
      <c r="I583" s="167">
        <v>116300000</v>
      </c>
      <c r="J583" s="166"/>
      <c r="K583" s="166"/>
      <c r="L583" s="168">
        <v>116300000</v>
      </c>
      <c r="M583" s="168">
        <f t="shared" si="54"/>
        <v>116300000</v>
      </c>
      <c r="N583" s="168"/>
      <c r="O583" s="167">
        <v>113345500</v>
      </c>
      <c r="P583" s="167">
        <f t="shared" si="55"/>
        <v>113345500</v>
      </c>
      <c r="Q583" s="167"/>
      <c r="S583" s="201">
        <f t="shared" si="56"/>
        <v>116.3</v>
      </c>
      <c r="T583" s="201">
        <f t="shared" si="57"/>
        <v>116.3</v>
      </c>
      <c r="U583" s="201">
        <f t="shared" si="57"/>
        <v>0</v>
      </c>
      <c r="V583" s="201">
        <f t="shared" si="57"/>
        <v>113.3455</v>
      </c>
      <c r="W583" s="201">
        <f t="shared" si="57"/>
        <v>113.3455</v>
      </c>
      <c r="X583" s="201">
        <f t="shared" si="57"/>
        <v>0</v>
      </c>
    </row>
    <row r="584" spans="1:24" s="169" customFormat="1" ht="13.8">
      <c r="A584" s="194"/>
      <c r="B584" s="184"/>
      <c r="C584" s="183" t="str">
        <f t="shared" si="52"/>
        <v/>
      </c>
      <c r="D584" s="182" t="str">
        <f t="shared" si="53"/>
        <v/>
      </c>
      <c r="E584" s="192" t="s">
        <v>681</v>
      </c>
      <c r="F584" s="192" t="s">
        <v>939</v>
      </c>
      <c r="G584" s="192" t="s">
        <v>915</v>
      </c>
      <c r="H584" s="210" t="s">
        <v>1440</v>
      </c>
      <c r="I584" s="167">
        <v>12015543116</v>
      </c>
      <c r="J584" s="167">
        <v>3765244116</v>
      </c>
      <c r="K584" s="167">
        <v>8250299000</v>
      </c>
      <c r="L584" s="171"/>
      <c r="M584" s="168">
        <f t="shared" si="54"/>
        <v>12015543116</v>
      </c>
      <c r="N584" s="171"/>
      <c r="O584" s="167">
        <v>5638736450</v>
      </c>
      <c r="P584" s="167">
        <f t="shared" si="55"/>
        <v>5638736450</v>
      </c>
      <c r="Q584" s="167"/>
      <c r="S584" s="201">
        <f t="shared" si="56"/>
        <v>12015.543116000001</v>
      </c>
      <c r="T584" s="201">
        <f t="shared" si="57"/>
        <v>12015.543116000001</v>
      </c>
      <c r="U584" s="201">
        <f t="shared" si="57"/>
        <v>0</v>
      </c>
      <c r="V584" s="201">
        <f t="shared" si="57"/>
        <v>5638.7364500000003</v>
      </c>
      <c r="W584" s="201">
        <f t="shared" si="57"/>
        <v>5638.7364500000003</v>
      </c>
      <c r="X584" s="201">
        <f t="shared" si="57"/>
        <v>0</v>
      </c>
    </row>
    <row r="585" spans="1:24" s="169" customFormat="1" ht="13.8">
      <c r="A585" s="195"/>
      <c r="B585" s="188"/>
      <c r="C585" s="183" t="str">
        <f t="shared" si="52"/>
        <v/>
      </c>
      <c r="D585" s="182" t="str">
        <f t="shared" si="53"/>
        <v/>
      </c>
      <c r="E585" s="192" t="s">
        <v>681</v>
      </c>
      <c r="F585" s="192" t="s">
        <v>939</v>
      </c>
      <c r="G585" s="192" t="s">
        <v>850</v>
      </c>
      <c r="H585" s="210" t="s">
        <v>1440</v>
      </c>
      <c r="I585" s="167">
        <v>3142929000</v>
      </c>
      <c r="J585" s="167">
        <v>1842929000</v>
      </c>
      <c r="K585" s="167">
        <v>1300000000</v>
      </c>
      <c r="L585" s="171"/>
      <c r="M585" s="168">
        <f t="shared" si="54"/>
        <v>3142929000</v>
      </c>
      <c r="N585" s="171"/>
      <c r="O585" s="167">
        <v>1490000000</v>
      </c>
      <c r="P585" s="167">
        <f t="shared" si="55"/>
        <v>1490000000</v>
      </c>
      <c r="Q585" s="167"/>
      <c r="S585" s="201">
        <f t="shared" si="56"/>
        <v>3142.9290000000001</v>
      </c>
      <c r="T585" s="201">
        <f t="shared" si="57"/>
        <v>3142.9290000000001</v>
      </c>
      <c r="U585" s="201">
        <f t="shared" si="57"/>
        <v>0</v>
      </c>
      <c r="V585" s="201">
        <f t="shared" si="57"/>
        <v>1490</v>
      </c>
      <c r="W585" s="201">
        <f t="shared" si="57"/>
        <v>1490</v>
      </c>
      <c r="X585" s="201">
        <f t="shared" si="57"/>
        <v>0</v>
      </c>
    </row>
    <row r="586" spans="1:24" s="169" customFormat="1" ht="13.8">
      <c r="A586" s="192" t="s">
        <v>940</v>
      </c>
      <c r="B586" s="170" t="s">
        <v>941</v>
      </c>
      <c r="C586" s="183" t="str">
        <f t="shared" si="52"/>
        <v>1037649</v>
      </c>
      <c r="D586" s="182" t="str">
        <f t="shared" si="53"/>
        <v>-Chi Cục Quản lý thj trường</v>
      </c>
      <c r="E586" s="206"/>
      <c r="F586" s="207"/>
      <c r="G586" s="207"/>
      <c r="H586" s="205"/>
      <c r="I586" s="167">
        <v>5728970000</v>
      </c>
      <c r="J586" s="166"/>
      <c r="K586" s="167">
        <v>5318000000</v>
      </c>
      <c r="L586" s="168">
        <v>410970000</v>
      </c>
      <c r="M586" s="168">
        <f t="shared" si="54"/>
        <v>5728970000</v>
      </c>
      <c r="N586" s="168"/>
      <c r="O586" s="167">
        <v>5626158619</v>
      </c>
      <c r="P586" s="167">
        <f t="shared" si="55"/>
        <v>5626158619</v>
      </c>
      <c r="Q586" s="167"/>
      <c r="S586" s="201">
        <f t="shared" si="56"/>
        <v>5728.97</v>
      </c>
      <c r="T586" s="201">
        <f t="shared" si="57"/>
        <v>5728.97</v>
      </c>
      <c r="U586" s="201">
        <f t="shared" si="57"/>
        <v>0</v>
      </c>
      <c r="V586" s="201">
        <f t="shared" si="57"/>
        <v>5626.1586189999998</v>
      </c>
      <c r="W586" s="201">
        <f t="shared" si="57"/>
        <v>5626.1586189999998</v>
      </c>
      <c r="X586" s="201">
        <f t="shared" si="57"/>
        <v>0</v>
      </c>
    </row>
    <row r="587" spans="1:24" s="169" customFormat="1" ht="13.8">
      <c r="A587" s="192" t="s">
        <v>942</v>
      </c>
      <c r="B587" s="170" t="s">
        <v>689</v>
      </c>
      <c r="C587" s="183" t="str">
        <f t="shared" si="52"/>
        <v/>
      </c>
      <c r="D587" s="182" t="str">
        <f t="shared" si="53"/>
        <v/>
      </c>
      <c r="E587" s="206"/>
      <c r="F587" s="207"/>
      <c r="G587" s="207"/>
      <c r="H587" s="205"/>
      <c r="I587" s="167">
        <v>5728970000</v>
      </c>
      <c r="J587" s="166"/>
      <c r="K587" s="167">
        <v>5318000000</v>
      </c>
      <c r="L587" s="168">
        <v>410970000</v>
      </c>
      <c r="M587" s="168">
        <f t="shared" si="54"/>
        <v>5728970000</v>
      </c>
      <c r="N587" s="168"/>
      <c r="O587" s="167">
        <v>5626158619</v>
      </c>
      <c r="P587" s="167">
        <f t="shared" si="55"/>
        <v>5626158619</v>
      </c>
      <c r="Q587" s="167"/>
      <c r="S587" s="201">
        <f t="shared" si="56"/>
        <v>5728.97</v>
      </c>
      <c r="T587" s="201">
        <f t="shared" si="57"/>
        <v>5728.97</v>
      </c>
      <c r="U587" s="201">
        <f t="shared" si="57"/>
        <v>0</v>
      </c>
      <c r="V587" s="201">
        <f t="shared" si="57"/>
        <v>5626.1586189999998</v>
      </c>
      <c r="W587" s="201">
        <f t="shared" si="57"/>
        <v>5626.1586189999998</v>
      </c>
      <c r="X587" s="201">
        <f t="shared" si="57"/>
        <v>0</v>
      </c>
    </row>
    <row r="588" spans="1:24" s="169" customFormat="1" ht="13.8">
      <c r="A588" s="192"/>
      <c r="B588" s="170" t="s">
        <v>690</v>
      </c>
      <c r="C588" s="183" t="str">
        <f t="shared" si="52"/>
        <v/>
      </c>
      <c r="D588" s="182" t="str">
        <f t="shared" si="53"/>
        <v/>
      </c>
      <c r="E588" s="206"/>
      <c r="F588" s="207"/>
      <c r="G588" s="207"/>
      <c r="H588" s="205"/>
      <c r="I588" s="167">
        <v>4594000000</v>
      </c>
      <c r="J588" s="166"/>
      <c r="K588" s="167">
        <v>4473000000</v>
      </c>
      <c r="L588" s="168">
        <v>121000000</v>
      </c>
      <c r="M588" s="168">
        <f t="shared" si="54"/>
        <v>4594000000</v>
      </c>
      <c r="N588" s="168"/>
      <c r="O588" s="167">
        <v>4594000000</v>
      </c>
      <c r="P588" s="167">
        <f t="shared" si="55"/>
        <v>4594000000</v>
      </c>
      <c r="Q588" s="167"/>
      <c r="S588" s="201">
        <f t="shared" si="56"/>
        <v>4594</v>
      </c>
      <c r="T588" s="201">
        <f t="shared" si="57"/>
        <v>4594</v>
      </c>
      <c r="U588" s="201">
        <f t="shared" si="57"/>
        <v>0</v>
      </c>
      <c r="V588" s="201">
        <f t="shared" si="57"/>
        <v>4594</v>
      </c>
      <c r="W588" s="201">
        <f t="shared" si="57"/>
        <v>4594</v>
      </c>
      <c r="X588" s="201">
        <f t="shared" si="57"/>
        <v>0</v>
      </c>
    </row>
    <row r="589" spans="1:24" s="169" customFormat="1" ht="13.8">
      <c r="A589" s="193"/>
      <c r="B589" s="187"/>
      <c r="C589" s="183" t="str">
        <f t="shared" si="52"/>
        <v/>
      </c>
      <c r="D589" s="182" t="str">
        <f t="shared" si="53"/>
        <v/>
      </c>
      <c r="E589" s="192" t="s">
        <v>666</v>
      </c>
      <c r="F589" s="192" t="s">
        <v>943</v>
      </c>
      <c r="G589" s="192" t="s">
        <v>695</v>
      </c>
      <c r="H589" s="210" t="s">
        <v>1440</v>
      </c>
      <c r="I589" s="167">
        <v>4473000000</v>
      </c>
      <c r="J589" s="166"/>
      <c r="K589" s="167">
        <v>4473000000</v>
      </c>
      <c r="L589" s="171"/>
      <c r="M589" s="168">
        <f t="shared" si="54"/>
        <v>4473000000</v>
      </c>
      <c r="N589" s="171"/>
      <c r="O589" s="167">
        <v>4473000000</v>
      </c>
      <c r="P589" s="167">
        <f t="shared" si="55"/>
        <v>4473000000</v>
      </c>
      <c r="Q589" s="167"/>
      <c r="S589" s="201">
        <f t="shared" si="56"/>
        <v>4473</v>
      </c>
      <c r="T589" s="201">
        <f t="shared" si="57"/>
        <v>4473</v>
      </c>
      <c r="U589" s="201">
        <f t="shared" si="57"/>
        <v>0</v>
      </c>
      <c r="V589" s="201">
        <f t="shared" si="57"/>
        <v>4473</v>
      </c>
      <c r="W589" s="201">
        <f t="shared" si="57"/>
        <v>4473</v>
      </c>
      <c r="X589" s="201">
        <f t="shared" si="57"/>
        <v>0</v>
      </c>
    </row>
    <row r="590" spans="1:24" s="169" customFormat="1" ht="13.8">
      <c r="A590" s="195"/>
      <c r="B590" s="188"/>
      <c r="C590" s="183" t="str">
        <f t="shared" si="52"/>
        <v/>
      </c>
      <c r="D590" s="182" t="str">
        <f t="shared" si="53"/>
        <v/>
      </c>
      <c r="E590" s="192" t="s">
        <v>679</v>
      </c>
      <c r="F590" s="192" t="s">
        <v>943</v>
      </c>
      <c r="G590" s="192" t="s">
        <v>695</v>
      </c>
      <c r="H590" s="210" t="s">
        <v>1440</v>
      </c>
      <c r="I590" s="167">
        <v>121000000</v>
      </c>
      <c r="J590" s="166"/>
      <c r="K590" s="166"/>
      <c r="L590" s="168">
        <v>121000000</v>
      </c>
      <c r="M590" s="168">
        <f t="shared" si="54"/>
        <v>121000000</v>
      </c>
      <c r="N590" s="168"/>
      <c r="O590" s="167">
        <v>121000000</v>
      </c>
      <c r="P590" s="167">
        <f t="shared" si="55"/>
        <v>121000000</v>
      </c>
      <c r="Q590" s="167"/>
      <c r="S590" s="201">
        <f t="shared" si="56"/>
        <v>121</v>
      </c>
      <c r="T590" s="201">
        <f t="shared" ref="T590:X640" si="58">M590/1000000</f>
        <v>121</v>
      </c>
      <c r="U590" s="201">
        <f t="shared" si="58"/>
        <v>0</v>
      </c>
      <c r="V590" s="201">
        <f t="shared" si="58"/>
        <v>121</v>
      </c>
      <c r="W590" s="201">
        <f t="shared" si="58"/>
        <v>121</v>
      </c>
      <c r="X590" s="201">
        <f t="shared" si="58"/>
        <v>0</v>
      </c>
    </row>
    <row r="591" spans="1:24" s="169" customFormat="1" ht="13.8">
      <c r="A591" s="192"/>
      <c r="B591" s="170" t="s">
        <v>686</v>
      </c>
      <c r="C591" s="183" t="str">
        <f t="shared" si="52"/>
        <v/>
      </c>
      <c r="D591" s="182" t="str">
        <f t="shared" si="53"/>
        <v/>
      </c>
      <c r="E591" s="206"/>
      <c r="F591" s="207"/>
      <c r="G591" s="207"/>
      <c r="H591" s="205"/>
      <c r="I591" s="167">
        <v>1134970000</v>
      </c>
      <c r="J591" s="166"/>
      <c r="K591" s="167">
        <v>845000000</v>
      </c>
      <c r="L591" s="168">
        <v>289970000</v>
      </c>
      <c r="M591" s="168">
        <f t="shared" si="54"/>
        <v>1134970000</v>
      </c>
      <c r="N591" s="168"/>
      <c r="O591" s="167">
        <v>1032158619</v>
      </c>
      <c r="P591" s="167">
        <f t="shared" si="55"/>
        <v>1032158619</v>
      </c>
      <c r="Q591" s="167"/>
      <c r="S591" s="201">
        <f t="shared" si="56"/>
        <v>1134.97</v>
      </c>
      <c r="T591" s="201">
        <f t="shared" si="58"/>
        <v>1134.97</v>
      </c>
      <c r="U591" s="201">
        <f t="shared" si="58"/>
        <v>0</v>
      </c>
      <c r="V591" s="201">
        <f t="shared" si="58"/>
        <v>1032.158619</v>
      </c>
      <c r="W591" s="201">
        <f t="shared" si="58"/>
        <v>1032.158619</v>
      </c>
      <c r="X591" s="201">
        <f t="shared" si="58"/>
        <v>0</v>
      </c>
    </row>
    <row r="592" spans="1:24" s="169" customFormat="1" ht="13.8">
      <c r="A592" s="192"/>
      <c r="B592" s="173"/>
      <c r="C592" s="183" t="str">
        <f t="shared" si="52"/>
        <v/>
      </c>
      <c r="D592" s="182" t="str">
        <f t="shared" si="53"/>
        <v/>
      </c>
      <c r="E592" s="192"/>
      <c r="F592" s="192"/>
      <c r="G592" s="192"/>
      <c r="H592" s="210"/>
      <c r="I592" s="174"/>
      <c r="J592" s="174"/>
      <c r="K592" s="174"/>
      <c r="L592" s="175"/>
      <c r="M592" s="168">
        <f t="shared" si="54"/>
        <v>0</v>
      </c>
      <c r="N592" s="175"/>
      <c r="O592" s="174"/>
      <c r="P592" s="167">
        <f t="shared" si="55"/>
        <v>0</v>
      </c>
      <c r="Q592" s="174"/>
      <c r="S592" s="201">
        <f t="shared" si="56"/>
        <v>0</v>
      </c>
      <c r="T592" s="201">
        <f t="shared" si="58"/>
        <v>0</v>
      </c>
      <c r="U592" s="201">
        <f t="shared" si="58"/>
        <v>0</v>
      </c>
      <c r="V592" s="201">
        <f t="shared" si="58"/>
        <v>0</v>
      </c>
      <c r="W592" s="201">
        <f t="shared" si="58"/>
        <v>0</v>
      </c>
      <c r="X592" s="201">
        <f t="shared" si="58"/>
        <v>0</v>
      </c>
    </row>
    <row r="593" spans="1:24" s="169" customFormat="1" ht="13.8">
      <c r="A593" s="192"/>
      <c r="B593" s="164"/>
      <c r="C593" s="183" t="str">
        <f t="shared" si="52"/>
        <v/>
      </c>
      <c r="D593" s="182" t="str">
        <f t="shared" si="53"/>
        <v/>
      </c>
      <c r="E593" s="192" t="s">
        <v>681</v>
      </c>
      <c r="F593" s="192" t="s">
        <v>943</v>
      </c>
      <c r="G593" s="192" t="s">
        <v>695</v>
      </c>
      <c r="H593" s="210" t="s">
        <v>1440</v>
      </c>
      <c r="I593" s="167">
        <v>1134970000</v>
      </c>
      <c r="J593" s="166"/>
      <c r="K593" s="167">
        <v>845000000</v>
      </c>
      <c r="L593" s="168">
        <v>289970000</v>
      </c>
      <c r="M593" s="168">
        <f t="shared" si="54"/>
        <v>1134970000</v>
      </c>
      <c r="N593" s="168"/>
      <c r="O593" s="167">
        <v>1032158619</v>
      </c>
      <c r="P593" s="167">
        <f t="shared" si="55"/>
        <v>1032158619</v>
      </c>
      <c r="Q593" s="167"/>
      <c r="S593" s="201">
        <f t="shared" si="56"/>
        <v>1134.97</v>
      </c>
      <c r="T593" s="201">
        <f t="shared" si="58"/>
        <v>1134.97</v>
      </c>
      <c r="U593" s="201">
        <f t="shared" si="58"/>
        <v>0</v>
      </c>
      <c r="V593" s="201">
        <f t="shared" si="58"/>
        <v>1032.158619</v>
      </c>
      <c r="W593" s="201">
        <f t="shared" si="58"/>
        <v>1032.158619</v>
      </c>
      <c r="X593" s="201">
        <f t="shared" si="58"/>
        <v>0</v>
      </c>
    </row>
    <row r="594" spans="1:24" s="169" customFormat="1" ht="26.4">
      <c r="A594" s="192" t="s">
        <v>944</v>
      </c>
      <c r="B594" s="165" t="s">
        <v>945</v>
      </c>
      <c r="C594" s="183" t="str">
        <f t="shared" si="52"/>
        <v>1037650</v>
      </c>
      <c r="D594" s="182" t="str">
        <f t="shared" si="53"/>
        <v>-SỜ Kẽ hoạch và Đău tư tỉnh Kontum</v>
      </c>
      <c r="E594" s="206"/>
      <c r="F594" s="207"/>
      <c r="G594" s="207"/>
      <c r="H594" s="205"/>
      <c r="I594" s="167">
        <v>8693361813</v>
      </c>
      <c r="J594" s="167">
        <v>876461813</v>
      </c>
      <c r="K594" s="167">
        <v>7620000000</v>
      </c>
      <c r="L594" s="168">
        <v>196900000</v>
      </c>
      <c r="M594" s="168">
        <f t="shared" si="54"/>
        <v>8693361813</v>
      </c>
      <c r="N594" s="168"/>
      <c r="O594" s="167">
        <v>7970202110</v>
      </c>
      <c r="P594" s="167">
        <f t="shared" si="55"/>
        <v>7970202110</v>
      </c>
      <c r="Q594" s="167"/>
      <c r="S594" s="201">
        <f t="shared" si="56"/>
        <v>8693.3618129999995</v>
      </c>
      <c r="T594" s="201">
        <f t="shared" si="58"/>
        <v>8693.3618129999995</v>
      </c>
      <c r="U594" s="201">
        <f t="shared" si="58"/>
        <v>0</v>
      </c>
      <c r="V594" s="201">
        <f t="shared" si="58"/>
        <v>7970.2021100000002</v>
      </c>
      <c r="W594" s="201">
        <f t="shared" si="58"/>
        <v>7970.2021100000002</v>
      </c>
      <c r="X594" s="201">
        <f t="shared" si="58"/>
        <v>0</v>
      </c>
    </row>
    <row r="595" spans="1:24" s="169" customFormat="1" ht="13.8">
      <c r="A595" s="192" t="s">
        <v>946</v>
      </c>
      <c r="B595" s="170" t="s">
        <v>689</v>
      </c>
      <c r="C595" s="183" t="str">
        <f t="shared" si="52"/>
        <v/>
      </c>
      <c r="D595" s="182" t="str">
        <f t="shared" si="53"/>
        <v/>
      </c>
      <c r="E595" s="206"/>
      <c r="F595" s="207"/>
      <c r="G595" s="207"/>
      <c r="H595" s="205"/>
      <c r="I595" s="167">
        <v>8693361813</v>
      </c>
      <c r="J595" s="167">
        <v>876461813</v>
      </c>
      <c r="K595" s="167">
        <v>7620000000</v>
      </c>
      <c r="L595" s="168">
        <v>196900000</v>
      </c>
      <c r="M595" s="168">
        <f t="shared" si="54"/>
        <v>8693361813</v>
      </c>
      <c r="N595" s="168"/>
      <c r="O595" s="167">
        <v>7970202110</v>
      </c>
      <c r="P595" s="167">
        <f t="shared" si="55"/>
        <v>7970202110</v>
      </c>
      <c r="Q595" s="167"/>
      <c r="S595" s="201">
        <f t="shared" si="56"/>
        <v>8693.3618129999995</v>
      </c>
      <c r="T595" s="201">
        <f t="shared" si="58"/>
        <v>8693.3618129999995</v>
      </c>
      <c r="U595" s="201">
        <f t="shared" si="58"/>
        <v>0</v>
      </c>
      <c r="V595" s="201">
        <f t="shared" si="58"/>
        <v>7970.2021100000002</v>
      </c>
      <c r="W595" s="201">
        <f t="shared" si="58"/>
        <v>7970.2021100000002</v>
      </c>
      <c r="X595" s="201">
        <f t="shared" si="58"/>
        <v>0</v>
      </c>
    </row>
    <row r="596" spans="1:24" s="169" customFormat="1" ht="13.8">
      <c r="A596" s="192"/>
      <c r="B596" s="170" t="s">
        <v>690</v>
      </c>
      <c r="C596" s="183" t="str">
        <f t="shared" si="52"/>
        <v/>
      </c>
      <c r="D596" s="182" t="str">
        <f t="shared" si="53"/>
        <v/>
      </c>
      <c r="E596" s="206"/>
      <c r="F596" s="207"/>
      <c r="G596" s="207"/>
      <c r="H596" s="205"/>
      <c r="I596" s="167">
        <v>6571361813</v>
      </c>
      <c r="J596" s="167">
        <v>237461813</v>
      </c>
      <c r="K596" s="167">
        <v>6223000000</v>
      </c>
      <c r="L596" s="168">
        <v>110900000</v>
      </c>
      <c r="M596" s="168">
        <f t="shared" si="54"/>
        <v>6571361813</v>
      </c>
      <c r="N596" s="168"/>
      <c r="O596" s="167">
        <v>6501680710</v>
      </c>
      <c r="P596" s="167">
        <f t="shared" si="55"/>
        <v>6501680710</v>
      </c>
      <c r="Q596" s="167"/>
      <c r="S596" s="201">
        <f t="shared" si="56"/>
        <v>6571.3618130000004</v>
      </c>
      <c r="T596" s="201">
        <f t="shared" si="58"/>
        <v>6571.3618130000004</v>
      </c>
      <c r="U596" s="201">
        <f t="shared" si="58"/>
        <v>0</v>
      </c>
      <c r="V596" s="201">
        <f t="shared" si="58"/>
        <v>6501.6807099999996</v>
      </c>
      <c r="W596" s="201">
        <f t="shared" si="58"/>
        <v>6501.6807099999996</v>
      </c>
      <c r="X596" s="201">
        <f t="shared" si="58"/>
        <v>0</v>
      </c>
    </row>
    <row r="597" spans="1:24" s="169" customFormat="1" ht="13.8">
      <c r="A597" s="193"/>
      <c r="B597" s="187"/>
      <c r="C597" s="183" t="str">
        <f t="shared" si="52"/>
        <v/>
      </c>
      <c r="D597" s="182" t="str">
        <f t="shared" si="53"/>
        <v/>
      </c>
      <c r="E597" s="192" t="s">
        <v>666</v>
      </c>
      <c r="F597" s="192" t="s">
        <v>947</v>
      </c>
      <c r="G597" s="192" t="s">
        <v>855</v>
      </c>
      <c r="H597" s="210" t="s">
        <v>1440</v>
      </c>
      <c r="I597" s="167">
        <v>502461813</v>
      </c>
      <c r="J597" s="167">
        <v>164461813</v>
      </c>
      <c r="K597" s="167">
        <v>338000000</v>
      </c>
      <c r="L597" s="171"/>
      <c r="M597" s="168">
        <f t="shared" si="54"/>
        <v>502461813</v>
      </c>
      <c r="N597" s="171"/>
      <c r="O597" s="167">
        <v>432780710</v>
      </c>
      <c r="P597" s="167">
        <f t="shared" si="55"/>
        <v>432780710</v>
      </c>
      <c r="Q597" s="167"/>
      <c r="S597" s="201">
        <f t="shared" si="56"/>
        <v>502.46181300000001</v>
      </c>
      <c r="T597" s="201">
        <f t="shared" si="58"/>
        <v>502.46181300000001</v>
      </c>
      <c r="U597" s="201">
        <f t="shared" si="58"/>
        <v>0</v>
      </c>
      <c r="V597" s="201">
        <f t="shared" si="58"/>
        <v>432.78071</v>
      </c>
      <c r="W597" s="201">
        <f t="shared" si="58"/>
        <v>432.78071</v>
      </c>
      <c r="X597" s="201">
        <f t="shared" si="58"/>
        <v>0</v>
      </c>
    </row>
    <row r="598" spans="1:24" s="169" customFormat="1" ht="13.8">
      <c r="A598" s="194"/>
      <c r="B598" s="184"/>
      <c r="C598" s="183" t="str">
        <f t="shared" ref="C598:C661" si="59">IF(B598&lt;&gt;"",IF(AND(LEFT(B598,1)&gt;="0",LEFT(B598,1)&lt;="9"),LEFT(B598,7),""),"")</f>
        <v/>
      </c>
      <c r="D598" s="182" t="str">
        <f t="shared" si="53"/>
        <v/>
      </c>
      <c r="E598" s="192" t="s">
        <v>679</v>
      </c>
      <c r="F598" s="192" t="s">
        <v>947</v>
      </c>
      <c r="G598" s="192" t="s">
        <v>855</v>
      </c>
      <c r="H598" s="210" t="s">
        <v>1440</v>
      </c>
      <c r="I598" s="167">
        <v>76400000</v>
      </c>
      <c r="J598" s="167">
        <v>73000000</v>
      </c>
      <c r="K598" s="166"/>
      <c r="L598" s="168">
        <v>3400000</v>
      </c>
      <c r="M598" s="168">
        <f t="shared" si="54"/>
        <v>76400000</v>
      </c>
      <c r="N598" s="168"/>
      <c r="O598" s="167">
        <v>76400000</v>
      </c>
      <c r="P598" s="167">
        <f t="shared" si="55"/>
        <v>76400000</v>
      </c>
      <c r="Q598" s="167"/>
      <c r="S598" s="201">
        <f t="shared" si="56"/>
        <v>76.400000000000006</v>
      </c>
      <c r="T598" s="201">
        <f t="shared" si="58"/>
        <v>76.400000000000006</v>
      </c>
      <c r="U598" s="201">
        <f t="shared" si="58"/>
        <v>0</v>
      </c>
      <c r="V598" s="201">
        <f t="shared" si="58"/>
        <v>76.400000000000006</v>
      </c>
      <c r="W598" s="201">
        <f t="shared" si="58"/>
        <v>76.400000000000006</v>
      </c>
      <c r="X598" s="201">
        <f t="shared" si="58"/>
        <v>0</v>
      </c>
    </row>
    <row r="599" spans="1:24" s="169" customFormat="1" ht="13.8">
      <c r="A599" s="194"/>
      <c r="B599" s="184"/>
      <c r="C599" s="183" t="str">
        <f t="shared" si="59"/>
        <v/>
      </c>
      <c r="D599" s="182" t="str">
        <f t="shared" ref="D599:D662" si="60">IF(C599&lt;&gt;"",RIGHT(B599,LEN(B599)-7),"")</f>
        <v/>
      </c>
      <c r="E599" s="192" t="s">
        <v>666</v>
      </c>
      <c r="F599" s="192" t="s">
        <v>947</v>
      </c>
      <c r="G599" s="192" t="s">
        <v>695</v>
      </c>
      <c r="H599" s="210" t="s">
        <v>1440</v>
      </c>
      <c r="I599" s="167">
        <v>5885000000</v>
      </c>
      <c r="J599" s="166"/>
      <c r="K599" s="167">
        <v>5885000000</v>
      </c>
      <c r="L599" s="171"/>
      <c r="M599" s="168">
        <f t="shared" ref="M599:M662" si="61">I599-N599</f>
        <v>5885000000</v>
      </c>
      <c r="N599" s="171"/>
      <c r="O599" s="167">
        <v>5885000000</v>
      </c>
      <c r="P599" s="167">
        <f t="shared" ref="P599:P662" si="62">O599-Q599</f>
        <v>5885000000</v>
      </c>
      <c r="Q599" s="167"/>
      <c r="S599" s="201">
        <f t="shared" ref="S599:S662" si="63">I599/1000000</f>
        <v>5885</v>
      </c>
      <c r="T599" s="201">
        <f t="shared" si="58"/>
        <v>5885</v>
      </c>
      <c r="U599" s="201">
        <f t="shared" si="58"/>
        <v>0</v>
      </c>
      <c r="V599" s="201">
        <f t="shared" si="58"/>
        <v>5885</v>
      </c>
      <c r="W599" s="201">
        <f t="shared" si="58"/>
        <v>5885</v>
      </c>
      <c r="X599" s="201">
        <f t="shared" si="58"/>
        <v>0</v>
      </c>
    </row>
    <row r="600" spans="1:24" s="169" customFormat="1" ht="13.8">
      <c r="A600" s="195"/>
      <c r="B600" s="188"/>
      <c r="C600" s="183" t="str">
        <f t="shared" si="59"/>
        <v/>
      </c>
      <c r="D600" s="182" t="str">
        <f t="shared" si="60"/>
        <v/>
      </c>
      <c r="E600" s="192" t="s">
        <v>679</v>
      </c>
      <c r="F600" s="192" t="s">
        <v>947</v>
      </c>
      <c r="G600" s="192" t="s">
        <v>695</v>
      </c>
      <c r="H600" s="210" t="s">
        <v>1440</v>
      </c>
      <c r="I600" s="167">
        <v>107500000</v>
      </c>
      <c r="J600" s="166"/>
      <c r="K600" s="166"/>
      <c r="L600" s="168">
        <v>107500000</v>
      </c>
      <c r="M600" s="168">
        <f t="shared" si="61"/>
        <v>107500000</v>
      </c>
      <c r="N600" s="168"/>
      <c r="O600" s="167">
        <v>107500000</v>
      </c>
      <c r="P600" s="167">
        <f t="shared" si="62"/>
        <v>107500000</v>
      </c>
      <c r="Q600" s="167"/>
      <c r="S600" s="201">
        <f t="shared" si="63"/>
        <v>107.5</v>
      </c>
      <c r="T600" s="201">
        <f t="shared" si="58"/>
        <v>107.5</v>
      </c>
      <c r="U600" s="201">
        <f t="shared" si="58"/>
        <v>0</v>
      </c>
      <c r="V600" s="201">
        <f t="shared" si="58"/>
        <v>107.5</v>
      </c>
      <c r="W600" s="201">
        <f t="shared" si="58"/>
        <v>107.5</v>
      </c>
      <c r="X600" s="201">
        <f t="shared" si="58"/>
        <v>0</v>
      </c>
    </row>
    <row r="601" spans="1:24" s="169" customFormat="1" ht="13.8">
      <c r="A601" s="192"/>
      <c r="B601" s="170" t="s">
        <v>686</v>
      </c>
      <c r="C601" s="183" t="str">
        <f t="shared" si="59"/>
        <v/>
      </c>
      <c r="D601" s="182" t="str">
        <f t="shared" si="60"/>
        <v/>
      </c>
      <c r="E601" s="206"/>
      <c r="F601" s="207"/>
      <c r="G601" s="207"/>
      <c r="H601" s="205"/>
      <c r="I601" s="167">
        <v>2122000000</v>
      </c>
      <c r="J601" s="167">
        <v>639000000</v>
      </c>
      <c r="K601" s="167">
        <v>1397000000</v>
      </c>
      <c r="L601" s="168">
        <v>86000000</v>
      </c>
      <c r="M601" s="168">
        <f t="shared" si="61"/>
        <v>2122000000</v>
      </c>
      <c r="N601" s="168"/>
      <c r="O601" s="167">
        <v>1468521400</v>
      </c>
      <c r="P601" s="167">
        <f t="shared" si="62"/>
        <v>1468521400</v>
      </c>
      <c r="Q601" s="167"/>
      <c r="S601" s="201">
        <f t="shared" si="63"/>
        <v>2122</v>
      </c>
      <c r="T601" s="201">
        <f t="shared" si="58"/>
        <v>2122</v>
      </c>
      <c r="U601" s="201">
        <f t="shared" si="58"/>
        <v>0</v>
      </c>
      <c r="V601" s="201">
        <f t="shared" si="58"/>
        <v>1468.5214000000001</v>
      </c>
      <c r="W601" s="201">
        <f t="shared" si="58"/>
        <v>1468.5214000000001</v>
      </c>
      <c r="X601" s="201">
        <f t="shared" si="58"/>
        <v>0</v>
      </c>
    </row>
    <row r="602" spans="1:24" s="169" customFormat="1" ht="13.8">
      <c r="A602" s="193"/>
      <c r="B602" s="187"/>
      <c r="C602" s="183" t="str">
        <f t="shared" si="59"/>
        <v/>
      </c>
      <c r="D602" s="182" t="str">
        <f t="shared" si="60"/>
        <v/>
      </c>
      <c r="E602" s="192" t="s">
        <v>681</v>
      </c>
      <c r="F602" s="192" t="s">
        <v>947</v>
      </c>
      <c r="G602" s="192" t="s">
        <v>780</v>
      </c>
      <c r="H602" s="210" t="s">
        <v>1440</v>
      </c>
      <c r="I602" s="167">
        <v>530000000</v>
      </c>
      <c r="J602" s="167">
        <v>530000000</v>
      </c>
      <c r="K602" s="166"/>
      <c r="L602" s="171"/>
      <c r="M602" s="168">
        <f t="shared" si="61"/>
        <v>530000000</v>
      </c>
      <c r="N602" s="171"/>
      <c r="O602" s="166"/>
      <c r="P602" s="167">
        <f t="shared" si="62"/>
        <v>0</v>
      </c>
      <c r="Q602" s="166"/>
      <c r="S602" s="201">
        <f t="shared" si="63"/>
        <v>530</v>
      </c>
      <c r="T602" s="201">
        <f t="shared" si="58"/>
        <v>530</v>
      </c>
      <c r="U602" s="201">
        <f t="shared" si="58"/>
        <v>0</v>
      </c>
      <c r="V602" s="201">
        <f t="shared" si="58"/>
        <v>0</v>
      </c>
      <c r="W602" s="201">
        <f t="shared" si="58"/>
        <v>0</v>
      </c>
      <c r="X602" s="201">
        <f t="shared" si="58"/>
        <v>0</v>
      </c>
    </row>
    <row r="603" spans="1:24" s="169" customFormat="1" ht="13.8">
      <c r="A603" s="194"/>
      <c r="B603" s="184"/>
      <c r="C603" s="183" t="str">
        <f t="shared" si="59"/>
        <v/>
      </c>
      <c r="D603" s="182" t="str">
        <f t="shared" si="60"/>
        <v/>
      </c>
      <c r="E603" s="192" t="s">
        <v>681</v>
      </c>
      <c r="F603" s="192" t="s">
        <v>947</v>
      </c>
      <c r="G603" s="192" t="s">
        <v>695</v>
      </c>
      <c r="H603" s="210" t="s">
        <v>1440</v>
      </c>
      <c r="I603" s="167">
        <v>1531000000</v>
      </c>
      <c r="J603" s="167">
        <v>109000000</v>
      </c>
      <c r="K603" s="167">
        <v>1397000000</v>
      </c>
      <c r="L603" s="168">
        <v>25000000</v>
      </c>
      <c r="M603" s="168">
        <f t="shared" si="61"/>
        <v>1531000000</v>
      </c>
      <c r="N603" s="168"/>
      <c r="O603" s="167">
        <v>1407521400</v>
      </c>
      <c r="P603" s="167">
        <f t="shared" si="62"/>
        <v>1407521400</v>
      </c>
      <c r="Q603" s="167"/>
      <c r="S603" s="201">
        <f t="shared" si="63"/>
        <v>1531</v>
      </c>
      <c r="T603" s="201">
        <f t="shared" si="58"/>
        <v>1531</v>
      </c>
      <c r="U603" s="201">
        <f t="shared" si="58"/>
        <v>0</v>
      </c>
      <c r="V603" s="201">
        <f t="shared" si="58"/>
        <v>1407.5214000000001</v>
      </c>
      <c r="W603" s="201">
        <f t="shared" si="58"/>
        <v>1407.5214000000001</v>
      </c>
      <c r="X603" s="201">
        <f t="shared" si="58"/>
        <v>0</v>
      </c>
    </row>
    <row r="604" spans="1:24" s="169" customFormat="1" ht="13.8">
      <c r="A604" s="195"/>
      <c r="B604" s="188"/>
      <c r="C604" s="183" t="str">
        <f t="shared" si="59"/>
        <v/>
      </c>
      <c r="D604" s="182" t="str">
        <f t="shared" si="60"/>
        <v/>
      </c>
      <c r="E604" s="192" t="s">
        <v>667</v>
      </c>
      <c r="F604" s="192" t="s">
        <v>947</v>
      </c>
      <c r="G604" s="192" t="s">
        <v>695</v>
      </c>
      <c r="H604" s="210" t="s">
        <v>1440</v>
      </c>
      <c r="I604" s="167">
        <v>61000000</v>
      </c>
      <c r="J604" s="166"/>
      <c r="K604" s="166"/>
      <c r="L604" s="168">
        <v>61000000</v>
      </c>
      <c r="M604" s="168">
        <f t="shared" si="61"/>
        <v>61000000</v>
      </c>
      <c r="N604" s="168"/>
      <c r="O604" s="167">
        <v>61000000</v>
      </c>
      <c r="P604" s="167">
        <f t="shared" si="62"/>
        <v>61000000</v>
      </c>
      <c r="Q604" s="167"/>
      <c r="S604" s="201">
        <f t="shared" si="63"/>
        <v>61</v>
      </c>
      <c r="T604" s="201">
        <f t="shared" si="58"/>
        <v>61</v>
      </c>
      <c r="U604" s="201">
        <f t="shared" si="58"/>
        <v>0</v>
      </c>
      <c r="V604" s="201">
        <f t="shared" si="58"/>
        <v>61</v>
      </c>
      <c r="W604" s="201">
        <f t="shared" si="58"/>
        <v>61</v>
      </c>
      <c r="X604" s="201">
        <f t="shared" si="58"/>
        <v>0</v>
      </c>
    </row>
    <row r="605" spans="1:24" s="169" customFormat="1" ht="27.6">
      <c r="A605" s="192" t="s">
        <v>948</v>
      </c>
      <c r="B605" s="165" t="s">
        <v>949</v>
      </c>
      <c r="C605" s="183" t="str">
        <f t="shared" si="59"/>
        <v>1044909</v>
      </c>
      <c r="D605" s="182" t="str">
        <f t="shared" si="60"/>
        <v>-Trung Tâm Bảo trợ và Công tác xã hội tỉnh Kon Tum</v>
      </c>
      <c r="E605" s="206"/>
      <c r="F605" s="207"/>
      <c r="G605" s="207"/>
      <c r="H605" s="205"/>
      <c r="I605" s="167">
        <v>10253289000</v>
      </c>
      <c r="J605" s="167">
        <v>121663000</v>
      </c>
      <c r="K605" s="167">
        <v>9542000000</v>
      </c>
      <c r="L605" s="168">
        <v>589626000</v>
      </c>
      <c r="M605" s="168">
        <f t="shared" si="61"/>
        <v>10253289000</v>
      </c>
      <c r="N605" s="168"/>
      <c r="O605" s="167">
        <v>9924850236</v>
      </c>
      <c r="P605" s="167">
        <f t="shared" si="62"/>
        <v>9924850236</v>
      </c>
      <c r="Q605" s="167"/>
      <c r="S605" s="201">
        <f t="shared" si="63"/>
        <v>10253.289000000001</v>
      </c>
      <c r="T605" s="201">
        <f t="shared" si="58"/>
        <v>10253.289000000001</v>
      </c>
      <c r="U605" s="201">
        <f t="shared" si="58"/>
        <v>0</v>
      </c>
      <c r="V605" s="201">
        <f t="shared" si="58"/>
        <v>9924.8502360000002</v>
      </c>
      <c r="W605" s="201">
        <f t="shared" si="58"/>
        <v>9924.8502360000002</v>
      </c>
      <c r="X605" s="201">
        <f t="shared" si="58"/>
        <v>0</v>
      </c>
    </row>
    <row r="606" spans="1:24" s="169" customFormat="1" ht="13.8">
      <c r="A606" s="192" t="s">
        <v>950</v>
      </c>
      <c r="B606" s="170" t="s">
        <v>689</v>
      </c>
      <c r="C606" s="183" t="str">
        <f t="shared" si="59"/>
        <v/>
      </c>
      <c r="D606" s="182" t="str">
        <f t="shared" si="60"/>
        <v/>
      </c>
      <c r="E606" s="206"/>
      <c r="F606" s="207"/>
      <c r="G606" s="207"/>
      <c r="H606" s="205"/>
      <c r="I606" s="167">
        <v>10228289000</v>
      </c>
      <c r="J606" s="167">
        <v>121663000</v>
      </c>
      <c r="K606" s="167">
        <v>9542000000</v>
      </c>
      <c r="L606" s="168">
        <v>564626000</v>
      </c>
      <c r="M606" s="168">
        <f t="shared" si="61"/>
        <v>10228289000</v>
      </c>
      <c r="N606" s="168"/>
      <c r="O606" s="167">
        <v>9899865236</v>
      </c>
      <c r="P606" s="167">
        <f t="shared" si="62"/>
        <v>9899865236</v>
      </c>
      <c r="Q606" s="167"/>
      <c r="S606" s="201">
        <f t="shared" si="63"/>
        <v>10228.289000000001</v>
      </c>
      <c r="T606" s="201">
        <f t="shared" si="58"/>
        <v>10228.289000000001</v>
      </c>
      <c r="U606" s="201">
        <f t="shared" si="58"/>
        <v>0</v>
      </c>
      <c r="V606" s="201">
        <f t="shared" si="58"/>
        <v>9899.8652359999996</v>
      </c>
      <c r="W606" s="201">
        <f t="shared" si="58"/>
        <v>9899.8652359999996</v>
      </c>
      <c r="X606" s="201">
        <f t="shared" si="58"/>
        <v>0</v>
      </c>
    </row>
    <row r="607" spans="1:24" s="169" customFormat="1" ht="13.8">
      <c r="A607" s="192"/>
      <c r="B607" s="170" t="s">
        <v>690</v>
      </c>
      <c r="C607" s="183" t="str">
        <f t="shared" si="59"/>
        <v/>
      </c>
      <c r="D607" s="182" t="str">
        <f t="shared" si="60"/>
        <v/>
      </c>
      <c r="E607" s="206"/>
      <c r="F607" s="207"/>
      <c r="G607" s="207"/>
      <c r="H607" s="205"/>
      <c r="I607" s="167">
        <v>4673963000</v>
      </c>
      <c r="J607" s="167">
        <v>121663000</v>
      </c>
      <c r="K607" s="167">
        <v>3654000000</v>
      </c>
      <c r="L607" s="168">
        <v>898300000</v>
      </c>
      <c r="M607" s="168">
        <f t="shared" si="61"/>
        <v>4673963000</v>
      </c>
      <c r="N607" s="168"/>
      <c r="O607" s="167">
        <v>4552300000</v>
      </c>
      <c r="P607" s="167">
        <f t="shared" si="62"/>
        <v>4552300000</v>
      </c>
      <c r="Q607" s="167"/>
      <c r="S607" s="201">
        <f t="shared" si="63"/>
        <v>4673.9629999999997</v>
      </c>
      <c r="T607" s="201">
        <f t="shared" si="58"/>
        <v>4673.9629999999997</v>
      </c>
      <c r="U607" s="201">
        <f t="shared" si="58"/>
        <v>0</v>
      </c>
      <c r="V607" s="201">
        <f t="shared" si="58"/>
        <v>4552.3</v>
      </c>
      <c r="W607" s="201">
        <f t="shared" si="58"/>
        <v>4552.3</v>
      </c>
      <c r="X607" s="201">
        <f t="shared" si="58"/>
        <v>0</v>
      </c>
    </row>
    <row r="608" spans="1:24" s="169" customFormat="1" ht="13.8">
      <c r="A608" s="193"/>
      <c r="B608" s="187"/>
      <c r="C608" s="183" t="str">
        <f t="shared" si="59"/>
        <v/>
      </c>
      <c r="D608" s="182" t="str">
        <f t="shared" si="60"/>
        <v/>
      </c>
      <c r="E608" s="192" t="s">
        <v>666</v>
      </c>
      <c r="F608" s="192" t="s">
        <v>765</v>
      </c>
      <c r="G608" s="192" t="s">
        <v>767</v>
      </c>
      <c r="H608" s="210" t="s">
        <v>1440</v>
      </c>
      <c r="I608" s="167">
        <v>4547263000</v>
      </c>
      <c r="J608" s="167">
        <v>121663000</v>
      </c>
      <c r="K608" s="167">
        <v>3654000000</v>
      </c>
      <c r="L608" s="168">
        <v>771600000</v>
      </c>
      <c r="M608" s="168">
        <f t="shared" si="61"/>
        <v>4547263000</v>
      </c>
      <c r="N608" s="168"/>
      <c r="O608" s="167">
        <v>4425600000</v>
      </c>
      <c r="P608" s="167">
        <f t="shared" si="62"/>
        <v>4425600000</v>
      </c>
      <c r="Q608" s="167"/>
      <c r="S608" s="201">
        <f t="shared" si="63"/>
        <v>4547.2629999999999</v>
      </c>
      <c r="T608" s="201">
        <f t="shared" si="58"/>
        <v>4547.2629999999999</v>
      </c>
      <c r="U608" s="201">
        <f t="shared" si="58"/>
        <v>0</v>
      </c>
      <c r="V608" s="201">
        <f t="shared" si="58"/>
        <v>4425.6000000000004</v>
      </c>
      <c r="W608" s="201">
        <f t="shared" si="58"/>
        <v>4425.6000000000004</v>
      </c>
      <c r="X608" s="201">
        <f t="shared" si="58"/>
        <v>0</v>
      </c>
    </row>
    <row r="609" spans="1:24" s="169" customFormat="1" ht="13.8">
      <c r="A609" s="195"/>
      <c r="B609" s="188"/>
      <c r="C609" s="183" t="str">
        <f t="shared" si="59"/>
        <v/>
      </c>
      <c r="D609" s="182" t="str">
        <f t="shared" si="60"/>
        <v/>
      </c>
      <c r="E609" s="192" t="s">
        <v>679</v>
      </c>
      <c r="F609" s="192" t="s">
        <v>765</v>
      </c>
      <c r="G609" s="192" t="s">
        <v>767</v>
      </c>
      <c r="H609" s="210" t="s">
        <v>1440</v>
      </c>
      <c r="I609" s="167">
        <v>126700000</v>
      </c>
      <c r="J609" s="166"/>
      <c r="K609" s="166"/>
      <c r="L609" s="168">
        <v>126700000</v>
      </c>
      <c r="M609" s="168">
        <f t="shared" si="61"/>
        <v>126700000</v>
      </c>
      <c r="N609" s="168"/>
      <c r="O609" s="167">
        <v>126700000</v>
      </c>
      <c r="P609" s="167">
        <f t="shared" si="62"/>
        <v>126700000</v>
      </c>
      <c r="Q609" s="167"/>
      <c r="S609" s="201">
        <f t="shared" si="63"/>
        <v>126.7</v>
      </c>
      <c r="T609" s="201">
        <f t="shared" si="58"/>
        <v>126.7</v>
      </c>
      <c r="U609" s="201">
        <f t="shared" si="58"/>
        <v>0</v>
      </c>
      <c r="V609" s="201">
        <f t="shared" si="58"/>
        <v>126.7</v>
      </c>
      <c r="W609" s="201">
        <f t="shared" si="58"/>
        <v>126.7</v>
      </c>
      <c r="X609" s="201">
        <f t="shared" si="58"/>
        <v>0</v>
      </c>
    </row>
    <row r="610" spans="1:24" s="169" customFormat="1" ht="13.8">
      <c r="A610" s="192"/>
      <c r="B610" s="170" t="s">
        <v>686</v>
      </c>
      <c r="C610" s="183" t="str">
        <f t="shared" si="59"/>
        <v/>
      </c>
      <c r="D610" s="182" t="str">
        <f t="shared" si="60"/>
        <v/>
      </c>
      <c r="E610" s="206"/>
      <c r="F610" s="207"/>
      <c r="G610" s="207"/>
      <c r="H610" s="205"/>
      <c r="I610" s="167">
        <v>5554326000</v>
      </c>
      <c r="J610" s="166"/>
      <c r="K610" s="167">
        <v>5888000000</v>
      </c>
      <c r="L610" s="168">
        <v>-333674000</v>
      </c>
      <c r="M610" s="168">
        <f t="shared" si="61"/>
        <v>5554326000</v>
      </c>
      <c r="N610" s="168"/>
      <c r="O610" s="167">
        <v>5347565236</v>
      </c>
      <c r="P610" s="167">
        <f t="shared" si="62"/>
        <v>5347565236</v>
      </c>
      <c r="Q610" s="167"/>
      <c r="S610" s="201">
        <f t="shared" si="63"/>
        <v>5554.326</v>
      </c>
      <c r="T610" s="201">
        <f t="shared" si="58"/>
        <v>5554.326</v>
      </c>
      <c r="U610" s="201">
        <f t="shared" si="58"/>
        <v>0</v>
      </c>
      <c r="V610" s="201">
        <f t="shared" si="58"/>
        <v>5347.5652360000004</v>
      </c>
      <c r="W610" s="201">
        <f t="shared" si="58"/>
        <v>5347.5652360000004</v>
      </c>
      <c r="X610" s="201">
        <f t="shared" si="58"/>
        <v>0</v>
      </c>
    </row>
    <row r="611" spans="1:24" s="169" customFormat="1" ht="13.8">
      <c r="A611" s="193"/>
      <c r="B611" s="187"/>
      <c r="C611" s="183" t="str">
        <f t="shared" si="59"/>
        <v/>
      </c>
      <c r="D611" s="182" t="str">
        <f t="shared" si="60"/>
        <v/>
      </c>
      <c r="E611" s="192" t="s">
        <v>681</v>
      </c>
      <c r="F611" s="192" t="s">
        <v>765</v>
      </c>
      <c r="G611" s="192" t="s">
        <v>766</v>
      </c>
      <c r="H611" s="210" t="s">
        <v>1440</v>
      </c>
      <c r="I611" s="166"/>
      <c r="J611" s="166"/>
      <c r="K611" s="167">
        <v>720000000</v>
      </c>
      <c r="L611" s="168">
        <v>-720000000</v>
      </c>
      <c r="M611" s="168">
        <f t="shared" si="61"/>
        <v>0</v>
      </c>
      <c r="N611" s="168"/>
      <c r="O611" s="166"/>
      <c r="P611" s="167">
        <f t="shared" si="62"/>
        <v>0</v>
      </c>
      <c r="Q611" s="166"/>
      <c r="S611" s="201">
        <f t="shared" si="63"/>
        <v>0</v>
      </c>
      <c r="T611" s="201">
        <f t="shared" si="58"/>
        <v>0</v>
      </c>
      <c r="U611" s="201">
        <f t="shared" si="58"/>
        <v>0</v>
      </c>
      <c r="V611" s="201">
        <f t="shared" si="58"/>
        <v>0</v>
      </c>
      <c r="W611" s="201">
        <f t="shared" si="58"/>
        <v>0</v>
      </c>
      <c r="X611" s="201">
        <f t="shared" si="58"/>
        <v>0</v>
      </c>
    </row>
    <row r="612" spans="1:24" s="169" customFormat="1" ht="13.8">
      <c r="A612" s="195"/>
      <c r="B612" s="188"/>
      <c r="C612" s="183" t="str">
        <f t="shared" si="59"/>
        <v/>
      </c>
      <c r="D612" s="182" t="str">
        <f t="shared" si="60"/>
        <v/>
      </c>
      <c r="E612" s="192" t="s">
        <v>681</v>
      </c>
      <c r="F612" s="192" t="s">
        <v>765</v>
      </c>
      <c r="G612" s="192" t="s">
        <v>767</v>
      </c>
      <c r="H612" s="210" t="s">
        <v>1440</v>
      </c>
      <c r="I612" s="167">
        <v>5554326000</v>
      </c>
      <c r="J612" s="166"/>
      <c r="K612" s="167">
        <v>5168000000</v>
      </c>
      <c r="L612" s="168">
        <v>386326000</v>
      </c>
      <c r="M612" s="168">
        <f t="shared" si="61"/>
        <v>5554326000</v>
      </c>
      <c r="N612" s="168"/>
      <c r="O612" s="167">
        <v>5347565236</v>
      </c>
      <c r="P612" s="167">
        <f t="shared" si="62"/>
        <v>5347565236</v>
      </c>
      <c r="Q612" s="167"/>
      <c r="S612" s="201">
        <f t="shared" si="63"/>
        <v>5554.326</v>
      </c>
      <c r="T612" s="201">
        <f t="shared" si="58"/>
        <v>5554.326</v>
      </c>
      <c r="U612" s="201">
        <f t="shared" si="58"/>
        <v>0</v>
      </c>
      <c r="V612" s="201">
        <f t="shared" si="58"/>
        <v>5347.5652360000004</v>
      </c>
      <c r="W612" s="201">
        <f t="shared" si="58"/>
        <v>5347.5652360000004</v>
      </c>
      <c r="X612" s="201">
        <f t="shared" si="58"/>
        <v>0</v>
      </c>
    </row>
    <row r="613" spans="1:24" s="169" customFormat="1" ht="13.8">
      <c r="A613" s="192" t="s">
        <v>951</v>
      </c>
      <c r="B613" s="170" t="s">
        <v>701</v>
      </c>
      <c r="C613" s="183" t="str">
        <f t="shared" si="59"/>
        <v/>
      </c>
      <c r="D613" s="182" t="str">
        <f t="shared" si="60"/>
        <v/>
      </c>
      <c r="E613" s="206"/>
      <c r="F613" s="207"/>
      <c r="G613" s="207"/>
      <c r="H613" s="205"/>
      <c r="I613" s="167">
        <v>25000000</v>
      </c>
      <c r="J613" s="166"/>
      <c r="K613" s="166"/>
      <c r="L613" s="168">
        <v>25000000</v>
      </c>
      <c r="M613" s="168">
        <f t="shared" si="61"/>
        <v>25000000</v>
      </c>
      <c r="N613" s="168"/>
      <c r="O613" s="167">
        <v>24985000</v>
      </c>
      <c r="P613" s="167">
        <f t="shared" si="62"/>
        <v>24985000</v>
      </c>
      <c r="Q613" s="167"/>
      <c r="S613" s="201">
        <f t="shared" si="63"/>
        <v>25</v>
      </c>
      <c r="T613" s="201">
        <f t="shared" si="58"/>
        <v>25</v>
      </c>
      <c r="U613" s="201">
        <f t="shared" si="58"/>
        <v>0</v>
      </c>
      <c r="V613" s="201">
        <f t="shared" si="58"/>
        <v>24.984999999999999</v>
      </c>
      <c r="W613" s="201">
        <f t="shared" si="58"/>
        <v>24.984999999999999</v>
      </c>
      <c r="X613" s="201">
        <f t="shared" si="58"/>
        <v>0</v>
      </c>
    </row>
    <row r="614" spans="1:24" s="169" customFormat="1" ht="13.8">
      <c r="A614" s="192"/>
      <c r="B614" s="164"/>
      <c r="C614" s="183" t="str">
        <f t="shared" si="59"/>
        <v/>
      </c>
      <c r="D614" s="182" t="str">
        <f t="shared" si="60"/>
        <v/>
      </c>
      <c r="E614" s="192" t="s">
        <v>667</v>
      </c>
      <c r="F614" s="192" t="s">
        <v>765</v>
      </c>
      <c r="G614" s="192" t="s">
        <v>767</v>
      </c>
      <c r="H614" s="210" t="s">
        <v>1450</v>
      </c>
      <c r="I614" s="167">
        <v>25000000</v>
      </c>
      <c r="J614" s="166"/>
      <c r="K614" s="166"/>
      <c r="L614" s="168">
        <v>25000000</v>
      </c>
      <c r="M614" s="168">
        <f t="shared" si="61"/>
        <v>25000000</v>
      </c>
      <c r="N614" s="168"/>
      <c r="O614" s="167">
        <v>24985000</v>
      </c>
      <c r="P614" s="167">
        <f t="shared" si="62"/>
        <v>24985000</v>
      </c>
      <c r="Q614" s="167"/>
      <c r="S614" s="201">
        <f t="shared" si="63"/>
        <v>25</v>
      </c>
      <c r="T614" s="201">
        <f t="shared" si="58"/>
        <v>25</v>
      </c>
      <c r="U614" s="201">
        <f t="shared" si="58"/>
        <v>0</v>
      </c>
      <c r="V614" s="201">
        <f t="shared" si="58"/>
        <v>24.984999999999999</v>
      </c>
      <c r="W614" s="201">
        <f t="shared" si="58"/>
        <v>24.984999999999999</v>
      </c>
      <c r="X614" s="201">
        <f t="shared" si="58"/>
        <v>0</v>
      </c>
    </row>
    <row r="615" spans="1:24" s="169" customFormat="1" ht="26.4">
      <c r="A615" s="192" t="s">
        <v>952</v>
      </c>
      <c r="B615" s="165" t="s">
        <v>953</v>
      </c>
      <c r="C615" s="183" t="str">
        <f t="shared" si="59"/>
        <v>1044910</v>
      </c>
      <c r="D615" s="182" t="str">
        <f t="shared" si="60"/>
        <v>-Trung tâm Đăng kiềm 82.01.s</v>
      </c>
      <c r="E615" s="206"/>
      <c r="F615" s="207"/>
      <c r="G615" s="207"/>
      <c r="H615" s="205"/>
      <c r="I615" s="167">
        <v>134200000</v>
      </c>
      <c r="J615" s="166"/>
      <c r="K615" s="166"/>
      <c r="L615" s="168">
        <v>134200000</v>
      </c>
      <c r="M615" s="168">
        <f t="shared" si="61"/>
        <v>134200000</v>
      </c>
      <c r="N615" s="168"/>
      <c r="O615" s="167">
        <v>104000000</v>
      </c>
      <c r="P615" s="167">
        <f t="shared" si="62"/>
        <v>104000000</v>
      </c>
      <c r="Q615" s="167"/>
      <c r="S615" s="201">
        <f t="shared" si="63"/>
        <v>134.19999999999999</v>
      </c>
      <c r="T615" s="201">
        <f t="shared" si="58"/>
        <v>134.19999999999999</v>
      </c>
      <c r="U615" s="201">
        <f t="shared" si="58"/>
        <v>0</v>
      </c>
      <c r="V615" s="201">
        <f t="shared" si="58"/>
        <v>104</v>
      </c>
      <c r="W615" s="201">
        <f t="shared" si="58"/>
        <v>104</v>
      </c>
      <c r="X615" s="201">
        <f t="shared" si="58"/>
        <v>0</v>
      </c>
    </row>
    <row r="616" spans="1:24" s="169" customFormat="1" ht="13.8">
      <c r="A616" s="192" t="s">
        <v>954</v>
      </c>
      <c r="B616" s="170" t="s">
        <v>689</v>
      </c>
      <c r="C616" s="183" t="str">
        <f t="shared" si="59"/>
        <v/>
      </c>
      <c r="D616" s="182" t="str">
        <f t="shared" si="60"/>
        <v/>
      </c>
      <c r="E616" s="206"/>
      <c r="F616" s="207"/>
      <c r="G616" s="207"/>
      <c r="H616" s="205"/>
      <c r="I616" s="167">
        <v>134200000</v>
      </c>
      <c r="J616" s="166"/>
      <c r="K616" s="166"/>
      <c r="L616" s="168">
        <v>134200000</v>
      </c>
      <c r="M616" s="168">
        <f t="shared" si="61"/>
        <v>134200000</v>
      </c>
      <c r="N616" s="168"/>
      <c r="O616" s="167">
        <v>104000000</v>
      </c>
      <c r="P616" s="167">
        <f t="shared" si="62"/>
        <v>104000000</v>
      </c>
      <c r="Q616" s="167"/>
      <c r="S616" s="201">
        <f t="shared" si="63"/>
        <v>134.19999999999999</v>
      </c>
      <c r="T616" s="201">
        <f t="shared" si="58"/>
        <v>134.19999999999999</v>
      </c>
      <c r="U616" s="201">
        <f t="shared" si="58"/>
        <v>0</v>
      </c>
      <c r="V616" s="201">
        <f t="shared" si="58"/>
        <v>104</v>
      </c>
      <c r="W616" s="201">
        <f t="shared" si="58"/>
        <v>104</v>
      </c>
      <c r="X616" s="201">
        <f t="shared" si="58"/>
        <v>0</v>
      </c>
    </row>
    <row r="617" spans="1:24" s="169" customFormat="1" ht="13.8">
      <c r="A617" s="192"/>
      <c r="B617" s="170" t="s">
        <v>686</v>
      </c>
      <c r="C617" s="183" t="str">
        <f t="shared" si="59"/>
        <v/>
      </c>
      <c r="D617" s="182" t="str">
        <f t="shared" si="60"/>
        <v/>
      </c>
      <c r="E617" s="206"/>
      <c r="F617" s="207"/>
      <c r="G617" s="207"/>
      <c r="H617" s="205"/>
      <c r="I617" s="167">
        <v>134200000</v>
      </c>
      <c r="J617" s="166"/>
      <c r="K617" s="166"/>
      <c r="L617" s="168">
        <v>134200000</v>
      </c>
      <c r="M617" s="168">
        <f t="shared" si="61"/>
        <v>134200000</v>
      </c>
      <c r="N617" s="168"/>
      <c r="O617" s="167">
        <v>104000000</v>
      </c>
      <c r="P617" s="167">
        <f t="shared" si="62"/>
        <v>104000000</v>
      </c>
      <c r="Q617" s="167"/>
      <c r="S617" s="201">
        <f t="shared" si="63"/>
        <v>134.19999999999999</v>
      </c>
      <c r="T617" s="201">
        <f t="shared" si="58"/>
        <v>134.19999999999999</v>
      </c>
      <c r="U617" s="201">
        <f t="shared" si="58"/>
        <v>0</v>
      </c>
      <c r="V617" s="201">
        <f t="shared" si="58"/>
        <v>104</v>
      </c>
      <c r="W617" s="201">
        <f t="shared" si="58"/>
        <v>104</v>
      </c>
      <c r="X617" s="201">
        <f t="shared" si="58"/>
        <v>0</v>
      </c>
    </row>
    <row r="618" spans="1:24" s="169" customFormat="1" ht="13.8">
      <c r="A618" s="193"/>
      <c r="B618" s="187"/>
      <c r="C618" s="183" t="str">
        <f t="shared" si="59"/>
        <v/>
      </c>
      <c r="D618" s="182" t="str">
        <f t="shared" si="60"/>
        <v/>
      </c>
      <c r="E618" s="192" t="s">
        <v>681</v>
      </c>
      <c r="F618" s="192" t="s">
        <v>955</v>
      </c>
      <c r="G618" s="192" t="s">
        <v>956</v>
      </c>
      <c r="H618" s="210" t="s">
        <v>1440</v>
      </c>
      <c r="I618" s="167">
        <v>104000000</v>
      </c>
      <c r="J618" s="166"/>
      <c r="K618" s="166"/>
      <c r="L618" s="168">
        <v>104000000</v>
      </c>
      <c r="M618" s="168">
        <f t="shared" si="61"/>
        <v>104000000</v>
      </c>
      <c r="N618" s="168"/>
      <c r="O618" s="167">
        <v>104000000</v>
      </c>
      <c r="P618" s="167">
        <f t="shared" si="62"/>
        <v>104000000</v>
      </c>
      <c r="Q618" s="167"/>
      <c r="S618" s="201">
        <f t="shared" si="63"/>
        <v>104</v>
      </c>
      <c r="T618" s="201">
        <f t="shared" si="58"/>
        <v>104</v>
      </c>
      <c r="U618" s="201">
        <f t="shared" si="58"/>
        <v>0</v>
      </c>
      <c r="V618" s="201">
        <f t="shared" si="58"/>
        <v>104</v>
      </c>
      <c r="W618" s="201">
        <f t="shared" si="58"/>
        <v>104</v>
      </c>
      <c r="X618" s="201">
        <f t="shared" si="58"/>
        <v>0</v>
      </c>
    </row>
    <row r="619" spans="1:24" s="169" customFormat="1" ht="13.8">
      <c r="A619" s="195"/>
      <c r="B619" s="188"/>
      <c r="C619" s="183" t="str">
        <f t="shared" si="59"/>
        <v/>
      </c>
      <c r="D619" s="182" t="str">
        <f t="shared" si="60"/>
        <v/>
      </c>
      <c r="E619" s="192" t="s">
        <v>667</v>
      </c>
      <c r="F619" s="192" t="s">
        <v>955</v>
      </c>
      <c r="G619" s="192" t="s">
        <v>956</v>
      </c>
      <c r="H619" s="210" t="s">
        <v>1440</v>
      </c>
      <c r="I619" s="167">
        <v>30200000</v>
      </c>
      <c r="J619" s="166"/>
      <c r="K619" s="166"/>
      <c r="L619" s="168">
        <v>30200000</v>
      </c>
      <c r="M619" s="168">
        <f t="shared" si="61"/>
        <v>30200000</v>
      </c>
      <c r="N619" s="168"/>
      <c r="O619" s="166"/>
      <c r="P619" s="167">
        <f t="shared" si="62"/>
        <v>0</v>
      </c>
      <c r="Q619" s="166"/>
      <c r="S619" s="201">
        <f t="shared" si="63"/>
        <v>30.2</v>
      </c>
      <c r="T619" s="201">
        <f t="shared" si="58"/>
        <v>30.2</v>
      </c>
      <c r="U619" s="201">
        <f t="shared" si="58"/>
        <v>0</v>
      </c>
      <c r="V619" s="201">
        <f t="shared" si="58"/>
        <v>0</v>
      </c>
      <c r="W619" s="201">
        <f t="shared" si="58"/>
        <v>0</v>
      </c>
      <c r="X619" s="201">
        <f t="shared" si="58"/>
        <v>0</v>
      </c>
    </row>
    <row r="620" spans="1:24" s="169" customFormat="1" ht="26.4">
      <c r="A620" s="192" t="s">
        <v>957</v>
      </c>
      <c r="B620" s="165" t="s">
        <v>958</v>
      </c>
      <c r="C620" s="183" t="str">
        <f t="shared" si="59"/>
        <v>1044911</v>
      </c>
      <c r="D620" s="182" t="str">
        <f t="shared" si="60"/>
        <v>-Thanh tra sờ Giao thông vận tải tỉnh Kon Tum</v>
      </c>
      <c r="E620" s="206"/>
      <c r="F620" s="207"/>
      <c r="G620" s="207"/>
      <c r="H620" s="205"/>
      <c r="I620" s="167">
        <v>4128600000</v>
      </c>
      <c r="J620" s="166"/>
      <c r="K620" s="167">
        <v>3381000000</v>
      </c>
      <c r="L620" s="168">
        <v>747600000</v>
      </c>
      <c r="M620" s="168">
        <f t="shared" si="61"/>
        <v>4128600000</v>
      </c>
      <c r="N620" s="168"/>
      <c r="O620" s="167">
        <v>3740645432</v>
      </c>
      <c r="P620" s="167">
        <f t="shared" si="62"/>
        <v>3740645432</v>
      </c>
      <c r="Q620" s="167"/>
      <c r="S620" s="201">
        <f t="shared" si="63"/>
        <v>4128.6000000000004</v>
      </c>
      <c r="T620" s="201">
        <f t="shared" si="58"/>
        <v>4128.6000000000004</v>
      </c>
      <c r="U620" s="201">
        <f t="shared" si="58"/>
        <v>0</v>
      </c>
      <c r="V620" s="201">
        <f t="shared" si="58"/>
        <v>3740.6454319999998</v>
      </c>
      <c r="W620" s="201">
        <f t="shared" si="58"/>
        <v>3740.6454319999998</v>
      </c>
      <c r="X620" s="201">
        <f t="shared" si="58"/>
        <v>0</v>
      </c>
    </row>
    <row r="621" spans="1:24" s="169" customFormat="1" ht="13.8">
      <c r="A621" s="192" t="s">
        <v>959</v>
      </c>
      <c r="B621" s="170" t="s">
        <v>689</v>
      </c>
      <c r="C621" s="183" t="str">
        <f t="shared" si="59"/>
        <v/>
      </c>
      <c r="D621" s="182" t="str">
        <f t="shared" si="60"/>
        <v/>
      </c>
      <c r="E621" s="206"/>
      <c r="F621" s="207"/>
      <c r="G621" s="207"/>
      <c r="H621" s="205"/>
      <c r="I621" s="167">
        <v>4128600000</v>
      </c>
      <c r="J621" s="166"/>
      <c r="K621" s="167">
        <v>3381000000</v>
      </c>
      <c r="L621" s="168">
        <v>747600000</v>
      </c>
      <c r="M621" s="168">
        <f t="shared" si="61"/>
        <v>4128600000</v>
      </c>
      <c r="N621" s="168"/>
      <c r="O621" s="167">
        <v>3740645432</v>
      </c>
      <c r="P621" s="167">
        <f t="shared" si="62"/>
        <v>3740645432</v>
      </c>
      <c r="Q621" s="167"/>
      <c r="S621" s="201">
        <f t="shared" si="63"/>
        <v>4128.6000000000004</v>
      </c>
      <c r="T621" s="201">
        <f t="shared" si="58"/>
        <v>4128.6000000000004</v>
      </c>
      <c r="U621" s="201">
        <f t="shared" si="58"/>
        <v>0</v>
      </c>
      <c r="V621" s="201">
        <f t="shared" si="58"/>
        <v>3740.6454319999998</v>
      </c>
      <c r="W621" s="201">
        <f t="shared" si="58"/>
        <v>3740.6454319999998</v>
      </c>
      <c r="X621" s="201">
        <f t="shared" si="58"/>
        <v>0</v>
      </c>
    </row>
    <row r="622" spans="1:24" s="169" customFormat="1" ht="13.8">
      <c r="A622" s="192"/>
      <c r="B622" s="170" t="s">
        <v>690</v>
      </c>
      <c r="C622" s="183" t="str">
        <f t="shared" si="59"/>
        <v/>
      </c>
      <c r="D622" s="182" t="str">
        <f t="shared" si="60"/>
        <v/>
      </c>
      <c r="E622" s="206"/>
      <c r="F622" s="207"/>
      <c r="G622" s="207"/>
      <c r="H622" s="205"/>
      <c r="I622" s="167">
        <v>1212700000</v>
      </c>
      <c r="J622" s="166"/>
      <c r="K622" s="167">
        <v>1313000000</v>
      </c>
      <c r="L622" s="168">
        <v>-100300000</v>
      </c>
      <c r="M622" s="168">
        <f t="shared" si="61"/>
        <v>1212700000</v>
      </c>
      <c r="N622" s="168"/>
      <c r="O622" s="167">
        <v>1212700000</v>
      </c>
      <c r="P622" s="167">
        <f t="shared" si="62"/>
        <v>1212700000</v>
      </c>
      <c r="Q622" s="167"/>
      <c r="S622" s="201">
        <f t="shared" si="63"/>
        <v>1212.7</v>
      </c>
      <c r="T622" s="201">
        <f t="shared" si="58"/>
        <v>1212.7</v>
      </c>
      <c r="U622" s="201">
        <f t="shared" si="58"/>
        <v>0</v>
      </c>
      <c r="V622" s="201">
        <f t="shared" si="58"/>
        <v>1212.7</v>
      </c>
      <c r="W622" s="201">
        <f t="shared" si="58"/>
        <v>1212.7</v>
      </c>
      <c r="X622" s="201">
        <f t="shared" si="58"/>
        <v>0</v>
      </c>
    </row>
    <row r="623" spans="1:24" s="169" customFormat="1" ht="13.8">
      <c r="A623" s="192"/>
      <c r="B623" s="173"/>
      <c r="C623" s="183" t="str">
        <f t="shared" si="59"/>
        <v/>
      </c>
      <c r="D623" s="182" t="str">
        <f t="shared" si="60"/>
        <v/>
      </c>
      <c r="E623" s="192"/>
      <c r="F623" s="192"/>
      <c r="G623" s="192"/>
      <c r="H623" s="210"/>
      <c r="I623" s="174"/>
      <c r="J623" s="174"/>
      <c r="K623" s="174"/>
      <c r="L623" s="175"/>
      <c r="M623" s="168">
        <f t="shared" si="61"/>
        <v>0</v>
      </c>
      <c r="N623" s="175"/>
      <c r="O623" s="174"/>
      <c r="P623" s="167">
        <f t="shared" si="62"/>
        <v>0</v>
      </c>
      <c r="Q623" s="174"/>
      <c r="S623" s="201">
        <f t="shared" si="63"/>
        <v>0</v>
      </c>
      <c r="T623" s="201">
        <f t="shared" si="58"/>
        <v>0</v>
      </c>
      <c r="U623" s="201">
        <f t="shared" si="58"/>
        <v>0</v>
      </c>
      <c r="V623" s="201">
        <f t="shared" si="58"/>
        <v>0</v>
      </c>
      <c r="W623" s="201">
        <f t="shared" si="58"/>
        <v>0</v>
      </c>
      <c r="X623" s="201">
        <f t="shared" si="58"/>
        <v>0</v>
      </c>
    </row>
    <row r="624" spans="1:24" s="169" customFormat="1" ht="13.8">
      <c r="A624" s="193"/>
      <c r="B624" s="187"/>
      <c r="C624" s="183" t="str">
        <f t="shared" si="59"/>
        <v/>
      </c>
      <c r="D624" s="182" t="str">
        <f t="shared" si="60"/>
        <v/>
      </c>
      <c r="E624" s="192" t="s">
        <v>666</v>
      </c>
      <c r="F624" s="192" t="s">
        <v>955</v>
      </c>
      <c r="G624" s="192" t="s">
        <v>695</v>
      </c>
      <c r="H624" s="210" t="s">
        <v>1440</v>
      </c>
      <c r="I624" s="167">
        <v>1179000000</v>
      </c>
      <c r="J624" s="166"/>
      <c r="K624" s="167">
        <v>1313000000</v>
      </c>
      <c r="L624" s="168">
        <v>-134000000</v>
      </c>
      <c r="M624" s="168">
        <f t="shared" si="61"/>
        <v>1179000000</v>
      </c>
      <c r="N624" s="168"/>
      <c r="O624" s="167">
        <v>1179000000</v>
      </c>
      <c r="P624" s="167">
        <f t="shared" si="62"/>
        <v>1179000000</v>
      </c>
      <c r="Q624" s="167"/>
      <c r="S624" s="201">
        <f t="shared" si="63"/>
        <v>1179</v>
      </c>
      <c r="T624" s="201">
        <f t="shared" si="58"/>
        <v>1179</v>
      </c>
      <c r="U624" s="201">
        <f t="shared" si="58"/>
        <v>0</v>
      </c>
      <c r="V624" s="201">
        <f t="shared" si="58"/>
        <v>1179</v>
      </c>
      <c r="W624" s="201">
        <f t="shared" si="58"/>
        <v>1179</v>
      </c>
      <c r="X624" s="201">
        <f t="shared" si="58"/>
        <v>0</v>
      </c>
    </row>
    <row r="625" spans="1:24" s="169" customFormat="1" ht="13.8">
      <c r="A625" s="195"/>
      <c r="B625" s="188"/>
      <c r="C625" s="183" t="str">
        <f t="shared" si="59"/>
        <v/>
      </c>
      <c r="D625" s="182" t="str">
        <f t="shared" si="60"/>
        <v/>
      </c>
      <c r="E625" s="192" t="s">
        <v>679</v>
      </c>
      <c r="F625" s="192" t="s">
        <v>955</v>
      </c>
      <c r="G625" s="192" t="s">
        <v>695</v>
      </c>
      <c r="H625" s="210" t="s">
        <v>1440</v>
      </c>
      <c r="I625" s="167">
        <v>33700000</v>
      </c>
      <c r="J625" s="166"/>
      <c r="K625" s="166"/>
      <c r="L625" s="168">
        <v>33700000</v>
      </c>
      <c r="M625" s="168">
        <f t="shared" si="61"/>
        <v>33700000</v>
      </c>
      <c r="N625" s="168"/>
      <c r="O625" s="167">
        <v>33700000</v>
      </c>
      <c r="P625" s="167">
        <f t="shared" si="62"/>
        <v>33700000</v>
      </c>
      <c r="Q625" s="167"/>
      <c r="S625" s="201">
        <f t="shared" si="63"/>
        <v>33.700000000000003</v>
      </c>
      <c r="T625" s="201">
        <f t="shared" si="58"/>
        <v>33.700000000000003</v>
      </c>
      <c r="U625" s="201">
        <f t="shared" si="58"/>
        <v>0</v>
      </c>
      <c r="V625" s="201">
        <f t="shared" si="58"/>
        <v>33.700000000000003</v>
      </c>
      <c r="W625" s="201">
        <f t="shared" si="58"/>
        <v>33.700000000000003</v>
      </c>
      <c r="X625" s="201">
        <f t="shared" si="58"/>
        <v>0</v>
      </c>
    </row>
    <row r="626" spans="1:24" s="169" customFormat="1" ht="13.8">
      <c r="A626" s="192"/>
      <c r="B626" s="164" t="s">
        <v>686</v>
      </c>
      <c r="C626" s="183" t="str">
        <f t="shared" si="59"/>
        <v/>
      </c>
      <c r="D626" s="182" t="str">
        <f t="shared" si="60"/>
        <v/>
      </c>
      <c r="E626" s="206"/>
      <c r="F626" s="207"/>
      <c r="G626" s="207"/>
      <c r="H626" s="205"/>
      <c r="I626" s="167">
        <v>2915900000</v>
      </c>
      <c r="J626" s="166"/>
      <c r="K626" s="167">
        <v>2068000000</v>
      </c>
      <c r="L626" s="168">
        <v>847900000</v>
      </c>
      <c r="M626" s="168">
        <f t="shared" si="61"/>
        <v>2915900000</v>
      </c>
      <c r="N626" s="168"/>
      <c r="O626" s="167">
        <v>2527945432</v>
      </c>
      <c r="P626" s="167">
        <f t="shared" si="62"/>
        <v>2527945432</v>
      </c>
      <c r="Q626" s="167"/>
      <c r="S626" s="201">
        <f t="shared" si="63"/>
        <v>2915.9</v>
      </c>
      <c r="T626" s="201">
        <f t="shared" si="58"/>
        <v>2915.9</v>
      </c>
      <c r="U626" s="201">
        <f t="shared" si="58"/>
        <v>0</v>
      </c>
      <c r="V626" s="201">
        <f t="shared" si="58"/>
        <v>2527.945432</v>
      </c>
      <c r="W626" s="201">
        <f t="shared" si="58"/>
        <v>2527.945432</v>
      </c>
      <c r="X626" s="201">
        <f t="shared" si="58"/>
        <v>0</v>
      </c>
    </row>
    <row r="627" spans="1:24" s="169" customFormat="1" ht="13.8">
      <c r="A627" s="193"/>
      <c r="B627" s="187"/>
      <c r="C627" s="183" t="str">
        <f t="shared" si="59"/>
        <v/>
      </c>
      <c r="D627" s="182" t="str">
        <f t="shared" si="60"/>
        <v/>
      </c>
      <c r="E627" s="192" t="s">
        <v>681</v>
      </c>
      <c r="F627" s="192" t="s">
        <v>955</v>
      </c>
      <c r="G627" s="192" t="s">
        <v>956</v>
      </c>
      <c r="H627" s="210" t="s">
        <v>1440</v>
      </c>
      <c r="I627" s="167">
        <v>1668000000</v>
      </c>
      <c r="J627" s="166"/>
      <c r="K627" s="167">
        <v>1668000000</v>
      </c>
      <c r="L627" s="171"/>
      <c r="M627" s="168">
        <f t="shared" si="61"/>
        <v>1668000000</v>
      </c>
      <c r="N627" s="171"/>
      <c r="O627" s="167">
        <v>1668000000</v>
      </c>
      <c r="P627" s="167">
        <f t="shared" si="62"/>
        <v>1668000000</v>
      </c>
      <c r="Q627" s="167"/>
      <c r="S627" s="201">
        <f t="shared" si="63"/>
        <v>1668</v>
      </c>
      <c r="T627" s="201">
        <f t="shared" si="58"/>
        <v>1668</v>
      </c>
      <c r="U627" s="201">
        <f t="shared" si="58"/>
        <v>0</v>
      </c>
      <c r="V627" s="201">
        <f t="shared" si="58"/>
        <v>1668</v>
      </c>
      <c r="W627" s="201">
        <f t="shared" si="58"/>
        <v>1668</v>
      </c>
      <c r="X627" s="201">
        <f t="shared" si="58"/>
        <v>0</v>
      </c>
    </row>
    <row r="628" spans="1:24" s="169" customFormat="1" ht="13.8">
      <c r="A628" s="194"/>
      <c r="B628" s="184"/>
      <c r="C628" s="183" t="str">
        <f t="shared" si="59"/>
        <v/>
      </c>
      <c r="D628" s="182" t="str">
        <f t="shared" si="60"/>
        <v/>
      </c>
      <c r="E628" s="192" t="s">
        <v>679</v>
      </c>
      <c r="F628" s="192" t="s">
        <v>955</v>
      </c>
      <c r="G628" s="192" t="s">
        <v>956</v>
      </c>
      <c r="H628" s="210" t="s">
        <v>1440</v>
      </c>
      <c r="I628" s="167">
        <v>44500000</v>
      </c>
      <c r="J628" s="166"/>
      <c r="K628" s="166"/>
      <c r="L628" s="168">
        <v>44500000</v>
      </c>
      <c r="M628" s="168">
        <f t="shared" si="61"/>
        <v>44500000</v>
      </c>
      <c r="N628" s="168"/>
      <c r="O628" s="167">
        <v>44500000</v>
      </c>
      <c r="P628" s="167">
        <f t="shared" si="62"/>
        <v>44500000</v>
      </c>
      <c r="Q628" s="167"/>
      <c r="S628" s="201">
        <f t="shared" si="63"/>
        <v>44.5</v>
      </c>
      <c r="T628" s="201">
        <f t="shared" si="58"/>
        <v>44.5</v>
      </c>
      <c r="U628" s="201">
        <f t="shared" si="58"/>
        <v>0</v>
      </c>
      <c r="V628" s="201">
        <f t="shared" si="58"/>
        <v>44.5</v>
      </c>
      <c r="W628" s="201">
        <f t="shared" si="58"/>
        <v>44.5</v>
      </c>
      <c r="X628" s="201">
        <f t="shared" si="58"/>
        <v>0</v>
      </c>
    </row>
    <row r="629" spans="1:24" s="169" customFormat="1" ht="13.8">
      <c r="A629" s="194"/>
      <c r="B629" s="184"/>
      <c r="C629" s="183" t="str">
        <f t="shared" si="59"/>
        <v/>
      </c>
      <c r="D629" s="182" t="str">
        <f t="shared" si="60"/>
        <v/>
      </c>
      <c r="E629" s="192" t="s">
        <v>681</v>
      </c>
      <c r="F629" s="192" t="s">
        <v>955</v>
      </c>
      <c r="G629" s="192" t="s">
        <v>695</v>
      </c>
      <c r="H629" s="210" t="s">
        <v>1440</v>
      </c>
      <c r="I629" s="167">
        <v>859400000</v>
      </c>
      <c r="J629" s="166"/>
      <c r="K629" s="167">
        <v>400000000</v>
      </c>
      <c r="L629" s="168">
        <v>459400000</v>
      </c>
      <c r="M629" s="168">
        <f t="shared" si="61"/>
        <v>859400000</v>
      </c>
      <c r="N629" s="168"/>
      <c r="O629" s="167">
        <v>815445432</v>
      </c>
      <c r="P629" s="167">
        <f t="shared" si="62"/>
        <v>815445432</v>
      </c>
      <c r="Q629" s="167"/>
      <c r="S629" s="201">
        <f t="shared" si="63"/>
        <v>859.4</v>
      </c>
      <c r="T629" s="201">
        <f t="shared" si="58"/>
        <v>859.4</v>
      </c>
      <c r="U629" s="201">
        <f t="shared" si="58"/>
        <v>0</v>
      </c>
      <c r="V629" s="201">
        <f t="shared" si="58"/>
        <v>815.44543199999998</v>
      </c>
      <c r="W629" s="201">
        <f t="shared" si="58"/>
        <v>815.44543199999998</v>
      </c>
      <c r="X629" s="201">
        <f t="shared" si="58"/>
        <v>0</v>
      </c>
    </row>
    <row r="630" spans="1:24" s="169" customFormat="1" ht="13.8">
      <c r="A630" s="195"/>
      <c r="B630" s="188"/>
      <c r="C630" s="183" t="str">
        <f t="shared" si="59"/>
        <v/>
      </c>
      <c r="D630" s="182" t="str">
        <f t="shared" si="60"/>
        <v/>
      </c>
      <c r="E630" s="192" t="s">
        <v>667</v>
      </c>
      <c r="F630" s="192" t="s">
        <v>955</v>
      </c>
      <c r="G630" s="192" t="s">
        <v>695</v>
      </c>
      <c r="H630" s="210" t="s">
        <v>1440</v>
      </c>
      <c r="I630" s="167">
        <v>344000000</v>
      </c>
      <c r="J630" s="166"/>
      <c r="K630" s="166"/>
      <c r="L630" s="168">
        <v>344000000</v>
      </c>
      <c r="M630" s="168">
        <f t="shared" si="61"/>
        <v>344000000</v>
      </c>
      <c r="N630" s="168"/>
      <c r="O630" s="166"/>
      <c r="P630" s="167">
        <f t="shared" si="62"/>
        <v>0</v>
      </c>
      <c r="Q630" s="166"/>
      <c r="S630" s="201">
        <f t="shared" si="63"/>
        <v>344</v>
      </c>
      <c r="T630" s="201">
        <f t="shared" si="58"/>
        <v>344</v>
      </c>
      <c r="U630" s="201">
        <f t="shared" si="58"/>
        <v>0</v>
      </c>
      <c r="V630" s="201">
        <f t="shared" si="58"/>
        <v>0</v>
      </c>
      <c r="W630" s="201">
        <f t="shared" si="58"/>
        <v>0</v>
      </c>
      <c r="X630" s="201">
        <f t="shared" si="58"/>
        <v>0</v>
      </c>
    </row>
    <row r="631" spans="1:24" s="169" customFormat="1" ht="26.4">
      <c r="A631" s="192" t="s">
        <v>960</v>
      </c>
      <c r="B631" s="176" t="s">
        <v>961</v>
      </c>
      <c r="C631" s="183" t="str">
        <f t="shared" si="59"/>
        <v>1045722</v>
      </c>
      <c r="D631" s="182" t="str">
        <f t="shared" si="60"/>
        <v>-Văn phòng sờ Lao động Thương binh và xã hội</v>
      </c>
      <c r="E631" s="206"/>
      <c r="F631" s="207"/>
      <c r="G631" s="207"/>
      <c r="H631" s="205"/>
      <c r="I631" s="167">
        <v>16293206021</v>
      </c>
      <c r="J631" s="167">
        <v>464053021</v>
      </c>
      <c r="K631" s="167">
        <v>13214000000</v>
      </c>
      <c r="L631" s="168">
        <v>2615153000</v>
      </c>
      <c r="M631" s="168">
        <f t="shared" si="61"/>
        <v>16293206021</v>
      </c>
      <c r="N631" s="168"/>
      <c r="O631" s="167">
        <v>13731576176</v>
      </c>
      <c r="P631" s="167">
        <f t="shared" si="62"/>
        <v>13731576176</v>
      </c>
      <c r="Q631" s="167"/>
      <c r="S631" s="201">
        <f t="shared" si="63"/>
        <v>16293.206021</v>
      </c>
      <c r="T631" s="201">
        <f t="shared" si="58"/>
        <v>16293.206021</v>
      </c>
      <c r="U631" s="201">
        <f t="shared" si="58"/>
        <v>0</v>
      </c>
      <c r="V631" s="201">
        <f t="shared" si="58"/>
        <v>13731.576176</v>
      </c>
      <c r="W631" s="201">
        <f t="shared" si="58"/>
        <v>13731.576176</v>
      </c>
      <c r="X631" s="201">
        <f t="shared" si="58"/>
        <v>0</v>
      </c>
    </row>
    <row r="632" spans="1:24" s="169" customFormat="1" ht="13.8">
      <c r="A632" s="192" t="s">
        <v>962</v>
      </c>
      <c r="B632" s="164" t="s">
        <v>689</v>
      </c>
      <c r="C632" s="183" t="str">
        <f t="shared" si="59"/>
        <v/>
      </c>
      <c r="D632" s="182" t="str">
        <f t="shared" si="60"/>
        <v/>
      </c>
      <c r="E632" s="206"/>
      <c r="F632" s="207"/>
      <c r="G632" s="207"/>
      <c r="H632" s="205"/>
      <c r="I632" s="167">
        <v>14189206021</v>
      </c>
      <c r="J632" s="167">
        <v>149053021</v>
      </c>
      <c r="K632" s="167">
        <v>13214000000</v>
      </c>
      <c r="L632" s="168">
        <v>826153000</v>
      </c>
      <c r="M632" s="168">
        <f t="shared" si="61"/>
        <v>14189206021</v>
      </c>
      <c r="N632" s="168"/>
      <c r="O632" s="167">
        <v>13373779176</v>
      </c>
      <c r="P632" s="167">
        <f t="shared" si="62"/>
        <v>13373779176</v>
      </c>
      <c r="Q632" s="167"/>
      <c r="S632" s="201">
        <f t="shared" si="63"/>
        <v>14189.206021</v>
      </c>
      <c r="T632" s="201">
        <f t="shared" si="58"/>
        <v>14189.206021</v>
      </c>
      <c r="U632" s="201">
        <f t="shared" si="58"/>
        <v>0</v>
      </c>
      <c r="V632" s="201">
        <f t="shared" si="58"/>
        <v>13373.779176</v>
      </c>
      <c r="W632" s="201">
        <f t="shared" si="58"/>
        <v>13373.779176</v>
      </c>
      <c r="X632" s="201">
        <f t="shared" si="58"/>
        <v>0</v>
      </c>
    </row>
    <row r="633" spans="1:24" s="169" customFormat="1" ht="13.8">
      <c r="A633" s="192"/>
      <c r="B633" s="164" t="s">
        <v>690</v>
      </c>
      <c r="C633" s="183" t="str">
        <f t="shared" si="59"/>
        <v/>
      </c>
      <c r="D633" s="182" t="str">
        <f t="shared" si="60"/>
        <v/>
      </c>
      <c r="E633" s="206"/>
      <c r="F633" s="207"/>
      <c r="G633" s="207"/>
      <c r="H633" s="205"/>
      <c r="I633" s="167">
        <v>5465453021</v>
      </c>
      <c r="J633" s="167">
        <v>149053021</v>
      </c>
      <c r="K633" s="167">
        <v>5185000000</v>
      </c>
      <c r="L633" s="168">
        <v>131400000</v>
      </c>
      <c r="M633" s="168">
        <f t="shared" si="61"/>
        <v>5465453021</v>
      </c>
      <c r="N633" s="168"/>
      <c r="O633" s="167">
        <v>5446498021</v>
      </c>
      <c r="P633" s="167">
        <f t="shared" si="62"/>
        <v>5446498021</v>
      </c>
      <c r="Q633" s="167"/>
      <c r="S633" s="201">
        <f t="shared" si="63"/>
        <v>5465.4530210000003</v>
      </c>
      <c r="T633" s="201">
        <f t="shared" si="58"/>
        <v>5465.4530210000003</v>
      </c>
      <c r="U633" s="201">
        <f t="shared" si="58"/>
        <v>0</v>
      </c>
      <c r="V633" s="201">
        <f t="shared" si="58"/>
        <v>5446.4980210000003</v>
      </c>
      <c r="W633" s="201">
        <f t="shared" si="58"/>
        <v>5446.4980210000003</v>
      </c>
      <c r="X633" s="201">
        <f t="shared" si="58"/>
        <v>0</v>
      </c>
    </row>
    <row r="634" spans="1:24" s="169" customFormat="1" ht="13.8">
      <c r="A634" s="193"/>
      <c r="B634" s="187"/>
      <c r="C634" s="183" t="str">
        <f t="shared" si="59"/>
        <v/>
      </c>
      <c r="D634" s="182" t="str">
        <f t="shared" si="60"/>
        <v/>
      </c>
      <c r="E634" s="192" t="s">
        <v>666</v>
      </c>
      <c r="F634" s="192" t="s">
        <v>765</v>
      </c>
      <c r="G634" s="192" t="s">
        <v>766</v>
      </c>
      <c r="H634" s="210" t="s">
        <v>1440</v>
      </c>
      <c r="I634" s="167">
        <v>4723326655</v>
      </c>
      <c r="J634" s="167">
        <v>9326655</v>
      </c>
      <c r="K634" s="167">
        <v>4714000000</v>
      </c>
      <c r="L634" s="171"/>
      <c r="M634" s="168">
        <f t="shared" si="61"/>
        <v>4723326655</v>
      </c>
      <c r="N634" s="171"/>
      <c r="O634" s="167">
        <v>4704371655</v>
      </c>
      <c r="P634" s="167">
        <f t="shared" si="62"/>
        <v>4704371655</v>
      </c>
      <c r="Q634" s="167"/>
      <c r="S634" s="201">
        <f t="shared" si="63"/>
        <v>4723.3266549999998</v>
      </c>
      <c r="T634" s="201">
        <f t="shared" si="58"/>
        <v>4723.3266549999998</v>
      </c>
      <c r="U634" s="201">
        <f t="shared" si="58"/>
        <v>0</v>
      </c>
      <c r="V634" s="201">
        <f t="shared" si="58"/>
        <v>4704.3716549999999</v>
      </c>
      <c r="W634" s="201">
        <f t="shared" si="58"/>
        <v>4704.3716549999999</v>
      </c>
      <c r="X634" s="201">
        <f t="shared" si="58"/>
        <v>0</v>
      </c>
    </row>
    <row r="635" spans="1:24" s="169" customFormat="1" ht="13.8">
      <c r="A635" s="194"/>
      <c r="B635" s="184"/>
      <c r="C635" s="183" t="str">
        <f t="shared" si="59"/>
        <v/>
      </c>
      <c r="D635" s="182" t="str">
        <f t="shared" si="60"/>
        <v/>
      </c>
      <c r="E635" s="192" t="s">
        <v>679</v>
      </c>
      <c r="F635" s="192" t="s">
        <v>765</v>
      </c>
      <c r="G635" s="192" t="s">
        <v>766</v>
      </c>
      <c r="H635" s="210" t="s">
        <v>1440</v>
      </c>
      <c r="I635" s="167">
        <v>121900000</v>
      </c>
      <c r="J635" s="166"/>
      <c r="K635" s="166"/>
      <c r="L635" s="168">
        <v>121900000</v>
      </c>
      <c r="M635" s="168">
        <f t="shared" si="61"/>
        <v>121900000</v>
      </c>
      <c r="N635" s="168"/>
      <c r="O635" s="167">
        <v>121900000</v>
      </c>
      <c r="P635" s="167">
        <f t="shared" si="62"/>
        <v>121900000</v>
      </c>
      <c r="Q635" s="167"/>
      <c r="S635" s="201">
        <f t="shared" si="63"/>
        <v>121.9</v>
      </c>
      <c r="T635" s="201">
        <f t="shared" si="58"/>
        <v>121.9</v>
      </c>
      <c r="U635" s="201">
        <f t="shared" si="58"/>
        <v>0</v>
      </c>
      <c r="V635" s="201">
        <f t="shared" si="58"/>
        <v>121.9</v>
      </c>
      <c r="W635" s="201">
        <f t="shared" si="58"/>
        <v>121.9</v>
      </c>
      <c r="X635" s="201">
        <f t="shared" si="58"/>
        <v>0</v>
      </c>
    </row>
    <row r="636" spans="1:24" s="169" customFormat="1" ht="13.8">
      <c r="A636" s="194"/>
      <c r="B636" s="184"/>
      <c r="C636" s="183" t="str">
        <f t="shared" si="59"/>
        <v/>
      </c>
      <c r="D636" s="182" t="str">
        <f t="shared" si="60"/>
        <v/>
      </c>
      <c r="E636" s="192" t="s">
        <v>666</v>
      </c>
      <c r="F636" s="192" t="s">
        <v>765</v>
      </c>
      <c r="G636" s="192" t="s">
        <v>767</v>
      </c>
      <c r="H636" s="210" t="s">
        <v>1440</v>
      </c>
      <c r="I636" s="167">
        <v>610726366</v>
      </c>
      <c r="J636" s="167">
        <v>139726366</v>
      </c>
      <c r="K636" s="167">
        <v>471000000</v>
      </c>
      <c r="L636" s="171"/>
      <c r="M636" s="168">
        <f t="shared" si="61"/>
        <v>610726366</v>
      </c>
      <c r="N636" s="171"/>
      <c r="O636" s="167">
        <v>610726366</v>
      </c>
      <c r="P636" s="167">
        <f t="shared" si="62"/>
        <v>610726366</v>
      </c>
      <c r="Q636" s="167"/>
      <c r="S636" s="201">
        <f t="shared" si="63"/>
        <v>610.72636599999998</v>
      </c>
      <c r="T636" s="201">
        <f t="shared" si="58"/>
        <v>610.72636599999998</v>
      </c>
      <c r="U636" s="201">
        <f t="shared" si="58"/>
        <v>0</v>
      </c>
      <c r="V636" s="201">
        <f t="shared" si="58"/>
        <v>610.72636599999998</v>
      </c>
      <c r="W636" s="201">
        <f t="shared" si="58"/>
        <v>610.72636599999998</v>
      </c>
      <c r="X636" s="201">
        <f t="shared" si="58"/>
        <v>0</v>
      </c>
    </row>
    <row r="637" spans="1:24" s="169" customFormat="1" ht="13.8">
      <c r="A637" s="195"/>
      <c r="B637" s="188"/>
      <c r="C637" s="183" t="str">
        <f t="shared" si="59"/>
        <v/>
      </c>
      <c r="D637" s="182" t="str">
        <f t="shared" si="60"/>
        <v/>
      </c>
      <c r="E637" s="192" t="s">
        <v>679</v>
      </c>
      <c r="F637" s="192" t="s">
        <v>765</v>
      </c>
      <c r="G637" s="192" t="s">
        <v>767</v>
      </c>
      <c r="H637" s="210" t="s">
        <v>1440</v>
      </c>
      <c r="I637" s="167">
        <v>9500000</v>
      </c>
      <c r="J637" s="166"/>
      <c r="K637" s="166"/>
      <c r="L637" s="168">
        <v>9500000</v>
      </c>
      <c r="M637" s="168">
        <f t="shared" si="61"/>
        <v>9500000</v>
      </c>
      <c r="N637" s="168"/>
      <c r="O637" s="167">
        <v>9500000</v>
      </c>
      <c r="P637" s="167">
        <f t="shared" si="62"/>
        <v>9500000</v>
      </c>
      <c r="Q637" s="167"/>
      <c r="S637" s="201">
        <f t="shared" si="63"/>
        <v>9.5</v>
      </c>
      <c r="T637" s="201">
        <f t="shared" si="58"/>
        <v>9.5</v>
      </c>
      <c r="U637" s="201">
        <f t="shared" si="58"/>
        <v>0</v>
      </c>
      <c r="V637" s="201">
        <f t="shared" si="58"/>
        <v>9.5</v>
      </c>
      <c r="W637" s="201">
        <f t="shared" si="58"/>
        <v>9.5</v>
      </c>
      <c r="X637" s="201">
        <f t="shared" si="58"/>
        <v>0</v>
      </c>
    </row>
    <row r="638" spans="1:24" s="169" customFormat="1" ht="13.8">
      <c r="A638" s="192"/>
      <c r="B638" s="164" t="s">
        <v>686</v>
      </c>
      <c r="C638" s="183" t="str">
        <f t="shared" si="59"/>
        <v/>
      </c>
      <c r="D638" s="182" t="str">
        <f t="shared" si="60"/>
        <v/>
      </c>
      <c r="E638" s="206"/>
      <c r="F638" s="207"/>
      <c r="G638" s="207"/>
      <c r="H638" s="205"/>
      <c r="I638" s="167">
        <v>8723753000</v>
      </c>
      <c r="J638" s="166"/>
      <c r="K638" s="167">
        <v>8029000000</v>
      </c>
      <c r="L638" s="168">
        <v>694753000</v>
      </c>
      <c r="M638" s="168">
        <f t="shared" si="61"/>
        <v>8723753000</v>
      </c>
      <c r="N638" s="168"/>
      <c r="O638" s="167">
        <v>7927281155</v>
      </c>
      <c r="P638" s="167">
        <f t="shared" si="62"/>
        <v>7927281155</v>
      </c>
      <c r="Q638" s="167"/>
      <c r="S638" s="201">
        <f t="shared" si="63"/>
        <v>8723.7530000000006</v>
      </c>
      <c r="T638" s="201">
        <f t="shared" si="58"/>
        <v>8723.7530000000006</v>
      </c>
      <c r="U638" s="201">
        <f t="shared" si="58"/>
        <v>0</v>
      </c>
      <c r="V638" s="201">
        <f t="shared" si="58"/>
        <v>7927.2811549999997</v>
      </c>
      <c r="W638" s="201">
        <f t="shared" si="58"/>
        <v>7927.2811549999997</v>
      </c>
      <c r="X638" s="201">
        <f t="shared" si="58"/>
        <v>0</v>
      </c>
    </row>
    <row r="639" spans="1:24" s="169" customFormat="1" ht="13.8">
      <c r="A639" s="193"/>
      <c r="B639" s="187"/>
      <c r="C639" s="183" t="str">
        <f t="shared" si="59"/>
        <v/>
      </c>
      <c r="D639" s="182" t="str">
        <f t="shared" si="60"/>
        <v/>
      </c>
      <c r="E639" s="192" t="s">
        <v>681</v>
      </c>
      <c r="F639" s="192" t="s">
        <v>765</v>
      </c>
      <c r="G639" s="192" t="s">
        <v>766</v>
      </c>
      <c r="H639" s="210" t="s">
        <v>1440</v>
      </c>
      <c r="I639" s="167">
        <v>757000000</v>
      </c>
      <c r="J639" s="166"/>
      <c r="K639" s="167">
        <v>562000000</v>
      </c>
      <c r="L639" s="168">
        <v>195000000</v>
      </c>
      <c r="M639" s="168">
        <f t="shared" si="61"/>
        <v>757000000</v>
      </c>
      <c r="N639" s="168"/>
      <c r="O639" s="167">
        <v>688902444</v>
      </c>
      <c r="P639" s="167">
        <f t="shared" si="62"/>
        <v>688902444</v>
      </c>
      <c r="Q639" s="167"/>
      <c r="S639" s="201">
        <f t="shared" si="63"/>
        <v>757</v>
      </c>
      <c r="T639" s="201">
        <f t="shared" si="58"/>
        <v>757</v>
      </c>
      <c r="U639" s="201">
        <f t="shared" si="58"/>
        <v>0</v>
      </c>
      <c r="V639" s="201">
        <f t="shared" si="58"/>
        <v>688.90244399999995</v>
      </c>
      <c r="W639" s="201">
        <f t="shared" si="58"/>
        <v>688.90244399999995</v>
      </c>
      <c r="X639" s="201">
        <f t="shared" si="58"/>
        <v>0</v>
      </c>
    </row>
    <row r="640" spans="1:24" s="169" customFormat="1" ht="13.8">
      <c r="A640" s="194"/>
      <c r="B640" s="184"/>
      <c r="C640" s="183" t="str">
        <f t="shared" si="59"/>
        <v/>
      </c>
      <c r="D640" s="182" t="str">
        <f t="shared" si="60"/>
        <v/>
      </c>
      <c r="E640" s="192" t="s">
        <v>681</v>
      </c>
      <c r="F640" s="192" t="s">
        <v>765</v>
      </c>
      <c r="G640" s="192" t="s">
        <v>915</v>
      </c>
      <c r="H640" s="210" t="s">
        <v>1440</v>
      </c>
      <c r="I640" s="167">
        <v>499753000</v>
      </c>
      <c r="J640" s="166"/>
      <c r="K640" s="166"/>
      <c r="L640" s="168">
        <v>499753000</v>
      </c>
      <c r="M640" s="168">
        <f t="shared" si="61"/>
        <v>499753000</v>
      </c>
      <c r="N640" s="168"/>
      <c r="O640" s="167">
        <v>499753000</v>
      </c>
      <c r="P640" s="167">
        <f t="shared" si="62"/>
        <v>499753000</v>
      </c>
      <c r="Q640" s="167"/>
      <c r="S640" s="201">
        <f t="shared" si="63"/>
        <v>499.75299999999999</v>
      </c>
      <c r="T640" s="201">
        <f t="shared" si="58"/>
        <v>499.75299999999999</v>
      </c>
      <c r="U640" s="201">
        <f t="shared" si="58"/>
        <v>0</v>
      </c>
      <c r="V640" s="201">
        <f t="shared" si="58"/>
        <v>499.75299999999999</v>
      </c>
      <c r="W640" s="201">
        <f t="shared" si="58"/>
        <v>499.75299999999999</v>
      </c>
      <c r="X640" s="201">
        <f t="shared" si="58"/>
        <v>0</v>
      </c>
    </row>
    <row r="641" spans="1:24" s="169" customFormat="1" ht="13.8">
      <c r="A641" s="194"/>
      <c r="B641" s="184"/>
      <c r="C641" s="183" t="str">
        <f t="shared" si="59"/>
        <v/>
      </c>
      <c r="D641" s="182" t="str">
        <f t="shared" si="60"/>
        <v/>
      </c>
      <c r="E641" s="192" t="s">
        <v>681</v>
      </c>
      <c r="F641" s="192" t="s">
        <v>765</v>
      </c>
      <c r="G641" s="192" t="s">
        <v>767</v>
      </c>
      <c r="H641" s="210" t="s">
        <v>1440</v>
      </c>
      <c r="I641" s="167">
        <v>6865000000</v>
      </c>
      <c r="J641" s="166"/>
      <c r="K641" s="167">
        <v>6865000000</v>
      </c>
      <c r="L641" s="171"/>
      <c r="M641" s="168">
        <f t="shared" si="61"/>
        <v>6865000000</v>
      </c>
      <c r="N641" s="171"/>
      <c r="O641" s="167">
        <v>6210054159</v>
      </c>
      <c r="P641" s="167">
        <f t="shared" si="62"/>
        <v>6210054159</v>
      </c>
      <c r="Q641" s="167"/>
      <c r="S641" s="201">
        <f t="shared" si="63"/>
        <v>6865</v>
      </c>
      <c r="T641" s="201">
        <f t="shared" ref="T641:X691" si="64">M641/1000000</f>
        <v>6865</v>
      </c>
      <c r="U641" s="201">
        <f t="shared" si="64"/>
        <v>0</v>
      </c>
      <c r="V641" s="201">
        <f t="shared" si="64"/>
        <v>6210.0541590000003</v>
      </c>
      <c r="W641" s="201">
        <f t="shared" si="64"/>
        <v>6210.0541590000003</v>
      </c>
      <c r="X641" s="201">
        <f t="shared" si="64"/>
        <v>0</v>
      </c>
    </row>
    <row r="642" spans="1:24" s="169" customFormat="1" ht="13.8">
      <c r="A642" s="195"/>
      <c r="B642" s="188"/>
      <c r="C642" s="183" t="str">
        <f t="shared" si="59"/>
        <v/>
      </c>
      <c r="D642" s="182" t="str">
        <f t="shared" si="60"/>
        <v/>
      </c>
      <c r="E642" s="192" t="s">
        <v>681</v>
      </c>
      <c r="F642" s="192" t="s">
        <v>765</v>
      </c>
      <c r="G642" s="192" t="s">
        <v>963</v>
      </c>
      <c r="H642" s="210" t="s">
        <v>1440</v>
      </c>
      <c r="I642" s="167">
        <v>602000000</v>
      </c>
      <c r="J642" s="166"/>
      <c r="K642" s="167">
        <v>602000000</v>
      </c>
      <c r="L642" s="171"/>
      <c r="M642" s="168">
        <f t="shared" si="61"/>
        <v>602000000</v>
      </c>
      <c r="N642" s="171"/>
      <c r="O642" s="167">
        <v>528571552</v>
      </c>
      <c r="P642" s="167">
        <f t="shared" si="62"/>
        <v>528571552</v>
      </c>
      <c r="Q642" s="167"/>
      <c r="S642" s="201">
        <f t="shared" si="63"/>
        <v>602</v>
      </c>
      <c r="T642" s="201">
        <f t="shared" si="64"/>
        <v>602</v>
      </c>
      <c r="U642" s="201">
        <f t="shared" si="64"/>
        <v>0</v>
      </c>
      <c r="V642" s="201">
        <f t="shared" si="64"/>
        <v>528.571552</v>
      </c>
      <c r="W642" s="201">
        <f t="shared" si="64"/>
        <v>528.571552</v>
      </c>
      <c r="X642" s="201">
        <f t="shared" si="64"/>
        <v>0</v>
      </c>
    </row>
    <row r="643" spans="1:24" s="169" customFormat="1" ht="13.8">
      <c r="A643" s="192" t="s">
        <v>964</v>
      </c>
      <c r="B643" s="164" t="s">
        <v>701</v>
      </c>
      <c r="C643" s="183" t="str">
        <f t="shared" si="59"/>
        <v/>
      </c>
      <c r="D643" s="182" t="str">
        <f t="shared" si="60"/>
        <v/>
      </c>
      <c r="E643" s="206"/>
      <c r="F643" s="207"/>
      <c r="G643" s="207"/>
      <c r="H643" s="205"/>
      <c r="I643" s="167">
        <v>2104000000</v>
      </c>
      <c r="J643" s="167">
        <v>315000000</v>
      </c>
      <c r="K643" s="166"/>
      <c r="L643" s="168">
        <v>1789000000</v>
      </c>
      <c r="M643" s="168">
        <f t="shared" si="61"/>
        <v>2104000000</v>
      </c>
      <c r="N643" s="168"/>
      <c r="O643" s="167">
        <v>357797000</v>
      </c>
      <c r="P643" s="167">
        <f t="shared" si="62"/>
        <v>357797000</v>
      </c>
      <c r="Q643" s="167"/>
      <c r="S643" s="201">
        <f t="shared" si="63"/>
        <v>2104</v>
      </c>
      <c r="T643" s="201">
        <f t="shared" si="64"/>
        <v>2104</v>
      </c>
      <c r="U643" s="201">
        <f t="shared" si="64"/>
        <v>0</v>
      </c>
      <c r="V643" s="201">
        <f t="shared" si="64"/>
        <v>357.79700000000003</v>
      </c>
      <c r="W643" s="201">
        <f t="shared" si="64"/>
        <v>357.79700000000003</v>
      </c>
      <c r="X643" s="201">
        <f t="shared" si="64"/>
        <v>0</v>
      </c>
    </row>
    <row r="644" spans="1:24" s="169" customFormat="1" ht="13.8">
      <c r="A644" s="193"/>
      <c r="B644" s="187"/>
      <c r="C644" s="183" t="str">
        <f t="shared" si="59"/>
        <v/>
      </c>
      <c r="D644" s="182" t="str">
        <f t="shared" si="60"/>
        <v/>
      </c>
      <c r="E644" s="192" t="s">
        <v>681</v>
      </c>
      <c r="F644" s="192" t="s">
        <v>765</v>
      </c>
      <c r="G644" s="192" t="s">
        <v>766</v>
      </c>
      <c r="H644" s="210" t="s">
        <v>1444</v>
      </c>
      <c r="I644" s="167">
        <v>350000000</v>
      </c>
      <c r="J644" s="166"/>
      <c r="K644" s="166"/>
      <c r="L644" s="168">
        <v>350000000</v>
      </c>
      <c r="M644" s="168">
        <f t="shared" si="61"/>
        <v>350000000</v>
      </c>
      <c r="N644" s="168"/>
      <c r="O644" s="166"/>
      <c r="P644" s="167">
        <f t="shared" si="62"/>
        <v>0</v>
      </c>
      <c r="Q644" s="166"/>
      <c r="S644" s="201">
        <f t="shared" si="63"/>
        <v>350</v>
      </c>
      <c r="T644" s="201">
        <f t="shared" si="64"/>
        <v>350</v>
      </c>
      <c r="U644" s="201">
        <f t="shared" si="64"/>
        <v>0</v>
      </c>
      <c r="V644" s="201">
        <f t="shared" si="64"/>
        <v>0</v>
      </c>
      <c r="W644" s="201">
        <f t="shared" si="64"/>
        <v>0</v>
      </c>
      <c r="X644" s="201">
        <f t="shared" si="64"/>
        <v>0</v>
      </c>
    </row>
    <row r="645" spans="1:24" s="169" customFormat="1" ht="13.8">
      <c r="A645" s="194"/>
      <c r="B645" s="184"/>
      <c r="C645" s="183" t="str">
        <f t="shared" si="59"/>
        <v/>
      </c>
      <c r="D645" s="182" t="str">
        <f t="shared" si="60"/>
        <v/>
      </c>
      <c r="E645" s="192" t="s">
        <v>681</v>
      </c>
      <c r="F645" s="192" t="s">
        <v>765</v>
      </c>
      <c r="G645" s="192" t="s">
        <v>766</v>
      </c>
      <c r="H645" s="210" t="s">
        <v>1451</v>
      </c>
      <c r="I645" s="167">
        <v>114000000</v>
      </c>
      <c r="J645" s="166"/>
      <c r="K645" s="166"/>
      <c r="L645" s="168">
        <v>114000000</v>
      </c>
      <c r="M645" s="168">
        <f t="shared" si="61"/>
        <v>114000000</v>
      </c>
      <c r="N645" s="168"/>
      <c r="O645" s="167">
        <v>114000000</v>
      </c>
      <c r="P645" s="167">
        <f t="shared" si="62"/>
        <v>114000000</v>
      </c>
      <c r="Q645" s="167"/>
      <c r="S645" s="201">
        <f t="shared" si="63"/>
        <v>114</v>
      </c>
      <c r="T645" s="201">
        <f t="shared" si="64"/>
        <v>114</v>
      </c>
      <c r="U645" s="201">
        <f t="shared" si="64"/>
        <v>0</v>
      </c>
      <c r="V645" s="201">
        <f t="shared" si="64"/>
        <v>114</v>
      </c>
      <c r="W645" s="201">
        <f t="shared" si="64"/>
        <v>114</v>
      </c>
      <c r="X645" s="201">
        <f t="shared" si="64"/>
        <v>0</v>
      </c>
    </row>
    <row r="646" spans="1:24" s="169" customFormat="1" ht="13.8">
      <c r="A646" s="194"/>
      <c r="B646" s="184"/>
      <c r="C646" s="183" t="str">
        <f t="shared" si="59"/>
        <v/>
      </c>
      <c r="D646" s="182" t="str">
        <f t="shared" si="60"/>
        <v/>
      </c>
      <c r="E646" s="192" t="s">
        <v>681</v>
      </c>
      <c r="F646" s="192" t="s">
        <v>765</v>
      </c>
      <c r="G646" s="192" t="s">
        <v>766</v>
      </c>
      <c r="H646" s="210" t="s">
        <v>1452</v>
      </c>
      <c r="I646" s="167">
        <v>171000000</v>
      </c>
      <c r="J646" s="166"/>
      <c r="K646" s="166"/>
      <c r="L646" s="168">
        <v>171000000</v>
      </c>
      <c r="M646" s="168">
        <f t="shared" si="61"/>
        <v>171000000</v>
      </c>
      <c r="N646" s="168"/>
      <c r="O646" s="167">
        <v>146513000</v>
      </c>
      <c r="P646" s="167">
        <f t="shared" si="62"/>
        <v>146513000</v>
      </c>
      <c r="Q646" s="167"/>
      <c r="S646" s="201">
        <f t="shared" si="63"/>
        <v>171</v>
      </c>
      <c r="T646" s="201">
        <f t="shared" si="64"/>
        <v>171</v>
      </c>
      <c r="U646" s="201">
        <f t="shared" si="64"/>
        <v>0</v>
      </c>
      <c r="V646" s="201">
        <f t="shared" si="64"/>
        <v>146.51300000000001</v>
      </c>
      <c r="W646" s="201">
        <f t="shared" si="64"/>
        <v>146.51300000000001</v>
      </c>
      <c r="X646" s="201">
        <f t="shared" si="64"/>
        <v>0</v>
      </c>
    </row>
    <row r="647" spans="1:24" s="169" customFormat="1" ht="13.8">
      <c r="A647" s="194"/>
      <c r="B647" s="184"/>
      <c r="C647" s="183" t="str">
        <f t="shared" si="59"/>
        <v/>
      </c>
      <c r="D647" s="182" t="str">
        <f t="shared" si="60"/>
        <v/>
      </c>
      <c r="E647" s="192" t="s">
        <v>681</v>
      </c>
      <c r="F647" s="192" t="s">
        <v>765</v>
      </c>
      <c r="G647" s="192" t="s">
        <v>766</v>
      </c>
      <c r="H647" s="210" t="s">
        <v>1453</v>
      </c>
      <c r="I647" s="167">
        <v>315000000</v>
      </c>
      <c r="J647" s="167">
        <v>315000000</v>
      </c>
      <c r="K647" s="166"/>
      <c r="L647" s="171"/>
      <c r="M647" s="168">
        <f t="shared" si="61"/>
        <v>315000000</v>
      </c>
      <c r="N647" s="171"/>
      <c r="O647" s="166"/>
      <c r="P647" s="167">
        <f t="shared" si="62"/>
        <v>0</v>
      </c>
      <c r="Q647" s="166"/>
      <c r="S647" s="201">
        <f t="shared" si="63"/>
        <v>315</v>
      </c>
      <c r="T647" s="201">
        <f t="shared" si="64"/>
        <v>315</v>
      </c>
      <c r="U647" s="201">
        <f t="shared" si="64"/>
        <v>0</v>
      </c>
      <c r="V647" s="201">
        <f t="shared" si="64"/>
        <v>0</v>
      </c>
      <c r="W647" s="201">
        <f t="shared" si="64"/>
        <v>0</v>
      </c>
      <c r="X647" s="201">
        <f t="shared" si="64"/>
        <v>0</v>
      </c>
    </row>
    <row r="648" spans="1:24" s="169" customFormat="1" ht="13.8">
      <c r="A648" s="194"/>
      <c r="B648" s="184"/>
      <c r="C648" s="183" t="str">
        <f t="shared" si="59"/>
        <v/>
      </c>
      <c r="D648" s="182" t="str">
        <f t="shared" si="60"/>
        <v/>
      </c>
      <c r="E648" s="192" t="s">
        <v>681</v>
      </c>
      <c r="F648" s="192" t="s">
        <v>765</v>
      </c>
      <c r="G648" s="192" t="s">
        <v>766</v>
      </c>
      <c r="H648" s="210" t="s">
        <v>1454</v>
      </c>
      <c r="I648" s="167">
        <v>150000000</v>
      </c>
      <c r="J648" s="166"/>
      <c r="K648" s="166"/>
      <c r="L648" s="168">
        <v>150000000</v>
      </c>
      <c r="M648" s="168">
        <f t="shared" si="61"/>
        <v>150000000</v>
      </c>
      <c r="N648" s="168"/>
      <c r="O648" s="167">
        <v>97284000</v>
      </c>
      <c r="P648" s="167">
        <f t="shared" si="62"/>
        <v>97284000</v>
      </c>
      <c r="Q648" s="167"/>
      <c r="S648" s="201">
        <f t="shared" si="63"/>
        <v>150</v>
      </c>
      <c r="T648" s="201">
        <f t="shared" si="64"/>
        <v>150</v>
      </c>
      <c r="U648" s="201">
        <f t="shared" si="64"/>
        <v>0</v>
      </c>
      <c r="V648" s="201">
        <f t="shared" si="64"/>
        <v>97.284000000000006</v>
      </c>
      <c r="W648" s="201">
        <f t="shared" si="64"/>
        <v>97.284000000000006</v>
      </c>
      <c r="X648" s="201">
        <f t="shared" si="64"/>
        <v>0</v>
      </c>
    </row>
    <row r="649" spans="1:24" s="169" customFormat="1" ht="13.8">
      <c r="A649" s="194"/>
      <c r="B649" s="184"/>
      <c r="C649" s="183" t="str">
        <f t="shared" si="59"/>
        <v/>
      </c>
      <c r="D649" s="182" t="str">
        <f t="shared" si="60"/>
        <v/>
      </c>
      <c r="E649" s="192" t="s">
        <v>667</v>
      </c>
      <c r="F649" s="192" t="s">
        <v>765</v>
      </c>
      <c r="G649" s="192" t="s">
        <v>766</v>
      </c>
      <c r="H649" s="210" t="s">
        <v>1452</v>
      </c>
      <c r="I649" s="167">
        <v>61000000</v>
      </c>
      <c r="J649" s="166"/>
      <c r="K649" s="166"/>
      <c r="L649" s="168">
        <v>61000000</v>
      </c>
      <c r="M649" s="168">
        <f t="shared" si="61"/>
        <v>61000000</v>
      </c>
      <c r="N649" s="168"/>
      <c r="O649" s="166"/>
      <c r="P649" s="167">
        <f t="shared" si="62"/>
        <v>0</v>
      </c>
      <c r="Q649" s="166"/>
      <c r="S649" s="201">
        <f t="shared" si="63"/>
        <v>61</v>
      </c>
      <c r="T649" s="201">
        <f t="shared" si="64"/>
        <v>61</v>
      </c>
      <c r="U649" s="201">
        <f t="shared" si="64"/>
        <v>0</v>
      </c>
      <c r="V649" s="201">
        <f t="shared" si="64"/>
        <v>0</v>
      </c>
      <c r="W649" s="201">
        <f t="shared" si="64"/>
        <v>0</v>
      </c>
      <c r="X649" s="201">
        <f t="shared" si="64"/>
        <v>0</v>
      </c>
    </row>
    <row r="650" spans="1:24" s="169" customFormat="1" ht="13.8">
      <c r="A650" s="194"/>
      <c r="B650" s="184"/>
      <c r="C650" s="183" t="str">
        <f t="shared" si="59"/>
        <v/>
      </c>
      <c r="D650" s="182" t="str">
        <f t="shared" si="60"/>
        <v/>
      </c>
      <c r="E650" s="192" t="s">
        <v>667</v>
      </c>
      <c r="F650" s="192" t="s">
        <v>765</v>
      </c>
      <c r="G650" s="192" t="s">
        <v>766</v>
      </c>
      <c r="H650" s="210" t="s">
        <v>1445</v>
      </c>
      <c r="I650" s="167">
        <v>240000000</v>
      </c>
      <c r="J650" s="166"/>
      <c r="K650" s="166"/>
      <c r="L650" s="168">
        <v>240000000</v>
      </c>
      <c r="M650" s="168">
        <f t="shared" si="61"/>
        <v>240000000</v>
      </c>
      <c r="N650" s="168"/>
      <c r="O650" s="166"/>
      <c r="P650" s="167">
        <f t="shared" si="62"/>
        <v>0</v>
      </c>
      <c r="Q650" s="166"/>
      <c r="S650" s="201">
        <f t="shared" si="63"/>
        <v>240</v>
      </c>
      <c r="T650" s="201">
        <f t="shared" si="64"/>
        <v>240</v>
      </c>
      <c r="U650" s="201">
        <f t="shared" si="64"/>
        <v>0</v>
      </c>
      <c r="V650" s="201">
        <f t="shared" si="64"/>
        <v>0</v>
      </c>
      <c r="W650" s="201">
        <f t="shared" si="64"/>
        <v>0</v>
      </c>
      <c r="X650" s="201">
        <f t="shared" si="64"/>
        <v>0</v>
      </c>
    </row>
    <row r="651" spans="1:24" s="169" customFormat="1" ht="13.8">
      <c r="A651" s="195"/>
      <c r="B651" s="188"/>
      <c r="C651" s="183" t="str">
        <f t="shared" si="59"/>
        <v/>
      </c>
      <c r="D651" s="182" t="str">
        <f t="shared" si="60"/>
        <v/>
      </c>
      <c r="E651" s="192" t="s">
        <v>667</v>
      </c>
      <c r="F651" s="192" t="s">
        <v>765</v>
      </c>
      <c r="G651" s="192" t="s">
        <v>767</v>
      </c>
      <c r="H651" s="210" t="s">
        <v>1450</v>
      </c>
      <c r="I651" s="167">
        <v>703000000</v>
      </c>
      <c r="J651" s="166"/>
      <c r="K651" s="166"/>
      <c r="L651" s="168">
        <v>703000000</v>
      </c>
      <c r="M651" s="168">
        <f t="shared" si="61"/>
        <v>703000000</v>
      </c>
      <c r="N651" s="168"/>
      <c r="O651" s="166"/>
      <c r="P651" s="167">
        <f t="shared" si="62"/>
        <v>0</v>
      </c>
      <c r="Q651" s="166"/>
      <c r="S651" s="201">
        <f t="shared" si="63"/>
        <v>703</v>
      </c>
      <c r="T651" s="201">
        <f t="shared" si="64"/>
        <v>703</v>
      </c>
      <c r="U651" s="201">
        <f t="shared" si="64"/>
        <v>0</v>
      </c>
      <c r="V651" s="201">
        <f t="shared" si="64"/>
        <v>0</v>
      </c>
      <c r="W651" s="201">
        <f t="shared" si="64"/>
        <v>0</v>
      </c>
      <c r="X651" s="201">
        <f t="shared" si="64"/>
        <v>0</v>
      </c>
    </row>
    <row r="652" spans="1:24" s="169" customFormat="1" ht="27.6">
      <c r="A652" s="192" t="s">
        <v>965</v>
      </c>
      <c r="B652" s="176" t="s">
        <v>966</v>
      </c>
      <c r="C652" s="183" t="str">
        <f t="shared" si="59"/>
        <v>1047747</v>
      </c>
      <c r="D652" s="182" t="str">
        <f t="shared" si="60"/>
        <v>-Ban bảo vệ, chăm sóc sức chòe cán bộ tỉnh Kon Tum</v>
      </c>
      <c r="E652" s="206"/>
      <c r="F652" s="207"/>
      <c r="G652" s="207"/>
      <c r="H652" s="205"/>
      <c r="I652" s="167">
        <v>4034583000</v>
      </c>
      <c r="J652" s="166"/>
      <c r="K652" s="167">
        <v>4023500000</v>
      </c>
      <c r="L652" s="168">
        <v>11083000</v>
      </c>
      <c r="M652" s="168">
        <f t="shared" si="61"/>
        <v>4034583000</v>
      </c>
      <c r="N652" s="168"/>
      <c r="O652" s="167">
        <v>3914583000</v>
      </c>
      <c r="P652" s="167">
        <f t="shared" si="62"/>
        <v>3914583000</v>
      </c>
      <c r="Q652" s="167"/>
      <c r="S652" s="201">
        <f t="shared" si="63"/>
        <v>4034.5830000000001</v>
      </c>
      <c r="T652" s="201">
        <f t="shared" si="64"/>
        <v>4034.5830000000001</v>
      </c>
      <c r="U652" s="201">
        <f t="shared" si="64"/>
        <v>0</v>
      </c>
      <c r="V652" s="201">
        <f t="shared" si="64"/>
        <v>3914.5830000000001</v>
      </c>
      <c r="W652" s="201">
        <f t="shared" si="64"/>
        <v>3914.5830000000001</v>
      </c>
      <c r="X652" s="201">
        <f t="shared" si="64"/>
        <v>0</v>
      </c>
    </row>
    <row r="653" spans="1:24" s="169" customFormat="1" ht="13.8">
      <c r="A653" s="192" t="s">
        <v>967</v>
      </c>
      <c r="B653" s="164" t="s">
        <v>689</v>
      </c>
      <c r="C653" s="183" t="str">
        <f t="shared" si="59"/>
        <v/>
      </c>
      <c r="D653" s="182" t="str">
        <f t="shared" si="60"/>
        <v/>
      </c>
      <c r="E653" s="206"/>
      <c r="F653" s="207"/>
      <c r="G653" s="207"/>
      <c r="H653" s="205"/>
      <c r="I653" s="167">
        <v>4034583000</v>
      </c>
      <c r="J653" s="166"/>
      <c r="K653" s="167">
        <v>4023500000</v>
      </c>
      <c r="L653" s="168">
        <v>11083000</v>
      </c>
      <c r="M653" s="168">
        <f t="shared" si="61"/>
        <v>4034583000</v>
      </c>
      <c r="N653" s="168"/>
      <c r="O653" s="167">
        <v>3914583000</v>
      </c>
      <c r="P653" s="167">
        <f t="shared" si="62"/>
        <v>3914583000</v>
      </c>
      <c r="Q653" s="167"/>
      <c r="S653" s="201">
        <f t="shared" si="63"/>
        <v>4034.5830000000001</v>
      </c>
      <c r="T653" s="201">
        <f t="shared" si="64"/>
        <v>4034.5830000000001</v>
      </c>
      <c r="U653" s="201">
        <f t="shared" si="64"/>
        <v>0</v>
      </c>
      <c r="V653" s="201">
        <f t="shared" si="64"/>
        <v>3914.5830000000001</v>
      </c>
      <c r="W653" s="201">
        <f t="shared" si="64"/>
        <v>3914.5830000000001</v>
      </c>
      <c r="X653" s="201">
        <f t="shared" si="64"/>
        <v>0</v>
      </c>
    </row>
    <row r="654" spans="1:24" s="169" customFormat="1" ht="13.8">
      <c r="A654" s="192"/>
      <c r="B654" s="173"/>
      <c r="C654" s="183" t="str">
        <f t="shared" si="59"/>
        <v/>
      </c>
      <c r="D654" s="182" t="str">
        <f t="shared" si="60"/>
        <v/>
      </c>
      <c r="E654" s="192"/>
      <c r="F654" s="192"/>
      <c r="G654" s="192"/>
      <c r="H654" s="210"/>
      <c r="I654" s="174"/>
      <c r="J654" s="174"/>
      <c r="K654" s="174"/>
      <c r="L654" s="175"/>
      <c r="M654" s="168">
        <f t="shared" si="61"/>
        <v>0</v>
      </c>
      <c r="N654" s="175"/>
      <c r="O654" s="174"/>
      <c r="P654" s="167">
        <f t="shared" si="62"/>
        <v>0</v>
      </c>
      <c r="Q654" s="174"/>
      <c r="S654" s="201">
        <f t="shared" si="63"/>
        <v>0</v>
      </c>
      <c r="T654" s="201">
        <f t="shared" si="64"/>
        <v>0</v>
      </c>
      <c r="U654" s="201">
        <f t="shared" si="64"/>
        <v>0</v>
      </c>
      <c r="V654" s="201">
        <f t="shared" si="64"/>
        <v>0</v>
      </c>
      <c r="W654" s="201">
        <f t="shared" si="64"/>
        <v>0</v>
      </c>
      <c r="X654" s="201">
        <f t="shared" si="64"/>
        <v>0</v>
      </c>
    </row>
    <row r="655" spans="1:24" s="169" customFormat="1" ht="13.8">
      <c r="A655" s="192"/>
      <c r="B655" s="170" t="s">
        <v>686</v>
      </c>
      <c r="C655" s="183" t="str">
        <f t="shared" si="59"/>
        <v/>
      </c>
      <c r="D655" s="182" t="str">
        <f t="shared" si="60"/>
        <v/>
      </c>
      <c r="E655" s="206"/>
      <c r="F655" s="207"/>
      <c r="G655" s="207"/>
      <c r="H655" s="205"/>
      <c r="I655" s="167">
        <v>4034583000</v>
      </c>
      <c r="J655" s="166"/>
      <c r="K655" s="167">
        <v>4023500000</v>
      </c>
      <c r="L655" s="168">
        <v>11083000</v>
      </c>
      <c r="M655" s="168">
        <f t="shared" si="61"/>
        <v>4034583000</v>
      </c>
      <c r="N655" s="168"/>
      <c r="O655" s="167">
        <v>3914583000</v>
      </c>
      <c r="P655" s="167">
        <f t="shared" si="62"/>
        <v>3914583000</v>
      </c>
      <c r="Q655" s="167"/>
      <c r="S655" s="201">
        <f t="shared" si="63"/>
        <v>4034.5830000000001</v>
      </c>
      <c r="T655" s="201">
        <f t="shared" si="64"/>
        <v>4034.5830000000001</v>
      </c>
      <c r="U655" s="201">
        <f t="shared" si="64"/>
        <v>0</v>
      </c>
      <c r="V655" s="201">
        <f t="shared" si="64"/>
        <v>3914.5830000000001</v>
      </c>
      <c r="W655" s="201">
        <f t="shared" si="64"/>
        <v>3914.5830000000001</v>
      </c>
      <c r="X655" s="201">
        <f t="shared" si="64"/>
        <v>0</v>
      </c>
    </row>
    <row r="656" spans="1:24" s="169" customFormat="1" ht="13.8">
      <c r="A656" s="192"/>
      <c r="B656" s="164"/>
      <c r="C656" s="183" t="str">
        <f t="shared" si="59"/>
        <v/>
      </c>
      <c r="D656" s="182" t="str">
        <f t="shared" si="60"/>
        <v/>
      </c>
      <c r="E656" s="192" t="s">
        <v>681</v>
      </c>
      <c r="F656" s="192" t="s">
        <v>968</v>
      </c>
      <c r="G656" s="192" t="s">
        <v>905</v>
      </c>
      <c r="H656" s="210" t="s">
        <v>1440</v>
      </c>
      <c r="I656" s="167">
        <v>4034583000</v>
      </c>
      <c r="J656" s="166"/>
      <c r="K656" s="167">
        <v>4023500000</v>
      </c>
      <c r="L656" s="168">
        <v>11083000</v>
      </c>
      <c r="M656" s="168">
        <f t="shared" si="61"/>
        <v>4034583000</v>
      </c>
      <c r="N656" s="168"/>
      <c r="O656" s="167">
        <v>3914583000</v>
      </c>
      <c r="P656" s="167">
        <f t="shared" si="62"/>
        <v>3914583000</v>
      </c>
      <c r="Q656" s="167"/>
      <c r="S656" s="201">
        <f t="shared" si="63"/>
        <v>4034.5830000000001</v>
      </c>
      <c r="T656" s="201">
        <f t="shared" si="64"/>
        <v>4034.5830000000001</v>
      </c>
      <c r="U656" s="201">
        <f t="shared" si="64"/>
        <v>0</v>
      </c>
      <c r="V656" s="201">
        <f t="shared" si="64"/>
        <v>3914.5830000000001</v>
      </c>
      <c r="W656" s="201">
        <f t="shared" si="64"/>
        <v>3914.5830000000001</v>
      </c>
      <c r="X656" s="201">
        <f t="shared" si="64"/>
        <v>0</v>
      </c>
    </row>
    <row r="657" spans="1:24" s="169" customFormat="1" ht="39.6">
      <c r="A657" s="192" t="s">
        <v>969</v>
      </c>
      <c r="B657" s="165" t="s">
        <v>970</v>
      </c>
      <c r="C657" s="183" t="str">
        <f t="shared" si="59"/>
        <v>1047749</v>
      </c>
      <c r="D657" s="182" t="str">
        <f t="shared" si="60"/>
        <v>-Trung tâm Công nghệ Thông tin - Tài nguyên và Môi trường</v>
      </c>
      <c r="E657" s="206"/>
      <c r="F657" s="207"/>
      <c r="G657" s="207"/>
      <c r="H657" s="205"/>
      <c r="I657" s="167">
        <v>1266000000</v>
      </c>
      <c r="J657" s="167">
        <v>16900000</v>
      </c>
      <c r="K657" s="167">
        <v>1086000000</v>
      </c>
      <c r="L657" s="168">
        <v>163100000</v>
      </c>
      <c r="M657" s="168">
        <f t="shared" si="61"/>
        <v>1266000000</v>
      </c>
      <c r="N657" s="168"/>
      <c r="O657" s="167">
        <v>1266000000</v>
      </c>
      <c r="P657" s="167">
        <f t="shared" si="62"/>
        <v>1266000000</v>
      </c>
      <c r="Q657" s="167"/>
      <c r="S657" s="201">
        <f t="shared" si="63"/>
        <v>1266</v>
      </c>
      <c r="T657" s="201">
        <f t="shared" si="64"/>
        <v>1266</v>
      </c>
      <c r="U657" s="201">
        <f t="shared" si="64"/>
        <v>0</v>
      </c>
      <c r="V657" s="201">
        <f t="shared" si="64"/>
        <v>1266</v>
      </c>
      <c r="W657" s="201">
        <f t="shared" si="64"/>
        <v>1266</v>
      </c>
      <c r="X657" s="201">
        <f t="shared" si="64"/>
        <v>0</v>
      </c>
    </row>
    <row r="658" spans="1:24" s="169" customFormat="1" ht="13.8">
      <c r="A658" s="192" t="s">
        <v>971</v>
      </c>
      <c r="B658" s="170" t="s">
        <v>689</v>
      </c>
      <c r="C658" s="183" t="str">
        <f t="shared" si="59"/>
        <v/>
      </c>
      <c r="D658" s="182" t="str">
        <f t="shared" si="60"/>
        <v/>
      </c>
      <c r="E658" s="206"/>
      <c r="F658" s="207"/>
      <c r="G658" s="207"/>
      <c r="H658" s="205"/>
      <c r="I658" s="167">
        <v>1266000000</v>
      </c>
      <c r="J658" s="167">
        <v>16900000</v>
      </c>
      <c r="K658" s="167">
        <v>1086000000</v>
      </c>
      <c r="L658" s="168">
        <v>163100000</v>
      </c>
      <c r="M658" s="168">
        <f t="shared" si="61"/>
        <v>1266000000</v>
      </c>
      <c r="N658" s="168"/>
      <c r="O658" s="167">
        <v>1266000000</v>
      </c>
      <c r="P658" s="167">
        <f t="shared" si="62"/>
        <v>1266000000</v>
      </c>
      <c r="Q658" s="167"/>
      <c r="S658" s="201">
        <f t="shared" si="63"/>
        <v>1266</v>
      </c>
      <c r="T658" s="201">
        <f t="shared" si="64"/>
        <v>1266</v>
      </c>
      <c r="U658" s="201">
        <f t="shared" si="64"/>
        <v>0</v>
      </c>
      <c r="V658" s="201">
        <f t="shared" si="64"/>
        <v>1266</v>
      </c>
      <c r="W658" s="201">
        <f t="shared" si="64"/>
        <v>1266</v>
      </c>
      <c r="X658" s="201">
        <f t="shared" si="64"/>
        <v>0</v>
      </c>
    </row>
    <row r="659" spans="1:24" s="169" customFormat="1" ht="13.8">
      <c r="A659" s="192"/>
      <c r="B659" s="170" t="s">
        <v>686</v>
      </c>
      <c r="C659" s="183" t="str">
        <f t="shared" si="59"/>
        <v/>
      </c>
      <c r="D659" s="182" t="str">
        <f t="shared" si="60"/>
        <v/>
      </c>
      <c r="E659" s="206"/>
      <c r="F659" s="207"/>
      <c r="G659" s="207"/>
      <c r="H659" s="205"/>
      <c r="I659" s="167">
        <v>1266000000</v>
      </c>
      <c r="J659" s="167">
        <v>16900000</v>
      </c>
      <c r="K659" s="167">
        <v>1086000000</v>
      </c>
      <c r="L659" s="168">
        <v>163100000</v>
      </c>
      <c r="M659" s="168">
        <f t="shared" si="61"/>
        <v>1266000000</v>
      </c>
      <c r="N659" s="168"/>
      <c r="O659" s="167">
        <v>1266000000</v>
      </c>
      <c r="P659" s="167">
        <f t="shared" si="62"/>
        <v>1266000000</v>
      </c>
      <c r="Q659" s="167"/>
      <c r="S659" s="201">
        <f t="shared" si="63"/>
        <v>1266</v>
      </c>
      <c r="T659" s="201">
        <f t="shared" si="64"/>
        <v>1266</v>
      </c>
      <c r="U659" s="201">
        <f t="shared" si="64"/>
        <v>0</v>
      </c>
      <c r="V659" s="201">
        <f t="shared" si="64"/>
        <v>1266</v>
      </c>
      <c r="W659" s="201">
        <f t="shared" si="64"/>
        <v>1266</v>
      </c>
      <c r="X659" s="201">
        <f t="shared" si="64"/>
        <v>0</v>
      </c>
    </row>
    <row r="660" spans="1:24" s="169" customFormat="1" ht="13.8">
      <c r="A660" s="193"/>
      <c r="B660" s="187"/>
      <c r="C660" s="183" t="str">
        <f t="shared" si="59"/>
        <v/>
      </c>
      <c r="D660" s="182" t="str">
        <f t="shared" si="60"/>
        <v/>
      </c>
      <c r="E660" s="192" t="s">
        <v>681</v>
      </c>
      <c r="F660" s="192" t="s">
        <v>972</v>
      </c>
      <c r="G660" s="192" t="s">
        <v>780</v>
      </c>
      <c r="H660" s="210" t="s">
        <v>1440</v>
      </c>
      <c r="I660" s="167">
        <v>1252900000</v>
      </c>
      <c r="J660" s="167">
        <v>16900000</v>
      </c>
      <c r="K660" s="167">
        <v>1086000000</v>
      </c>
      <c r="L660" s="168">
        <v>150000000</v>
      </c>
      <c r="M660" s="168">
        <f t="shared" si="61"/>
        <v>1252900000</v>
      </c>
      <c r="N660" s="168"/>
      <c r="O660" s="167">
        <v>1252900000</v>
      </c>
      <c r="P660" s="167">
        <f t="shared" si="62"/>
        <v>1252900000</v>
      </c>
      <c r="Q660" s="167"/>
      <c r="S660" s="201">
        <f t="shared" si="63"/>
        <v>1252.9000000000001</v>
      </c>
      <c r="T660" s="201">
        <f t="shared" si="64"/>
        <v>1252.9000000000001</v>
      </c>
      <c r="U660" s="201">
        <f t="shared" si="64"/>
        <v>0</v>
      </c>
      <c r="V660" s="201">
        <f t="shared" si="64"/>
        <v>1252.9000000000001</v>
      </c>
      <c r="W660" s="201">
        <f t="shared" si="64"/>
        <v>1252.9000000000001</v>
      </c>
      <c r="X660" s="201">
        <f t="shared" si="64"/>
        <v>0</v>
      </c>
    </row>
    <row r="661" spans="1:24" s="169" customFormat="1" ht="13.8">
      <c r="A661" s="195"/>
      <c r="B661" s="188"/>
      <c r="C661" s="183" t="str">
        <f t="shared" si="59"/>
        <v/>
      </c>
      <c r="D661" s="182" t="str">
        <f t="shared" si="60"/>
        <v/>
      </c>
      <c r="E661" s="192" t="s">
        <v>679</v>
      </c>
      <c r="F661" s="192" t="s">
        <v>972</v>
      </c>
      <c r="G661" s="192" t="s">
        <v>780</v>
      </c>
      <c r="H661" s="210" t="s">
        <v>1440</v>
      </c>
      <c r="I661" s="167">
        <v>13100000</v>
      </c>
      <c r="J661" s="166"/>
      <c r="K661" s="166"/>
      <c r="L661" s="168">
        <v>13100000</v>
      </c>
      <c r="M661" s="168">
        <f t="shared" si="61"/>
        <v>13100000</v>
      </c>
      <c r="N661" s="168"/>
      <c r="O661" s="167">
        <v>13100000</v>
      </c>
      <c r="P661" s="167">
        <f t="shared" si="62"/>
        <v>13100000</v>
      </c>
      <c r="Q661" s="167"/>
      <c r="S661" s="201">
        <f t="shared" si="63"/>
        <v>13.1</v>
      </c>
      <c r="T661" s="201">
        <f t="shared" si="64"/>
        <v>13.1</v>
      </c>
      <c r="U661" s="201">
        <f t="shared" si="64"/>
        <v>0</v>
      </c>
      <c r="V661" s="201">
        <f t="shared" si="64"/>
        <v>13.1</v>
      </c>
      <c r="W661" s="201">
        <f t="shared" si="64"/>
        <v>13.1</v>
      </c>
      <c r="X661" s="201">
        <f t="shared" si="64"/>
        <v>0</v>
      </c>
    </row>
    <row r="662" spans="1:24" s="169" customFormat="1" ht="26.4">
      <c r="A662" s="192" t="s">
        <v>973</v>
      </c>
      <c r="B662" s="165" t="s">
        <v>974</v>
      </c>
      <c r="C662" s="183" t="str">
        <f t="shared" ref="C662:C725" si="65">IF(B662&lt;&gt;"",IF(AND(LEFT(B662,1)&gt;="0",LEFT(B662,1)&lt;="9"),LEFT(B662,7),""),"")</f>
        <v>1047842</v>
      </c>
      <c r="D662" s="182" t="str">
        <f t="shared" si="60"/>
        <v>-Bệnh viện Đa khoa tỉnh Kon Tum</v>
      </c>
      <c r="E662" s="206"/>
      <c r="F662" s="207"/>
      <c r="G662" s="207"/>
      <c r="H662" s="205"/>
      <c r="I662" s="167">
        <v>36502437000</v>
      </c>
      <c r="J662" s="166"/>
      <c r="K662" s="167">
        <v>35377000000</v>
      </c>
      <c r="L662" s="168">
        <v>1125437000</v>
      </c>
      <c r="M662" s="168">
        <f t="shared" si="61"/>
        <v>36502437000</v>
      </c>
      <c r="N662" s="168"/>
      <c r="O662" s="167">
        <v>36502437000</v>
      </c>
      <c r="P662" s="167">
        <f t="shared" si="62"/>
        <v>36502437000</v>
      </c>
      <c r="Q662" s="167"/>
      <c r="S662" s="201">
        <f t="shared" si="63"/>
        <v>36502.436999999998</v>
      </c>
      <c r="T662" s="201">
        <f t="shared" si="64"/>
        <v>36502.436999999998</v>
      </c>
      <c r="U662" s="201">
        <f t="shared" si="64"/>
        <v>0</v>
      </c>
      <c r="V662" s="201">
        <f t="shared" si="64"/>
        <v>36502.436999999998</v>
      </c>
      <c r="W662" s="201">
        <f t="shared" si="64"/>
        <v>36502.436999999998</v>
      </c>
      <c r="X662" s="201">
        <f t="shared" si="64"/>
        <v>0</v>
      </c>
    </row>
    <row r="663" spans="1:24" s="169" customFormat="1" ht="13.8">
      <c r="A663" s="192" t="s">
        <v>975</v>
      </c>
      <c r="B663" s="170" t="s">
        <v>689</v>
      </c>
      <c r="C663" s="183" t="str">
        <f t="shared" si="65"/>
        <v/>
      </c>
      <c r="D663" s="182" t="str">
        <f t="shared" ref="D663:D726" si="66">IF(C663&lt;&gt;"",RIGHT(B663,LEN(B663)-7),"")</f>
        <v/>
      </c>
      <c r="E663" s="206"/>
      <c r="F663" s="207"/>
      <c r="G663" s="207"/>
      <c r="H663" s="205"/>
      <c r="I663" s="167">
        <v>36502437000</v>
      </c>
      <c r="J663" s="166"/>
      <c r="K663" s="167">
        <v>35377000000</v>
      </c>
      <c r="L663" s="168">
        <v>1125437000</v>
      </c>
      <c r="M663" s="168">
        <f t="shared" ref="M663:M726" si="67">I663-N663</f>
        <v>36502437000</v>
      </c>
      <c r="N663" s="168"/>
      <c r="O663" s="167">
        <v>36502437000</v>
      </c>
      <c r="P663" s="167">
        <f t="shared" ref="P663:P726" si="68">O663-Q663</f>
        <v>36502437000</v>
      </c>
      <c r="Q663" s="167"/>
      <c r="S663" s="201">
        <f t="shared" ref="S663:S726" si="69">I663/1000000</f>
        <v>36502.436999999998</v>
      </c>
      <c r="T663" s="201">
        <f t="shared" si="64"/>
        <v>36502.436999999998</v>
      </c>
      <c r="U663" s="201">
        <f t="shared" si="64"/>
        <v>0</v>
      </c>
      <c r="V663" s="201">
        <f t="shared" si="64"/>
        <v>36502.436999999998</v>
      </c>
      <c r="W663" s="201">
        <f t="shared" si="64"/>
        <v>36502.436999999998</v>
      </c>
      <c r="X663" s="201">
        <f t="shared" si="64"/>
        <v>0</v>
      </c>
    </row>
    <row r="664" spans="1:24" s="169" customFormat="1" ht="13.8">
      <c r="A664" s="192"/>
      <c r="B664" s="170" t="s">
        <v>690</v>
      </c>
      <c r="C664" s="183" t="str">
        <f t="shared" si="65"/>
        <v/>
      </c>
      <c r="D664" s="182" t="str">
        <f t="shared" si="66"/>
        <v/>
      </c>
      <c r="E664" s="206"/>
      <c r="F664" s="207"/>
      <c r="G664" s="207"/>
      <c r="H664" s="205"/>
      <c r="I664" s="167">
        <v>35310000000</v>
      </c>
      <c r="J664" s="166"/>
      <c r="K664" s="167">
        <v>35310000000</v>
      </c>
      <c r="L664" s="171"/>
      <c r="M664" s="168">
        <f t="shared" si="67"/>
        <v>35310000000</v>
      </c>
      <c r="N664" s="171"/>
      <c r="O664" s="167">
        <v>35310000000</v>
      </c>
      <c r="P664" s="167">
        <f t="shared" si="68"/>
        <v>35310000000</v>
      </c>
      <c r="Q664" s="167"/>
      <c r="S664" s="201">
        <f t="shared" si="69"/>
        <v>35310</v>
      </c>
      <c r="T664" s="201">
        <f t="shared" si="64"/>
        <v>35310</v>
      </c>
      <c r="U664" s="201">
        <f t="shared" si="64"/>
        <v>0</v>
      </c>
      <c r="V664" s="201">
        <f t="shared" si="64"/>
        <v>35310</v>
      </c>
      <c r="W664" s="201">
        <f t="shared" si="64"/>
        <v>35310</v>
      </c>
      <c r="X664" s="201">
        <f t="shared" si="64"/>
        <v>0</v>
      </c>
    </row>
    <row r="665" spans="1:24" s="169" customFormat="1" ht="13.8">
      <c r="A665" s="192"/>
      <c r="B665" s="164"/>
      <c r="C665" s="183" t="str">
        <f t="shared" si="65"/>
        <v/>
      </c>
      <c r="D665" s="182" t="str">
        <f t="shared" si="66"/>
        <v/>
      </c>
      <c r="E665" s="192" t="s">
        <v>666</v>
      </c>
      <c r="F665" s="192" t="s">
        <v>705</v>
      </c>
      <c r="G665" s="192" t="s">
        <v>976</v>
      </c>
      <c r="H665" s="210" t="s">
        <v>1440</v>
      </c>
      <c r="I665" s="167">
        <v>35310000000</v>
      </c>
      <c r="J665" s="166"/>
      <c r="K665" s="167">
        <v>35310000000</v>
      </c>
      <c r="L665" s="171"/>
      <c r="M665" s="168">
        <f t="shared" si="67"/>
        <v>35310000000</v>
      </c>
      <c r="N665" s="171"/>
      <c r="O665" s="167">
        <v>35310000000</v>
      </c>
      <c r="P665" s="167">
        <f t="shared" si="68"/>
        <v>35310000000</v>
      </c>
      <c r="Q665" s="167"/>
      <c r="S665" s="201">
        <f t="shared" si="69"/>
        <v>35310</v>
      </c>
      <c r="T665" s="201">
        <f t="shared" si="64"/>
        <v>35310</v>
      </c>
      <c r="U665" s="201">
        <f t="shared" si="64"/>
        <v>0</v>
      </c>
      <c r="V665" s="201">
        <f t="shared" si="64"/>
        <v>35310</v>
      </c>
      <c r="W665" s="201">
        <f t="shared" si="64"/>
        <v>35310</v>
      </c>
      <c r="X665" s="201">
        <f t="shared" si="64"/>
        <v>0</v>
      </c>
    </row>
    <row r="666" spans="1:24" s="169" customFormat="1" ht="13.8">
      <c r="A666" s="192"/>
      <c r="B666" s="170" t="s">
        <v>686</v>
      </c>
      <c r="C666" s="183" t="str">
        <f t="shared" si="65"/>
        <v/>
      </c>
      <c r="D666" s="182" t="str">
        <f t="shared" si="66"/>
        <v/>
      </c>
      <c r="E666" s="206"/>
      <c r="F666" s="207"/>
      <c r="G666" s="207"/>
      <c r="H666" s="205"/>
      <c r="I666" s="167">
        <v>1192437000</v>
      </c>
      <c r="J666" s="166"/>
      <c r="K666" s="167">
        <v>67000000</v>
      </c>
      <c r="L666" s="168">
        <v>1125437000</v>
      </c>
      <c r="M666" s="168">
        <f t="shared" si="67"/>
        <v>1192437000</v>
      </c>
      <c r="N666" s="168"/>
      <c r="O666" s="167">
        <v>1192437000</v>
      </c>
      <c r="P666" s="167">
        <f t="shared" si="68"/>
        <v>1192437000</v>
      </c>
      <c r="Q666" s="167"/>
      <c r="S666" s="201">
        <f t="shared" si="69"/>
        <v>1192.4369999999999</v>
      </c>
      <c r="T666" s="201">
        <f t="shared" si="64"/>
        <v>1192.4369999999999</v>
      </c>
      <c r="U666" s="201">
        <f t="shared" si="64"/>
        <v>0</v>
      </c>
      <c r="V666" s="201">
        <f t="shared" si="64"/>
        <v>1192.4369999999999</v>
      </c>
      <c r="W666" s="201">
        <f t="shared" si="64"/>
        <v>1192.4369999999999</v>
      </c>
      <c r="X666" s="201">
        <f t="shared" si="64"/>
        <v>0</v>
      </c>
    </row>
    <row r="667" spans="1:24" s="169" customFormat="1" ht="13.8">
      <c r="A667" s="192"/>
      <c r="B667" s="164"/>
      <c r="C667" s="183" t="str">
        <f t="shared" si="65"/>
        <v/>
      </c>
      <c r="D667" s="182" t="str">
        <f t="shared" si="66"/>
        <v/>
      </c>
      <c r="E667" s="192" t="s">
        <v>681</v>
      </c>
      <c r="F667" s="192" t="s">
        <v>705</v>
      </c>
      <c r="G667" s="192" t="s">
        <v>976</v>
      </c>
      <c r="H667" s="210" t="s">
        <v>1440</v>
      </c>
      <c r="I667" s="167">
        <v>1192437000</v>
      </c>
      <c r="J667" s="166"/>
      <c r="K667" s="167">
        <v>67000000</v>
      </c>
      <c r="L667" s="168">
        <v>1125437000</v>
      </c>
      <c r="M667" s="168">
        <f t="shared" si="67"/>
        <v>1192437000</v>
      </c>
      <c r="N667" s="168"/>
      <c r="O667" s="167">
        <v>1192437000</v>
      </c>
      <c r="P667" s="167">
        <f t="shared" si="68"/>
        <v>1192437000</v>
      </c>
      <c r="Q667" s="167"/>
      <c r="S667" s="201">
        <f t="shared" si="69"/>
        <v>1192.4369999999999</v>
      </c>
      <c r="T667" s="201">
        <f t="shared" si="64"/>
        <v>1192.4369999999999</v>
      </c>
      <c r="U667" s="201">
        <f t="shared" si="64"/>
        <v>0</v>
      </c>
      <c r="V667" s="201">
        <f t="shared" si="64"/>
        <v>1192.4369999999999</v>
      </c>
      <c r="W667" s="201">
        <f t="shared" si="64"/>
        <v>1192.4369999999999</v>
      </c>
      <c r="X667" s="201">
        <f t="shared" si="64"/>
        <v>0</v>
      </c>
    </row>
    <row r="668" spans="1:24" s="169" customFormat="1" ht="26.4">
      <c r="A668" s="192" t="s">
        <v>977</v>
      </c>
      <c r="B668" s="165" t="s">
        <v>978</v>
      </c>
      <c r="C668" s="183" t="str">
        <f t="shared" si="65"/>
        <v>1047845</v>
      </c>
      <c r="D668" s="182" t="str">
        <f t="shared" si="66"/>
        <v>-Trung tâm Chăm sóc Sức chòe Sinh sản</v>
      </c>
      <c r="E668" s="206"/>
      <c r="F668" s="207"/>
      <c r="G668" s="207"/>
      <c r="H668" s="205"/>
      <c r="I668" s="167">
        <v>3080185600</v>
      </c>
      <c r="J668" s="166"/>
      <c r="K668" s="167">
        <v>2230840000</v>
      </c>
      <c r="L668" s="168">
        <v>849345600</v>
      </c>
      <c r="M668" s="168">
        <f t="shared" si="67"/>
        <v>3080185600</v>
      </c>
      <c r="N668" s="168"/>
      <c r="O668" s="167">
        <v>2627440000</v>
      </c>
      <c r="P668" s="167">
        <f t="shared" si="68"/>
        <v>2627440000</v>
      </c>
      <c r="Q668" s="167"/>
      <c r="S668" s="201">
        <f t="shared" si="69"/>
        <v>3080.1855999999998</v>
      </c>
      <c r="T668" s="201">
        <f t="shared" si="64"/>
        <v>3080.1855999999998</v>
      </c>
      <c r="U668" s="201">
        <f t="shared" si="64"/>
        <v>0</v>
      </c>
      <c r="V668" s="201">
        <f t="shared" si="64"/>
        <v>2627.44</v>
      </c>
      <c r="W668" s="201">
        <f t="shared" si="64"/>
        <v>2627.44</v>
      </c>
      <c r="X668" s="201">
        <f t="shared" si="64"/>
        <v>0</v>
      </c>
    </row>
    <row r="669" spans="1:24" s="169" customFormat="1" ht="13.8">
      <c r="A669" s="192" t="s">
        <v>979</v>
      </c>
      <c r="B669" s="170" t="s">
        <v>689</v>
      </c>
      <c r="C669" s="183" t="str">
        <f t="shared" si="65"/>
        <v/>
      </c>
      <c r="D669" s="182" t="str">
        <f t="shared" si="66"/>
        <v/>
      </c>
      <c r="E669" s="206"/>
      <c r="F669" s="207"/>
      <c r="G669" s="207"/>
      <c r="H669" s="205"/>
      <c r="I669" s="167">
        <v>2566188000</v>
      </c>
      <c r="J669" s="166"/>
      <c r="K669" s="167">
        <v>2230840000</v>
      </c>
      <c r="L669" s="168">
        <v>335348000</v>
      </c>
      <c r="M669" s="168">
        <f t="shared" si="67"/>
        <v>2566188000</v>
      </c>
      <c r="N669" s="168"/>
      <c r="O669" s="167">
        <v>2566188000</v>
      </c>
      <c r="P669" s="167">
        <f t="shared" si="68"/>
        <v>2566188000</v>
      </c>
      <c r="Q669" s="167"/>
      <c r="S669" s="201">
        <f t="shared" si="69"/>
        <v>2566.1880000000001</v>
      </c>
      <c r="T669" s="201">
        <f t="shared" si="64"/>
        <v>2566.1880000000001</v>
      </c>
      <c r="U669" s="201">
        <f t="shared" si="64"/>
        <v>0</v>
      </c>
      <c r="V669" s="201">
        <f t="shared" si="64"/>
        <v>2566.1880000000001</v>
      </c>
      <c r="W669" s="201">
        <f t="shared" si="64"/>
        <v>2566.1880000000001</v>
      </c>
      <c r="X669" s="201">
        <f t="shared" si="64"/>
        <v>0</v>
      </c>
    </row>
    <row r="670" spans="1:24" s="169" customFormat="1" ht="13.8">
      <c r="A670" s="192"/>
      <c r="B670" s="170" t="s">
        <v>690</v>
      </c>
      <c r="C670" s="183" t="str">
        <f t="shared" si="65"/>
        <v/>
      </c>
      <c r="D670" s="182" t="str">
        <f t="shared" si="66"/>
        <v/>
      </c>
      <c r="E670" s="206"/>
      <c r="F670" s="207"/>
      <c r="G670" s="207"/>
      <c r="H670" s="205"/>
      <c r="I670" s="167">
        <v>2027000000</v>
      </c>
      <c r="J670" s="166"/>
      <c r="K670" s="167">
        <v>1980840000</v>
      </c>
      <c r="L670" s="168">
        <v>46160000</v>
      </c>
      <c r="M670" s="168">
        <f t="shared" si="67"/>
        <v>2027000000</v>
      </c>
      <c r="N670" s="168"/>
      <c r="O670" s="167">
        <v>2027000000</v>
      </c>
      <c r="P670" s="167">
        <f t="shared" si="68"/>
        <v>2027000000</v>
      </c>
      <c r="Q670" s="167"/>
      <c r="S670" s="201">
        <f t="shared" si="69"/>
        <v>2027</v>
      </c>
      <c r="T670" s="201">
        <f t="shared" si="64"/>
        <v>2027</v>
      </c>
      <c r="U670" s="201">
        <f t="shared" si="64"/>
        <v>0</v>
      </c>
      <c r="V670" s="201">
        <f t="shared" si="64"/>
        <v>2027</v>
      </c>
      <c r="W670" s="201">
        <f t="shared" si="64"/>
        <v>2027</v>
      </c>
      <c r="X670" s="201">
        <f t="shared" si="64"/>
        <v>0</v>
      </c>
    </row>
    <row r="671" spans="1:24" s="169" customFormat="1" ht="13.8">
      <c r="A671" s="193"/>
      <c r="B671" s="187"/>
      <c r="C671" s="183" t="str">
        <f t="shared" si="65"/>
        <v/>
      </c>
      <c r="D671" s="182" t="str">
        <f t="shared" si="66"/>
        <v/>
      </c>
      <c r="E671" s="192" t="s">
        <v>666</v>
      </c>
      <c r="F671" s="192" t="s">
        <v>705</v>
      </c>
      <c r="G671" s="192" t="s">
        <v>706</v>
      </c>
      <c r="H671" s="210" t="s">
        <v>1440</v>
      </c>
      <c r="I671" s="167">
        <v>1975000000</v>
      </c>
      <c r="J671" s="166"/>
      <c r="K671" s="167">
        <v>1980840000</v>
      </c>
      <c r="L671" s="168">
        <v>-5840000</v>
      </c>
      <c r="M671" s="168">
        <f t="shared" si="67"/>
        <v>1975000000</v>
      </c>
      <c r="N671" s="168"/>
      <c r="O671" s="167">
        <v>1975000000</v>
      </c>
      <c r="P671" s="167">
        <f t="shared" si="68"/>
        <v>1975000000</v>
      </c>
      <c r="Q671" s="167"/>
      <c r="S671" s="201">
        <f t="shared" si="69"/>
        <v>1975</v>
      </c>
      <c r="T671" s="201">
        <f t="shared" si="64"/>
        <v>1975</v>
      </c>
      <c r="U671" s="201">
        <f t="shared" si="64"/>
        <v>0</v>
      </c>
      <c r="V671" s="201">
        <f t="shared" si="64"/>
        <v>1975</v>
      </c>
      <c r="W671" s="201">
        <f t="shared" si="64"/>
        <v>1975</v>
      </c>
      <c r="X671" s="201">
        <f t="shared" si="64"/>
        <v>0</v>
      </c>
    </row>
    <row r="672" spans="1:24" s="169" customFormat="1" ht="13.8">
      <c r="A672" s="195"/>
      <c r="B672" s="188"/>
      <c r="C672" s="183" t="str">
        <f t="shared" si="65"/>
        <v/>
      </c>
      <c r="D672" s="182" t="str">
        <f t="shared" si="66"/>
        <v/>
      </c>
      <c r="E672" s="192" t="s">
        <v>679</v>
      </c>
      <c r="F672" s="192" t="s">
        <v>705</v>
      </c>
      <c r="G672" s="192" t="s">
        <v>706</v>
      </c>
      <c r="H672" s="210" t="s">
        <v>1440</v>
      </c>
      <c r="I672" s="167">
        <v>52000000</v>
      </c>
      <c r="J672" s="166"/>
      <c r="K672" s="166"/>
      <c r="L672" s="168">
        <v>52000000</v>
      </c>
      <c r="M672" s="168">
        <f t="shared" si="67"/>
        <v>52000000</v>
      </c>
      <c r="N672" s="168"/>
      <c r="O672" s="167">
        <v>52000000</v>
      </c>
      <c r="P672" s="167">
        <f t="shared" si="68"/>
        <v>52000000</v>
      </c>
      <c r="Q672" s="167"/>
      <c r="S672" s="201">
        <f t="shared" si="69"/>
        <v>52</v>
      </c>
      <c r="T672" s="201">
        <f t="shared" si="64"/>
        <v>52</v>
      </c>
      <c r="U672" s="201">
        <f t="shared" si="64"/>
        <v>0</v>
      </c>
      <c r="V672" s="201">
        <f t="shared" si="64"/>
        <v>52</v>
      </c>
      <c r="W672" s="201">
        <f t="shared" si="64"/>
        <v>52</v>
      </c>
      <c r="X672" s="201">
        <f t="shared" si="64"/>
        <v>0</v>
      </c>
    </row>
    <row r="673" spans="1:24" s="169" customFormat="1" ht="13.8">
      <c r="A673" s="192"/>
      <c r="B673" s="170" t="s">
        <v>686</v>
      </c>
      <c r="C673" s="183" t="str">
        <f t="shared" si="65"/>
        <v/>
      </c>
      <c r="D673" s="182" t="str">
        <f t="shared" si="66"/>
        <v/>
      </c>
      <c r="E673" s="206"/>
      <c r="F673" s="207"/>
      <c r="G673" s="207"/>
      <c r="H673" s="205"/>
      <c r="I673" s="167">
        <v>539188000</v>
      </c>
      <c r="J673" s="166"/>
      <c r="K673" s="167">
        <v>250000000</v>
      </c>
      <c r="L673" s="168">
        <v>289188000</v>
      </c>
      <c r="M673" s="168">
        <f t="shared" si="67"/>
        <v>539188000</v>
      </c>
      <c r="N673" s="168"/>
      <c r="O673" s="167">
        <v>539188000</v>
      </c>
      <c r="P673" s="167">
        <f t="shared" si="68"/>
        <v>539188000</v>
      </c>
      <c r="Q673" s="167"/>
      <c r="S673" s="201">
        <f t="shared" si="69"/>
        <v>539.18799999999999</v>
      </c>
      <c r="T673" s="201">
        <f t="shared" si="64"/>
        <v>539.18799999999999</v>
      </c>
      <c r="U673" s="201">
        <f t="shared" si="64"/>
        <v>0</v>
      </c>
      <c r="V673" s="201">
        <f t="shared" si="64"/>
        <v>539.18799999999999</v>
      </c>
      <c r="W673" s="201">
        <f t="shared" si="64"/>
        <v>539.18799999999999</v>
      </c>
      <c r="X673" s="201">
        <f t="shared" si="64"/>
        <v>0</v>
      </c>
    </row>
    <row r="674" spans="1:24" s="169" customFormat="1" ht="13.8">
      <c r="A674" s="192"/>
      <c r="B674" s="164"/>
      <c r="C674" s="183" t="str">
        <f t="shared" si="65"/>
        <v/>
      </c>
      <c r="D674" s="182" t="str">
        <f t="shared" si="66"/>
        <v/>
      </c>
      <c r="E674" s="192" t="s">
        <v>681</v>
      </c>
      <c r="F674" s="192" t="s">
        <v>705</v>
      </c>
      <c r="G674" s="192" t="s">
        <v>706</v>
      </c>
      <c r="H674" s="210" t="s">
        <v>1440</v>
      </c>
      <c r="I674" s="167">
        <v>539188000</v>
      </c>
      <c r="J674" s="166"/>
      <c r="K674" s="167">
        <v>250000000</v>
      </c>
      <c r="L674" s="168">
        <v>289188000</v>
      </c>
      <c r="M674" s="168">
        <f t="shared" si="67"/>
        <v>539188000</v>
      </c>
      <c r="N674" s="168"/>
      <c r="O674" s="167">
        <v>539188000</v>
      </c>
      <c r="P674" s="167">
        <f t="shared" si="68"/>
        <v>539188000</v>
      </c>
      <c r="Q674" s="167"/>
      <c r="S674" s="201">
        <f t="shared" si="69"/>
        <v>539.18799999999999</v>
      </c>
      <c r="T674" s="201">
        <f t="shared" si="64"/>
        <v>539.18799999999999</v>
      </c>
      <c r="U674" s="201">
        <f t="shared" si="64"/>
        <v>0</v>
      </c>
      <c r="V674" s="201">
        <f t="shared" si="64"/>
        <v>539.18799999999999</v>
      </c>
      <c r="W674" s="201">
        <f t="shared" si="64"/>
        <v>539.18799999999999</v>
      </c>
      <c r="X674" s="201">
        <f t="shared" si="64"/>
        <v>0</v>
      </c>
    </row>
    <row r="675" spans="1:24" s="169" customFormat="1" ht="13.8">
      <c r="A675" s="192" t="s">
        <v>980</v>
      </c>
      <c r="B675" s="170" t="s">
        <v>701</v>
      </c>
      <c r="C675" s="183" t="str">
        <f t="shared" si="65"/>
        <v/>
      </c>
      <c r="D675" s="182" t="str">
        <f t="shared" si="66"/>
        <v/>
      </c>
      <c r="E675" s="206"/>
      <c r="F675" s="207"/>
      <c r="G675" s="207"/>
      <c r="H675" s="205"/>
      <c r="I675" s="167">
        <v>513997600</v>
      </c>
      <c r="J675" s="166"/>
      <c r="K675" s="166"/>
      <c r="L675" s="168">
        <v>513997600</v>
      </c>
      <c r="M675" s="168">
        <f t="shared" si="67"/>
        <v>513997600</v>
      </c>
      <c r="N675" s="168"/>
      <c r="O675" s="167">
        <v>61252000</v>
      </c>
      <c r="P675" s="167">
        <f t="shared" si="68"/>
        <v>61252000</v>
      </c>
      <c r="Q675" s="167"/>
      <c r="S675" s="201">
        <f t="shared" si="69"/>
        <v>513.99760000000003</v>
      </c>
      <c r="T675" s="201">
        <f t="shared" si="64"/>
        <v>513.99760000000003</v>
      </c>
      <c r="U675" s="201">
        <f t="shared" si="64"/>
        <v>0</v>
      </c>
      <c r="V675" s="201">
        <f t="shared" si="64"/>
        <v>61.252000000000002</v>
      </c>
      <c r="W675" s="201">
        <f t="shared" si="64"/>
        <v>61.252000000000002</v>
      </c>
      <c r="X675" s="201">
        <f t="shared" si="64"/>
        <v>0</v>
      </c>
    </row>
    <row r="676" spans="1:24" s="169" customFormat="1" ht="13.8">
      <c r="A676" s="192"/>
      <c r="B676" s="164"/>
      <c r="C676" s="183" t="str">
        <f t="shared" si="65"/>
        <v/>
      </c>
      <c r="D676" s="182" t="str">
        <f t="shared" si="66"/>
        <v/>
      </c>
      <c r="E676" s="192" t="s">
        <v>667</v>
      </c>
      <c r="F676" s="192" t="s">
        <v>705</v>
      </c>
      <c r="G676" s="192" t="s">
        <v>981</v>
      </c>
      <c r="H676" s="210" t="s">
        <v>1455</v>
      </c>
      <c r="I676" s="167">
        <v>513997600</v>
      </c>
      <c r="J676" s="166"/>
      <c r="K676" s="166"/>
      <c r="L676" s="168">
        <v>513997600</v>
      </c>
      <c r="M676" s="168">
        <f t="shared" si="67"/>
        <v>513997600</v>
      </c>
      <c r="N676" s="168"/>
      <c r="O676" s="167">
        <v>61252000</v>
      </c>
      <c r="P676" s="167">
        <f t="shared" si="68"/>
        <v>61252000</v>
      </c>
      <c r="Q676" s="167"/>
      <c r="S676" s="201">
        <f t="shared" si="69"/>
        <v>513.99760000000003</v>
      </c>
      <c r="T676" s="201">
        <f t="shared" si="64"/>
        <v>513.99760000000003</v>
      </c>
      <c r="U676" s="201">
        <f t="shared" si="64"/>
        <v>0</v>
      </c>
      <c r="V676" s="201">
        <f t="shared" si="64"/>
        <v>61.252000000000002</v>
      </c>
      <c r="W676" s="201">
        <f t="shared" si="64"/>
        <v>61.252000000000002</v>
      </c>
      <c r="X676" s="201">
        <f t="shared" si="64"/>
        <v>0</v>
      </c>
    </row>
    <row r="677" spans="1:24" s="169" customFormat="1" ht="26.4">
      <c r="A677" s="192" t="s">
        <v>982</v>
      </c>
      <c r="B677" s="165" t="s">
        <v>983</v>
      </c>
      <c r="C677" s="183" t="str">
        <f t="shared" si="65"/>
        <v>1047849</v>
      </c>
      <c r="D677" s="182" t="str">
        <f t="shared" si="66"/>
        <v>-Trung tâm Phòng chổng Sốt rét</v>
      </c>
      <c r="E677" s="206"/>
      <c r="F677" s="207"/>
      <c r="G677" s="207"/>
      <c r="H677" s="205"/>
      <c r="I677" s="167">
        <v>2776100000</v>
      </c>
      <c r="J677" s="166"/>
      <c r="K677" s="167">
        <v>2586159572</v>
      </c>
      <c r="L677" s="168">
        <v>189940428</v>
      </c>
      <c r="M677" s="168">
        <f t="shared" si="67"/>
        <v>2776100000</v>
      </c>
      <c r="N677" s="168"/>
      <c r="O677" s="167">
        <v>2776100000</v>
      </c>
      <c r="P677" s="167">
        <f t="shared" si="68"/>
        <v>2776100000</v>
      </c>
      <c r="Q677" s="167"/>
      <c r="S677" s="201">
        <f t="shared" si="69"/>
        <v>2776.1</v>
      </c>
      <c r="T677" s="201">
        <f t="shared" si="64"/>
        <v>2776.1</v>
      </c>
      <c r="U677" s="201">
        <f t="shared" si="64"/>
        <v>0</v>
      </c>
      <c r="V677" s="201">
        <f t="shared" si="64"/>
        <v>2776.1</v>
      </c>
      <c r="W677" s="201">
        <f t="shared" si="64"/>
        <v>2776.1</v>
      </c>
      <c r="X677" s="201">
        <f t="shared" si="64"/>
        <v>0</v>
      </c>
    </row>
    <row r="678" spans="1:24" s="169" customFormat="1" ht="13.8">
      <c r="A678" s="192" t="s">
        <v>984</v>
      </c>
      <c r="B678" s="170" t="s">
        <v>689</v>
      </c>
      <c r="C678" s="183" t="str">
        <f t="shared" si="65"/>
        <v/>
      </c>
      <c r="D678" s="182" t="str">
        <f t="shared" si="66"/>
        <v/>
      </c>
      <c r="E678" s="206"/>
      <c r="F678" s="207"/>
      <c r="G678" s="207"/>
      <c r="H678" s="205"/>
      <c r="I678" s="167">
        <v>2570000000</v>
      </c>
      <c r="J678" s="166"/>
      <c r="K678" s="167">
        <v>2586159572</v>
      </c>
      <c r="L678" s="168">
        <v>-16159572</v>
      </c>
      <c r="M678" s="168">
        <f t="shared" si="67"/>
        <v>2570000000</v>
      </c>
      <c r="N678" s="168"/>
      <c r="O678" s="167">
        <v>2570000000</v>
      </c>
      <c r="P678" s="167">
        <f t="shared" si="68"/>
        <v>2570000000</v>
      </c>
      <c r="Q678" s="167"/>
      <c r="S678" s="201">
        <f t="shared" si="69"/>
        <v>2570</v>
      </c>
      <c r="T678" s="201">
        <f t="shared" si="64"/>
        <v>2570</v>
      </c>
      <c r="U678" s="201">
        <f t="shared" si="64"/>
        <v>0</v>
      </c>
      <c r="V678" s="201">
        <f t="shared" si="64"/>
        <v>2570</v>
      </c>
      <c r="W678" s="201">
        <f t="shared" si="64"/>
        <v>2570</v>
      </c>
      <c r="X678" s="201">
        <f t="shared" si="64"/>
        <v>0</v>
      </c>
    </row>
    <row r="679" spans="1:24" s="169" customFormat="1" ht="13.8">
      <c r="A679" s="192"/>
      <c r="B679" s="170" t="s">
        <v>690</v>
      </c>
      <c r="C679" s="183" t="str">
        <f t="shared" si="65"/>
        <v/>
      </c>
      <c r="D679" s="182" t="str">
        <f t="shared" si="66"/>
        <v/>
      </c>
      <c r="E679" s="206"/>
      <c r="F679" s="207"/>
      <c r="G679" s="207"/>
      <c r="H679" s="205"/>
      <c r="I679" s="167">
        <v>2350000000</v>
      </c>
      <c r="J679" s="166"/>
      <c r="K679" s="167">
        <v>2366159572</v>
      </c>
      <c r="L679" s="168">
        <v>-16159572</v>
      </c>
      <c r="M679" s="168">
        <f t="shared" si="67"/>
        <v>2350000000</v>
      </c>
      <c r="N679" s="168"/>
      <c r="O679" s="167">
        <v>2350000000</v>
      </c>
      <c r="P679" s="167">
        <f t="shared" si="68"/>
        <v>2350000000</v>
      </c>
      <c r="Q679" s="167"/>
      <c r="S679" s="201">
        <f t="shared" si="69"/>
        <v>2350</v>
      </c>
      <c r="T679" s="201">
        <f t="shared" si="64"/>
        <v>2350</v>
      </c>
      <c r="U679" s="201">
        <f t="shared" si="64"/>
        <v>0</v>
      </c>
      <c r="V679" s="201">
        <f t="shared" si="64"/>
        <v>2350</v>
      </c>
      <c r="W679" s="201">
        <f t="shared" si="64"/>
        <v>2350</v>
      </c>
      <c r="X679" s="201">
        <f t="shared" si="64"/>
        <v>0</v>
      </c>
    </row>
    <row r="680" spans="1:24" s="169" customFormat="1" ht="13.8">
      <c r="A680" s="193"/>
      <c r="B680" s="187"/>
      <c r="C680" s="183" t="str">
        <f t="shared" si="65"/>
        <v/>
      </c>
      <c r="D680" s="182" t="str">
        <f t="shared" si="66"/>
        <v/>
      </c>
      <c r="E680" s="192" t="s">
        <v>666</v>
      </c>
      <c r="F680" s="192" t="s">
        <v>705</v>
      </c>
      <c r="G680" s="192" t="s">
        <v>775</v>
      </c>
      <c r="H680" s="210" t="s">
        <v>1440</v>
      </c>
      <c r="I680" s="167">
        <v>2284000000</v>
      </c>
      <c r="J680" s="166"/>
      <c r="K680" s="167">
        <v>2366159572</v>
      </c>
      <c r="L680" s="168">
        <v>-82159572</v>
      </c>
      <c r="M680" s="168">
        <f t="shared" si="67"/>
        <v>2284000000</v>
      </c>
      <c r="N680" s="168"/>
      <c r="O680" s="167">
        <v>2284000000</v>
      </c>
      <c r="P680" s="167">
        <f t="shared" si="68"/>
        <v>2284000000</v>
      </c>
      <c r="Q680" s="167"/>
      <c r="S680" s="201">
        <f t="shared" si="69"/>
        <v>2284</v>
      </c>
      <c r="T680" s="201">
        <f t="shared" si="64"/>
        <v>2284</v>
      </c>
      <c r="U680" s="201">
        <f t="shared" si="64"/>
        <v>0</v>
      </c>
      <c r="V680" s="201">
        <f t="shared" si="64"/>
        <v>2284</v>
      </c>
      <c r="W680" s="201">
        <f t="shared" si="64"/>
        <v>2284</v>
      </c>
      <c r="X680" s="201">
        <f t="shared" si="64"/>
        <v>0</v>
      </c>
    </row>
    <row r="681" spans="1:24" s="169" customFormat="1" ht="13.8">
      <c r="A681" s="195"/>
      <c r="B681" s="188"/>
      <c r="C681" s="183" t="str">
        <f t="shared" si="65"/>
        <v/>
      </c>
      <c r="D681" s="182" t="str">
        <f t="shared" si="66"/>
        <v/>
      </c>
      <c r="E681" s="192" t="s">
        <v>679</v>
      </c>
      <c r="F681" s="192" t="s">
        <v>705</v>
      </c>
      <c r="G681" s="192" t="s">
        <v>775</v>
      </c>
      <c r="H681" s="210" t="s">
        <v>1440</v>
      </c>
      <c r="I681" s="167">
        <v>66000000</v>
      </c>
      <c r="J681" s="166"/>
      <c r="K681" s="166"/>
      <c r="L681" s="168">
        <v>66000000</v>
      </c>
      <c r="M681" s="168">
        <f t="shared" si="67"/>
        <v>66000000</v>
      </c>
      <c r="N681" s="168"/>
      <c r="O681" s="167">
        <v>66000000</v>
      </c>
      <c r="P681" s="167">
        <f t="shared" si="68"/>
        <v>66000000</v>
      </c>
      <c r="Q681" s="167"/>
      <c r="S681" s="201">
        <f t="shared" si="69"/>
        <v>66</v>
      </c>
      <c r="T681" s="201">
        <f t="shared" si="64"/>
        <v>66</v>
      </c>
      <c r="U681" s="201">
        <f t="shared" si="64"/>
        <v>0</v>
      </c>
      <c r="V681" s="201">
        <f t="shared" si="64"/>
        <v>66</v>
      </c>
      <c r="W681" s="201">
        <f t="shared" si="64"/>
        <v>66</v>
      </c>
      <c r="X681" s="201">
        <f t="shared" si="64"/>
        <v>0</v>
      </c>
    </row>
    <row r="682" spans="1:24" s="169" customFormat="1" ht="13.8">
      <c r="A682" s="192"/>
      <c r="B682" s="170" t="s">
        <v>686</v>
      </c>
      <c r="C682" s="183" t="str">
        <f t="shared" si="65"/>
        <v/>
      </c>
      <c r="D682" s="182" t="str">
        <f t="shared" si="66"/>
        <v/>
      </c>
      <c r="E682" s="206"/>
      <c r="F682" s="207"/>
      <c r="G682" s="207"/>
      <c r="H682" s="205"/>
      <c r="I682" s="167">
        <v>220000000</v>
      </c>
      <c r="J682" s="166"/>
      <c r="K682" s="167">
        <v>220000000</v>
      </c>
      <c r="L682" s="171"/>
      <c r="M682" s="168">
        <f t="shared" si="67"/>
        <v>220000000</v>
      </c>
      <c r="N682" s="171"/>
      <c r="O682" s="167">
        <v>220000000</v>
      </c>
      <c r="P682" s="167">
        <f t="shared" si="68"/>
        <v>220000000</v>
      </c>
      <c r="Q682" s="167"/>
      <c r="S682" s="201">
        <f t="shared" si="69"/>
        <v>220</v>
      </c>
      <c r="T682" s="201">
        <f t="shared" si="64"/>
        <v>220</v>
      </c>
      <c r="U682" s="201">
        <f t="shared" si="64"/>
        <v>0</v>
      </c>
      <c r="V682" s="201">
        <f t="shared" si="64"/>
        <v>220</v>
      </c>
      <c r="W682" s="201">
        <f t="shared" si="64"/>
        <v>220</v>
      </c>
      <c r="X682" s="201">
        <f t="shared" si="64"/>
        <v>0</v>
      </c>
    </row>
    <row r="683" spans="1:24" s="169" customFormat="1" ht="13.8">
      <c r="A683" s="192"/>
      <c r="B683" s="164"/>
      <c r="C683" s="183" t="str">
        <f t="shared" si="65"/>
        <v/>
      </c>
      <c r="D683" s="182" t="str">
        <f t="shared" si="66"/>
        <v/>
      </c>
      <c r="E683" s="192" t="s">
        <v>681</v>
      </c>
      <c r="F683" s="192" t="s">
        <v>705</v>
      </c>
      <c r="G683" s="192" t="s">
        <v>775</v>
      </c>
      <c r="H683" s="210" t="s">
        <v>1440</v>
      </c>
      <c r="I683" s="167">
        <v>220000000</v>
      </c>
      <c r="J683" s="166"/>
      <c r="K683" s="167">
        <v>220000000</v>
      </c>
      <c r="L683" s="171"/>
      <c r="M683" s="168">
        <f t="shared" si="67"/>
        <v>220000000</v>
      </c>
      <c r="N683" s="171"/>
      <c r="O683" s="167">
        <v>220000000</v>
      </c>
      <c r="P683" s="167">
        <f t="shared" si="68"/>
        <v>220000000</v>
      </c>
      <c r="Q683" s="167"/>
      <c r="S683" s="201">
        <f t="shared" si="69"/>
        <v>220</v>
      </c>
      <c r="T683" s="201">
        <f t="shared" si="64"/>
        <v>220</v>
      </c>
      <c r="U683" s="201">
        <f t="shared" si="64"/>
        <v>0</v>
      </c>
      <c r="V683" s="201">
        <f t="shared" si="64"/>
        <v>220</v>
      </c>
      <c r="W683" s="201">
        <f t="shared" si="64"/>
        <v>220</v>
      </c>
      <c r="X683" s="201">
        <f t="shared" si="64"/>
        <v>0</v>
      </c>
    </row>
    <row r="684" spans="1:24" s="169" customFormat="1" ht="13.8">
      <c r="A684" s="192" t="s">
        <v>985</v>
      </c>
      <c r="B684" s="170" t="s">
        <v>701</v>
      </c>
      <c r="C684" s="183" t="str">
        <f t="shared" si="65"/>
        <v/>
      </c>
      <c r="D684" s="182" t="str">
        <f t="shared" si="66"/>
        <v/>
      </c>
      <c r="E684" s="206"/>
      <c r="F684" s="207"/>
      <c r="G684" s="207"/>
      <c r="H684" s="205"/>
      <c r="I684" s="167">
        <v>206100000</v>
      </c>
      <c r="J684" s="166"/>
      <c r="K684" s="166"/>
      <c r="L684" s="168">
        <v>206100000</v>
      </c>
      <c r="M684" s="168">
        <f t="shared" si="67"/>
        <v>206100000</v>
      </c>
      <c r="N684" s="168"/>
      <c r="O684" s="167">
        <v>206100000</v>
      </c>
      <c r="P684" s="167">
        <f t="shared" si="68"/>
        <v>206100000</v>
      </c>
      <c r="Q684" s="167"/>
      <c r="S684" s="201">
        <f t="shared" si="69"/>
        <v>206.1</v>
      </c>
      <c r="T684" s="201">
        <f t="shared" si="64"/>
        <v>206.1</v>
      </c>
      <c r="U684" s="201">
        <f t="shared" si="64"/>
        <v>0</v>
      </c>
      <c r="V684" s="201">
        <f t="shared" si="64"/>
        <v>206.1</v>
      </c>
      <c r="W684" s="201">
        <f t="shared" si="64"/>
        <v>206.1</v>
      </c>
      <c r="X684" s="201">
        <f t="shared" si="64"/>
        <v>0</v>
      </c>
    </row>
    <row r="685" spans="1:24" s="169" customFormat="1" ht="13.8">
      <c r="A685" s="192"/>
      <c r="B685" s="173"/>
      <c r="C685" s="183" t="str">
        <f t="shared" si="65"/>
        <v/>
      </c>
      <c r="D685" s="182" t="str">
        <f t="shared" si="66"/>
        <v/>
      </c>
      <c r="E685" s="192"/>
      <c r="F685" s="192"/>
      <c r="G685" s="192"/>
      <c r="H685" s="210"/>
      <c r="I685" s="174"/>
      <c r="J685" s="174"/>
      <c r="K685" s="174"/>
      <c r="L685" s="175"/>
      <c r="M685" s="168">
        <f t="shared" si="67"/>
        <v>0</v>
      </c>
      <c r="N685" s="175"/>
      <c r="O685" s="174"/>
      <c r="P685" s="167">
        <f t="shared" si="68"/>
        <v>0</v>
      </c>
      <c r="Q685" s="174"/>
      <c r="S685" s="201">
        <f t="shared" si="69"/>
        <v>0</v>
      </c>
      <c r="T685" s="201">
        <f t="shared" si="64"/>
        <v>0</v>
      </c>
      <c r="U685" s="201">
        <f t="shared" si="64"/>
        <v>0</v>
      </c>
      <c r="V685" s="201">
        <f t="shared" si="64"/>
        <v>0</v>
      </c>
      <c r="W685" s="201">
        <f t="shared" si="64"/>
        <v>0</v>
      </c>
      <c r="X685" s="201">
        <f t="shared" si="64"/>
        <v>0</v>
      </c>
    </row>
    <row r="686" spans="1:24" s="169" customFormat="1" ht="13.8">
      <c r="A686" s="192"/>
      <c r="B686" s="164"/>
      <c r="C686" s="183" t="str">
        <f t="shared" si="65"/>
        <v/>
      </c>
      <c r="D686" s="182" t="str">
        <f t="shared" si="66"/>
        <v/>
      </c>
      <c r="E686" s="192" t="s">
        <v>667</v>
      </c>
      <c r="F686" s="192" t="s">
        <v>705</v>
      </c>
      <c r="G686" s="192" t="s">
        <v>775</v>
      </c>
      <c r="H686" s="210" t="s">
        <v>1455</v>
      </c>
      <c r="I686" s="167">
        <v>206100000</v>
      </c>
      <c r="J686" s="166"/>
      <c r="K686" s="166"/>
      <c r="L686" s="168">
        <v>206100000</v>
      </c>
      <c r="M686" s="168">
        <f t="shared" si="67"/>
        <v>206100000</v>
      </c>
      <c r="N686" s="168"/>
      <c r="O686" s="167">
        <v>206100000</v>
      </c>
      <c r="P686" s="167">
        <f t="shared" si="68"/>
        <v>206100000</v>
      </c>
      <c r="Q686" s="167"/>
      <c r="S686" s="201">
        <f t="shared" si="69"/>
        <v>206.1</v>
      </c>
      <c r="T686" s="201">
        <f t="shared" si="64"/>
        <v>206.1</v>
      </c>
      <c r="U686" s="201">
        <f t="shared" si="64"/>
        <v>0</v>
      </c>
      <c r="V686" s="201">
        <f t="shared" si="64"/>
        <v>206.1</v>
      </c>
      <c r="W686" s="201">
        <f t="shared" si="64"/>
        <v>206.1</v>
      </c>
      <c r="X686" s="201">
        <f t="shared" si="64"/>
        <v>0</v>
      </c>
    </row>
    <row r="687" spans="1:24" s="169" customFormat="1" ht="26.4">
      <c r="A687" s="192" t="s">
        <v>986</v>
      </c>
      <c r="B687" s="170" t="s">
        <v>987</v>
      </c>
      <c r="C687" s="183" t="str">
        <f t="shared" si="65"/>
        <v>1047850</v>
      </c>
      <c r="D687" s="182" t="str">
        <f t="shared" si="66"/>
        <v>-Trung tâm Giám định Y khoa</v>
      </c>
      <c r="E687" s="206"/>
      <c r="F687" s="207"/>
      <c r="G687" s="207"/>
      <c r="H687" s="205"/>
      <c r="I687" s="167">
        <v>396000000</v>
      </c>
      <c r="J687" s="166"/>
      <c r="K687" s="167">
        <v>596060000</v>
      </c>
      <c r="L687" s="168">
        <v>-200060000</v>
      </c>
      <c r="M687" s="168">
        <f t="shared" si="67"/>
        <v>396000000</v>
      </c>
      <c r="N687" s="168"/>
      <c r="O687" s="167">
        <v>395076874</v>
      </c>
      <c r="P687" s="167">
        <f t="shared" si="68"/>
        <v>395076874</v>
      </c>
      <c r="Q687" s="167"/>
      <c r="S687" s="201">
        <f t="shared" si="69"/>
        <v>396</v>
      </c>
      <c r="T687" s="201">
        <f t="shared" si="64"/>
        <v>396</v>
      </c>
      <c r="U687" s="201">
        <f t="shared" si="64"/>
        <v>0</v>
      </c>
      <c r="V687" s="201">
        <f t="shared" si="64"/>
        <v>395.07687399999998</v>
      </c>
      <c r="W687" s="201">
        <f t="shared" si="64"/>
        <v>395.07687399999998</v>
      </c>
      <c r="X687" s="201">
        <f t="shared" si="64"/>
        <v>0</v>
      </c>
    </row>
    <row r="688" spans="1:24" s="169" customFormat="1" ht="13.8">
      <c r="A688" s="192" t="s">
        <v>988</v>
      </c>
      <c r="B688" s="170" t="s">
        <v>689</v>
      </c>
      <c r="C688" s="183" t="str">
        <f t="shared" si="65"/>
        <v/>
      </c>
      <c r="D688" s="182" t="str">
        <f t="shared" si="66"/>
        <v/>
      </c>
      <c r="E688" s="206"/>
      <c r="F688" s="207"/>
      <c r="G688" s="207"/>
      <c r="H688" s="205"/>
      <c r="I688" s="167">
        <v>396000000</v>
      </c>
      <c r="J688" s="166"/>
      <c r="K688" s="167">
        <v>596060000</v>
      </c>
      <c r="L688" s="168">
        <v>-200060000</v>
      </c>
      <c r="M688" s="168">
        <f t="shared" si="67"/>
        <v>396000000</v>
      </c>
      <c r="N688" s="168"/>
      <c r="O688" s="167">
        <v>395076874</v>
      </c>
      <c r="P688" s="167">
        <f t="shared" si="68"/>
        <v>395076874</v>
      </c>
      <c r="Q688" s="167"/>
      <c r="S688" s="201">
        <f t="shared" si="69"/>
        <v>396</v>
      </c>
      <c r="T688" s="201">
        <f t="shared" si="64"/>
        <v>396</v>
      </c>
      <c r="U688" s="201">
        <f t="shared" si="64"/>
        <v>0</v>
      </c>
      <c r="V688" s="201">
        <f t="shared" si="64"/>
        <v>395.07687399999998</v>
      </c>
      <c r="W688" s="201">
        <f t="shared" si="64"/>
        <v>395.07687399999998</v>
      </c>
      <c r="X688" s="201">
        <f t="shared" si="64"/>
        <v>0</v>
      </c>
    </row>
    <row r="689" spans="1:24" s="169" customFormat="1" ht="13.8">
      <c r="A689" s="192"/>
      <c r="B689" s="170" t="s">
        <v>690</v>
      </c>
      <c r="C689" s="183" t="str">
        <f t="shared" si="65"/>
        <v/>
      </c>
      <c r="D689" s="182" t="str">
        <f t="shared" si="66"/>
        <v/>
      </c>
      <c r="E689" s="206"/>
      <c r="F689" s="207"/>
      <c r="G689" s="207"/>
      <c r="H689" s="205"/>
      <c r="I689" s="166"/>
      <c r="J689" s="166"/>
      <c r="K689" s="167">
        <v>111060000</v>
      </c>
      <c r="L689" s="168">
        <v>-111060000</v>
      </c>
      <c r="M689" s="168">
        <f t="shared" si="67"/>
        <v>0</v>
      </c>
      <c r="N689" s="168"/>
      <c r="O689" s="166"/>
      <c r="P689" s="167">
        <f t="shared" si="68"/>
        <v>0</v>
      </c>
      <c r="Q689" s="166"/>
      <c r="S689" s="201">
        <f t="shared" si="69"/>
        <v>0</v>
      </c>
      <c r="T689" s="201">
        <f t="shared" si="64"/>
        <v>0</v>
      </c>
      <c r="U689" s="201">
        <f t="shared" si="64"/>
        <v>0</v>
      </c>
      <c r="V689" s="201">
        <f t="shared" si="64"/>
        <v>0</v>
      </c>
      <c r="W689" s="201">
        <f t="shared" si="64"/>
        <v>0</v>
      </c>
      <c r="X689" s="201">
        <f t="shared" si="64"/>
        <v>0</v>
      </c>
    </row>
    <row r="690" spans="1:24" s="169" customFormat="1" ht="13.8">
      <c r="A690" s="192"/>
      <c r="B690" s="164"/>
      <c r="C690" s="183" t="str">
        <f t="shared" si="65"/>
        <v/>
      </c>
      <c r="D690" s="182" t="str">
        <f t="shared" si="66"/>
        <v/>
      </c>
      <c r="E690" s="192" t="s">
        <v>666</v>
      </c>
      <c r="F690" s="192" t="s">
        <v>705</v>
      </c>
      <c r="G690" s="192" t="s">
        <v>976</v>
      </c>
      <c r="H690" s="210" t="s">
        <v>1440</v>
      </c>
      <c r="I690" s="166"/>
      <c r="J690" s="166"/>
      <c r="K690" s="167">
        <v>111060000</v>
      </c>
      <c r="L690" s="168">
        <v>-111060000</v>
      </c>
      <c r="M690" s="168">
        <f t="shared" si="67"/>
        <v>0</v>
      </c>
      <c r="N690" s="168"/>
      <c r="O690" s="166"/>
      <c r="P690" s="167">
        <f t="shared" si="68"/>
        <v>0</v>
      </c>
      <c r="Q690" s="166"/>
      <c r="S690" s="201">
        <f t="shared" si="69"/>
        <v>0</v>
      </c>
      <c r="T690" s="201">
        <f t="shared" si="64"/>
        <v>0</v>
      </c>
      <c r="U690" s="201">
        <f t="shared" si="64"/>
        <v>0</v>
      </c>
      <c r="V690" s="201">
        <f t="shared" si="64"/>
        <v>0</v>
      </c>
      <c r="W690" s="201">
        <f t="shared" si="64"/>
        <v>0</v>
      </c>
      <c r="X690" s="201">
        <f t="shared" si="64"/>
        <v>0</v>
      </c>
    </row>
    <row r="691" spans="1:24" s="169" customFormat="1" ht="13.8">
      <c r="A691" s="192"/>
      <c r="B691" s="170" t="s">
        <v>686</v>
      </c>
      <c r="C691" s="183" t="str">
        <f t="shared" si="65"/>
        <v/>
      </c>
      <c r="D691" s="182" t="str">
        <f t="shared" si="66"/>
        <v/>
      </c>
      <c r="E691" s="206"/>
      <c r="F691" s="207"/>
      <c r="G691" s="207"/>
      <c r="H691" s="205"/>
      <c r="I691" s="167">
        <v>396000000</v>
      </c>
      <c r="J691" s="166"/>
      <c r="K691" s="167">
        <v>485000000</v>
      </c>
      <c r="L691" s="168">
        <v>-89000000</v>
      </c>
      <c r="M691" s="168">
        <f t="shared" si="67"/>
        <v>396000000</v>
      </c>
      <c r="N691" s="168"/>
      <c r="O691" s="167">
        <v>395076874</v>
      </c>
      <c r="P691" s="167">
        <f t="shared" si="68"/>
        <v>395076874</v>
      </c>
      <c r="Q691" s="167"/>
      <c r="S691" s="201">
        <f t="shared" si="69"/>
        <v>396</v>
      </c>
      <c r="T691" s="201">
        <f t="shared" si="64"/>
        <v>396</v>
      </c>
      <c r="U691" s="201">
        <f t="shared" si="64"/>
        <v>0</v>
      </c>
      <c r="V691" s="201">
        <f t="shared" si="64"/>
        <v>395.07687399999998</v>
      </c>
      <c r="W691" s="201">
        <f t="shared" si="64"/>
        <v>395.07687399999998</v>
      </c>
      <c r="X691" s="201">
        <f t="shared" si="64"/>
        <v>0</v>
      </c>
    </row>
    <row r="692" spans="1:24" s="169" customFormat="1" ht="13.8">
      <c r="A692" s="192"/>
      <c r="B692" s="164"/>
      <c r="C692" s="183" t="str">
        <f t="shared" si="65"/>
        <v/>
      </c>
      <c r="D692" s="182" t="str">
        <f t="shared" si="66"/>
        <v/>
      </c>
      <c r="E692" s="192" t="s">
        <v>681</v>
      </c>
      <c r="F692" s="192" t="s">
        <v>705</v>
      </c>
      <c r="G692" s="192" t="s">
        <v>976</v>
      </c>
      <c r="H692" s="210" t="s">
        <v>1440</v>
      </c>
      <c r="I692" s="167">
        <v>396000000</v>
      </c>
      <c r="J692" s="166"/>
      <c r="K692" s="167">
        <v>485000000</v>
      </c>
      <c r="L692" s="168">
        <v>-89000000</v>
      </c>
      <c r="M692" s="168">
        <f t="shared" si="67"/>
        <v>396000000</v>
      </c>
      <c r="N692" s="168"/>
      <c r="O692" s="167">
        <v>395076874</v>
      </c>
      <c r="P692" s="167">
        <f t="shared" si="68"/>
        <v>395076874</v>
      </c>
      <c r="Q692" s="167"/>
      <c r="S692" s="201">
        <f t="shared" si="69"/>
        <v>396</v>
      </c>
      <c r="T692" s="201">
        <f t="shared" ref="T692:X742" si="70">M692/1000000</f>
        <v>396</v>
      </c>
      <c r="U692" s="201">
        <f t="shared" si="70"/>
        <v>0</v>
      </c>
      <c r="V692" s="201">
        <f t="shared" si="70"/>
        <v>395.07687399999998</v>
      </c>
      <c r="W692" s="201">
        <f t="shared" si="70"/>
        <v>395.07687399999998</v>
      </c>
      <c r="X692" s="201">
        <f t="shared" si="70"/>
        <v>0</v>
      </c>
    </row>
    <row r="693" spans="1:24" s="169" customFormat="1" ht="26.4">
      <c r="A693" s="192" t="s">
        <v>989</v>
      </c>
      <c r="B693" s="165" t="s">
        <v>990</v>
      </c>
      <c r="C693" s="183" t="str">
        <f t="shared" si="65"/>
        <v>1047851</v>
      </c>
      <c r="D693" s="182" t="str">
        <f t="shared" si="66"/>
        <v>-Trường Trung cãp Y tẽ tỉnh Kon Tum</v>
      </c>
      <c r="E693" s="206"/>
      <c r="F693" s="207"/>
      <c r="G693" s="207"/>
      <c r="H693" s="205"/>
      <c r="I693" s="167">
        <v>3762678000</v>
      </c>
      <c r="J693" s="167">
        <v>25168000</v>
      </c>
      <c r="K693" s="167">
        <v>2562100000</v>
      </c>
      <c r="L693" s="168">
        <v>1175410000</v>
      </c>
      <c r="M693" s="168">
        <f t="shared" si="67"/>
        <v>3762678000</v>
      </c>
      <c r="N693" s="168"/>
      <c r="O693" s="167">
        <v>2759250000</v>
      </c>
      <c r="P693" s="167">
        <f t="shared" si="68"/>
        <v>2759250000</v>
      </c>
      <c r="Q693" s="167"/>
      <c r="S693" s="201">
        <f t="shared" si="69"/>
        <v>3762.6779999999999</v>
      </c>
      <c r="T693" s="201">
        <f t="shared" si="70"/>
        <v>3762.6779999999999</v>
      </c>
      <c r="U693" s="201">
        <f t="shared" si="70"/>
        <v>0</v>
      </c>
      <c r="V693" s="201">
        <f t="shared" si="70"/>
        <v>2759.25</v>
      </c>
      <c r="W693" s="201">
        <f t="shared" si="70"/>
        <v>2759.25</v>
      </c>
      <c r="X693" s="201">
        <f t="shared" si="70"/>
        <v>0</v>
      </c>
    </row>
    <row r="694" spans="1:24" s="169" customFormat="1" ht="13.8">
      <c r="A694" s="192" t="s">
        <v>991</v>
      </c>
      <c r="B694" s="170" t="s">
        <v>689</v>
      </c>
      <c r="C694" s="183" t="str">
        <f t="shared" si="65"/>
        <v/>
      </c>
      <c r="D694" s="182" t="str">
        <f t="shared" si="66"/>
        <v/>
      </c>
      <c r="E694" s="206"/>
      <c r="F694" s="207"/>
      <c r="G694" s="207"/>
      <c r="H694" s="205"/>
      <c r="I694" s="167">
        <v>3762678000</v>
      </c>
      <c r="J694" s="167">
        <v>25168000</v>
      </c>
      <c r="K694" s="167">
        <v>2562100000</v>
      </c>
      <c r="L694" s="168">
        <v>1175410000</v>
      </c>
      <c r="M694" s="168">
        <f t="shared" si="67"/>
        <v>3762678000</v>
      </c>
      <c r="N694" s="168"/>
      <c r="O694" s="167">
        <v>2759250000</v>
      </c>
      <c r="P694" s="167">
        <f t="shared" si="68"/>
        <v>2759250000</v>
      </c>
      <c r="Q694" s="167"/>
      <c r="S694" s="201">
        <f t="shared" si="69"/>
        <v>3762.6779999999999</v>
      </c>
      <c r="T694" s="201">
        <f t="shared" si="70"/>
        <v>3762.6779999999999</v>
      </c>
      <c r="U694" s="201">
        <f t="shared" si="70"/>
        <v>0</v>
      </c>
      <c r="V694" s="201">
        <f t="shared" si="70"/>
        <v>2759.25</v>
      </c>
      <c r="W694" s="201">
        <f t="shared" si="70"/>
        <v>2759.25</v>
      </c>
      <c r="X694" s="201">
        <f t="shared" si="70"/>
        <v>0</v>
      </c>
    </row>
    <row r="695" spans="1:24" s="169" customFormat="1" ht="13.8">
      <c r="A695" s="192"/>
      <c r="B695" s="170" t="s">
        <v>690</v>
      </c>
      <c r="C695" s="183" t="str">
        <f t="shared" si="65"/>
        <v/>
      </c>
      <c r="D695" s="182" t="str">
        <f t="shared" si="66"/>
        <v/>
      </c>
      <c r="E695" s="206"/>
      <c r="F695" s="207"/>
      <c r="G695" s="207"/>
      <c r="H695" s="205"/>
      <c r="I695" s="167">
        <v>2331100000</v>
      </c>
      <c r="J695" s="166"/>
      <c r="K695" s="167">
        <v>2160100000</v>
      </c>
      <c r="L695" s="168">
        <v>171000000</v>
      </c>
      <c r="M695" s="168">
        <f t="shared" si="67"/>
        <v>2331100000</v>
      </c>
      <c r="N695" s="168"/>
      <c r="O695" s="167">
        <v>2270100000</v>
      </c>
      <c r="P695" s="167">
        <f t="shared" si="68"/>
        <v>2270100000</v>
      </c>
      <c r="Q695" s="167"/>
      <c r="S695" s="201">
        <f t="shared" si="69"/>
        <v>2331.1</v>
      </c>
      <c r="T695" s="201">
        <f t="shared" si="70"/>
        <v>2331.1</v>
      </c>
      <c r="U695" s="201">
        <f t="shared" si="70"/>
        <v>0</v>
      </c>
      <c r="V695" s="201">
        <f t="shared" si="70"/>
        <v>2270.1</v>
      </c>
      <c r="W695" s="201">
        <f t="shared" si="70"/>
        <v>2270.1</v>
      </c>
      <c r="X695" s="201">
        <f t="shared" si="70"/>
        <v>0</v>
      </c>
    </row>
    <row r="696" spans="1:24" s="169" customFormat="1" ht="13.8">
      <c r="A696" s="193"/>
      <c r="B696" s="187"/>
      <c r="C696" s="183" t="str">
        <f t="shared" si="65"/>
        <v/>
      </c>
      <c r="D696" s="182" t="str">
        <f t="shared" si="66"/>
        <v/>
      </c>
      <c r="E696" s="192" t="s">
        <v>666</v>
      </c>
      <c r="F696" s="192" t="s">
        <v>705</v>
      </c>
      <c r="G696" s="192" t="s">
        <v>992</v>
      </c>
      <c r="H696" s="210" t="s">
        <v>1440</v>
      </c>
      <c r="I696" s="167">
        <v>2331100000</v>
      </c>
      <c r="J696" s="166"/>
      <c r="K696" s="167">
        <v>2331100000</v>
      </c>
      <c r="L696" s="171"/>
      <c r="M696" s="168">
        <f t="shared" si="67"/>
        <v>2331100000</v>
      </c>
      <c r="N696" s="171"/>
      <c r="O696" s="167">
        <v>2270100000</v>
      </c>
      <c r="P696" s="167">
        <f t="shared" si="68"/>
        <v>2270100000</v>
      </c>
      <c r="Q696" s="167"/>
      <c r="S696" s="201">
        <f t="shared" si="69"/>
        <v>2331.1</v>
      </c>
      <c r="T696" s="201">
        <f t="shared" si="70"/>
        <v>2331.1</v>
      </c>
      <c r="U696" s="201">
        <f t="shared" si="70"/>
        <v>0</v>
      </c>
      <c r="V696" s="201">
        <f t="shared" si="70"/>
        <v>2270.1</v>
      </c>
      <c r="W696" s="201">
        <f t="shared" si="70"/>
        <v>2270.1</v>
      </c>
      <c r="X696" s="201">
        <f t="shared" si="70"/>
        <v>0</v>
      </c>
    </row>
    <row r="697" spans="1:24" s="169" customFormat="1" ht="13.8">
      <c r="A697" s="195"/>
      <c r="B697" s="188"/>
      <c r="C697" s="183" t="str">
        <f t="shared" si="65"/>
        <v/>
      </c>
      <c r="D697" s="182" t="str">
        <f t="shared" si="66"/>
        <v/>
      </c>
      <c r="E697" s="192" t="s">
        <v>669</v>
      </c>
      <c r="F697" s="192" t="s">
        <v>705</v>
      </c>
      <c r="G697" s="192" t="s">
        <v>992</v>
      </c>
      <c r="H697" s="210" t="s">
        <v>1440</v>
      </c>
      <c r="I697" s="166"/>
      <c r="J697" s="166"/>
      <c r="K697" s="167">
        <v>-171000000</v>
      </c>
      <c r="L697" s="168">
        <v>171000000</v>
      </c>
      <c r="M697" s="168">
        <f t="shared" si="67"/>
        <v>0</v>
      </c>
      <c r="N697" s="168"/>
      <c r="O697" s="166"/>
      <c r="P697" s="167">
        <f t="shared" si="68"/>
        <v>0</v>
      </c>
      <c r="Q697" s="166"/>
      <c r="S697" s="201">
        <f t="shared" si="69"/>
        <v>0</v>
      </c>
      <c r="T697" s="201">
        <f t="shared" si="70"/>
        <v>0</v>
      </c>
      <c r="U697" s="201">
        <f t="shared" si="70"/>
        <v>0</v>
      </c>
      <c r="V697" s="201">
        <f t="shared" si="70"/>
        <v>0</v>
      </c>
      <c r="W697" s="201">
        <f t="shared" si="70"/>
        <v>0</v>
      </c>
      <c r="X697" s="201">
        <f t="shared" si="70"/>
        <v>0</v>
      </c>
    </row>
    <row r="698" spans="1:24" s="169" customFormat="1" ht="13.8">
      <c r="A698" s="192"/>
      <c r="B698" s="170" t="s">
        <v>686</v>
      </c>
      <c r="C698" s="183" t="str">
        <f t="shared" si="65"/>
        <v/>
      </c>
      <c r="D698" s="182" t="str">
        <f t="shared" si="66"/>
        <v/>
      </c>
      <c r="E698" s="206"/>
      <c r="F698" s="207"/>
      <c r="G698" s="207"/>
      <c r="H698" s="205"/>
      <c r="I698" s="167">
        <v>1431578000</v>
      </c>
      <c r="J698" s="167">
        <v>25168000</v>
      </c>
      <c r="K698" s="167">
        <v>402000000</v>
      </c>
      <c r="L698" s="168">
        <v>1004410000</v>
      </c>
      <c r="M698" s="168">
        <f t="shared" si="67"/>
        <v>1431578000</v>
      </c>
      <c r="N698" s="168"/>
      <c r="O698" s="167">
        <v>489150000</v>
      </c>
      <c r="P698" s="167">
        <f t="shared" si="68"/>
        <v>489150000</v>
      </c>
      <c r="Q698" s="167"/>
      <c r="S698" s="201">
        <f t="shared" si="69"/>
        <v>1431.578</v>
      </c>
      <c r="T698" s="201">
        <f t="shared" si="70"/>
        <v>1431.578</v>
      </c>
      <c r="U698" s="201">
        <f t="shared" si="70"/>
        <v>0</v>
      </c>
      <c r="V698" s="201">
        <f t="shared" si="70"/>
        <v>489.15</v>
      </c>
      <c r="W698" s="201">
        <f t="shared" si="70"/>
        <v>489.15</v>
      </c>
      <c r="X698" s="201">
        <f t="shared" si="70"/>
        <v>0</v>
      </c>
    </row>
    <row r="699" spans="1:24" s="169" customFormat="1" ht="13.8">
      <c r="A699" s="193"/>
      <c r="B699" s="187"/>
      <c r="C699" s="183" t="str">
        <f t="shared" si="65"/>
        <v/>
      </c>
      <c r="D699" s="182" t="str">
        <f t="shared" si="66"/>
        <v/>
      </c>
      <c r="E699" s="192" t="s">
        <v>681</v>
      </c>
      <c r="F699" s="192" t="s">
        <v>705</v>
      </c>
      <c r="G699" s="192" t="s">
        <v>992</v>
      </c>
      <c r="H699" s="210" t="s">
        <v>1440</v>
      </c>
      <c r="I699" s="167">
        <v>586250000</v>
      </c>
      <c r="J699" s="166"/>
      <c r="K699" s="167">
        <v>402000000</v>
      </c>
      <c r="L699" s="168">
        <v>184250000</v>
      </c>
      <c r="M699" s="168">
        <f t="shared" si="67"/>
        <v>586250000</v>
      </c>
      <c r="N699" s="168"/>
      <c r="O699" s="167">
        <v>465510000</v>
      </c>
      <c r="P699" s="167">
        <f t="shared" si="68"/>
        <v>465510000</v>
      </c>
      <c r="Q699" s="167"/>
      <c r="S699" s="201">
        <f t="shared" si="69"/>
        <v>586.25</v>
      </c>
      <c r="T699" s="201">
        <f t="shared" si="70"/>
        <v>586.25</v>
      </c>
      <c r="U699" s="201">
        <f t="shared" si="70"/>
        <v>0</v>
      </c>
      <c r="V699" s="201">
        <f t="shared" si="70"/>
        <v>465.51</v>
      </c>
      <c r="W699" s="201">
        <f t="shared" si="70"/>
        <v>465.51</v>
      </c>
      <c r="X699" s="201">
        <f t="shared" si="70"/>
        <v>0</v>
      </c>
    </row>
    <row r="700" spans="1:24" s="169" customFormat="1" ht="13.8">
      <c r="A700" s="194"/>
      <c r="B700" s="184"/>
      <c r="C700" s="183" t="str">
        <f t="shared" si="65"/>
        <v/>
      </c>
      <c r="D700" s="182" t="str">
        <f t="shared" si="66"/>
        <v/>
      </c>
      <c r="E700" s="192" t="s">
        <v>667</v>
      </c>
      <c r="F700" s="192" t="s">
        <v>705</v>
      </c>
      <c r="G700" s="192" t="s">
        <v>992</v>
      </c>
      <c r="H700" s="210" t="s">
        <v>1440</v>
      </c>
      <c r="I700" s="167">
        <v>820160000</v>
      </c>
      <c r="J700" s="166"/>
      <c r="K700" s="166"/>
      <c r="L700" s="168">
        <v>820160000</v>
      </c>
      <c r="M700" s="168">
        <f t="shared" si="67"/>
        <v>820160000</v>
      </c>
      <c r="N700" s="168"/>
      <c r="O700" s="166"/>
      <c r="P700" s="167">
        <f t="shared" si="68"/>
        <v>0</v>
      </c>
      <c r="Q700" s="166"/>
      <c r="S700" s="201">
        <f t="shared" si="69"/>
        <v>820.16</v>
      </c>
      <c r="T700" s="201">
        <f t="shared" si="70"/>
        <v>820.16</v>
      </c>
      <c r="U700" s="201">
        <f t="shared" si="70"/>
        <v>0</v>
      </c>
      <c r="V700" s="201">
        <f t="shared" si="70"/>
        <v>0</v>
      </c>
      <c r="W700" s="201">
        <f t="shared" si="70"/>
        <v>0</v>
      </c>
      <c r="X700" s="201">
        <f t="shared" si="70"/>
        <v>0</v>
      </c>
    </row>
    <row r="701" spans="1:24" s="169" customFormat="1" ht="13.8">
      <c r="A701" s="195"/>
      <c r="B701" s="188"/>
      <c r="C701" s="183" t="str">
        <f t="shared" si="65"/>
        <v/>
      </c>
      <c r="D701" s="182" t="str">
        <f t="shared" si="66"/>
        <v/>
      </c>
      <c r="E701" s="192" t="s">
        <v>669</v>
      </c>
      <c r="F701" s="192" t="s">
        <v>705</v>
      </c>
      <c r="G701" s="192" t="s">
        <v>992</v>
      </c>
      <c r="H701" s="210" t="s">
        <v>1440</v>
      </c>
      <c r="I701" s="167">
        <v>25168000</v>
      </c>
      <c r="J701" s="167">
        <v>25168000</v>
      </c>
      <c r="K701" s="166"/>
      <c r="L701" s="171"/>
      <c r="M701" s="168">
        <f t="shared" si="67"/>
        <v>25168000</v>
      </c>
      <c r="N701" s="171"/>
      <c r="O701" s="167">
        <v>23640000</v>
      </c>
      <c r="P701" s="167">
        <f t="shared" si="68"/>
        <v>23640000</v>
      </c>
      <c r="Q701" s="167"/>
      <c r="S701" s="201">
        <f t="shared" si="69"/>
        <v>25.167999999999999</v>
      </c>
      <c r="T701" s="201">
        <f t="shared" si="70"/>
        <v>25.167999999999999</v>
      </c>
      <c r="U701" s="201">
        <f t="shared" si="70"/>
        <v>0</v>
      </c>
      <c r="V701" s="201">
        <f t="shared" si="70"/>
        <v>23.64</v>
      </c>
      <c r="W701" s="201">
        <f t="shared" si="70"/>
        <v>23.64</v>
      </c>
      <c r="X701" s="201">
        <f t="shared" si="70"/>
        <v>0</v>
      </c>
    </row>
    <row r="702" spans="1:24" s="169" customFormat="1" ht="26.4">
      <c r="A702" s="192" t="s">
        <v>993</v>
      </c>
      <c r="B702" s="165" t="s">
        <v>994</v>
      </c>
      <c r="C702" s="183" t="str">
        <f t="shared" si="65"/>
        <v>1047955</v>
      </c>
      <c r="D702" s="182" t="str">
        <f t="shared" si="66"/>
        <v>-Bệnh viện Phục hồi chức năng</v>
      </c>
      <c r="E702" s="206"/>
      <c r="F702" s="207"/>
      <c r="G702" s="207"/>
      <c r="H702" s="205"/>
      <c r="I702" s="167">
        <v>3972095500</v>
      </c>
      <c r="J702" s="166"/>
      <c r="K702" s="167">
        <v>4291530000</v>
      </c>
      <c r="L702" s="168">
        <v>-319434500</v>
      </c>
      <c r="M702" s="168">
        <f t="shared" si="67"/>
        <v>3972095500</v>
      </c>
      <c r="N702" s="168"/>
      <c r="O702" s="167">
        <v>3856859095</v>
      </c>
      <c r="P702" s="167">
        <f t="shared" si="68"/>
        <v>3856859095</v>
      </c>
      <c r="Q702" s="167"/>
      <c r="S702" s="201">
        <f t="shared" si="69"/>
        <v>3972.0954999999999</v>
      </c>
      <c r="T702" s="201">
        <f t="shared" si="70"/>
        <v>3972.0954999999999</v>
      </c>
      <c r="U702" s="201">
        <f t="shared" si="70"/>
        <v>0</v>
      </c>
      <c r="V702" s="201">
        <f t="shared" si="70"/>
        <v>3856.8590949999998</v>
      </c>
      <c r="W702" s="201">
        <f t="shared" si="70"/>
        <v>3856.8590949999998</v>
      </c>
      <c r="X702" s="201">
        <f t="shared" si="70"/>
        <v>0</v>
      </c>
    </row>
    <row r="703" spans="1:24" s="169" customFormat="1" ht="13.8">
      <c r="A703" s="192" t="s">
        <v>995</v>
      </c>
      <c r="B703" s="170" t="s">
        <v>689</v>
      </c>
      <c r="C703" s="183" t="str">
        <f t="shared" si="65"/>
        <v/>
      </c>
      <c r="D703" s="182" t="str">
        <f t="shared" si="66"/>
        <v/>
      </c>
      <c r="E703" s="206"/>
      <c r="F703" s="207"/>
      <c r="G703" s="207"/>
      <c r="H703" s="205"/>
      <c r="I703" s="167">
        <v>3972095500</v>
      </c>
      <c r="J703" s="166"/>
      <c r="K703" s="167">
        <v>4291530000</v>
      </c>
      <c r="L703" s="168">
        <v>-319434500</v>
      </c>
      <c r="M703" s="168">
        <f t="shared" si="67"/>
        <v>3972095500</v>
      </c>
      <c r="N703" s="168"/>
      <c r="O703" s="167">
        <v>3856859095</v>
      </c>
      <c r="P703" s="167">
        <f t="shared" si="68"/>
        <v>3856859095</v>
      </c>
      <c r="Q703" s="167"/>
      <c r="S703" s="201">
        <f t="shared" si="69"/>
        <v>3972.0954999999999</v>
      </c>
      <c r="T703" s="201">
        <f t="shared" si="70"/>
        <v>3972.0954999999999</v>
      </c>
      <c r="U703" s="201">
        <f t="shared" si="70"/>
        <v>0</v>
      </c>
      <c r="V703" s="201">
        <f t="shared" si="70"/>
        <v>3856.8590949999998</v>
      </c>
      <c r="W703" s="201">
        <f t="shared" si="70"/>
        <v>3856.8590949999998</v>
      </c>
      <c r="X703" s="201">
        <f t="shared" si="70"/>
        <v>0</v>
      </c>
    </row>
    <row r="704" spans="1:24" s="169" customFormat="1" ht="13.8">
      <c r="A704" s="192"/>
      <c r="B704" s="170" t="s">
        <v>690</v>
      </c>
      <c r="C704" s="183" t="str">
        <f t="shared" si="65"/>
        <v/>
      </c>
      <c r="D704" s="182" t="str">
        <f t="shared" si="66"/>
        <v/>
      </c>
      <c r="E704" s="206"/>
      <c r="F704" s="207"/>
      <c r="G704" s="207"/>
      <c r="H704" s="205"/>
      <c r="I704" s="167">
        <v>2457095500</v>
      </c>
      <c r="J704" s="166"/>
      <c r="K704" s="167">
        <v>2643190000</v>
      </c>
      <c r="L704" s="168">
        <v>-186094500</v>
      </c>
      <c r="M704" s="168">
        <f t="shared" si="67"/>
        <v>2457095500</v>
      </c>
      <c r="N704" s="168"/>
      <c r="O704" s="167">
        <v>2457095500</v>
      </c>
      <c r="P704" s="167">
        <f t="shared" si="68"/>
        <v>2457095500</v>
      </c>
      <c r="Q704" s="167"/>
      <c r="S704" s="201">
        <f t="shared" si="69"/>
        <v>2457.0954999999999</v>
      </c>
      <c r="T704" s="201">
        <f t="shared" si="70"/>
        <v>2457.0954999999999</v>
      </c>
      <c r="U704" s="201">
        <f t="shared" si="70"/>
        <v>0</v>
      </c>
      <c r="V704" s="201">
        <f t="shared" si="70"/>
        <v>2457.0954999999999</v>
      </c>
      <c r="W704" s="201">
        <f t="shared" si="70"/>
        <v>2457.0954999999999</v>
      </c>
      <c r="X704" s="201">
        <f t="shared" si="70"/>
        <v>0</v>
      </c>
    </row>
    <row r="705" spans="1:24" s="169" customFormat="1" ht="13.8">
      <c r="A705" s="192"/>
      <c r="B705" s="164"/>
      <c r="C705" s="183" t="str">
        <f t="shared" si="65"/>
        <v/>
      </c>
      <c r="D705" s="182" t="str">
        <f t="shared" si="66"/>
        <v/>
      </c>
      <c r="E705" s="192" t="s">
        <v>666</v>
      </c>
      <c r="F705" s="192" t="s">
        <v>705</v>
      </c>
      <c r="G705" s="192" t="s">
        <v>996</v>
      </c>
      <c r="H705" s="210" t="s">
        <v>1440</v>
      </c>
      <c r="I705" s="167">
        <v>2457095500</v>
      </c>
      <c r="J705" s="166"/>
      <c r="K705" s="167">
        <v>2643190000</v>
      </c>
      <c r="L705" s="168">
        <v>-186094500</v>
      </c>
      <c r="M705" s="168">
        <f t="shared" si="67"/>
        <v>2457095500</v>
      </c>
      <c r="N705" s="168"/>
      <c r="O705" s="167">
        <v>2457095500</v>
      </c>
      <c r="P705" s="167">
        <f t="shared" si="68"/>
        <v>2457095500</v>
      </c>
      <c r="Q705" s="167"/>
      <c r="S705" s="201">
        <f t="shared" si="69"/>
        <v>2457.0954999999999</v>
      </c>
      <c r="T705" s="201">
        <f t="shared" si="70"/>
        <v>2457.0954999999999</v>
      </c>
      <c r="U705" s="201">
        <f t="shared" si="70"/>
        <v>0</v>
      </c>
      <c r="V705" s="201">
        <f t="shared" si="70"/>
        <v>2457.0954999999999</v>
      </c>
      <c r="W705" s="201">
        <f t="shared" si="70"/>
        <v>2457.0954999999999</v>
      </c>
      <c r="X705" s="201">
        <f t="shared" si="70"/>
        <v>0</v>
      </c>
    </row>
    <row r="706" spans="1:24" s="169" customFormat="1" ht="13.8">
      <c r="A706" s="192"/>
      <c r="B706" s="170" t="s">
        <v>686</v>
      </c>
      <c r="C706" s="183" t="str">
        <f t="shared" si="65"/>
        <v/>
      </c>
      <c r="D706" s="182" t="str">
        <f t="shared" si="66"/>
        <v/>
      </c>
      <c r="E706" s="206"/>
      <c r="F706" s="207"/>
      <c r="G706" s="207"/>
      <c r="H706" s="205"/>
      <c r="I706" s="167">
        <v>1515000000</v>
      </c>
      <c r="J706" s="166"/>
      <c r="K706" s="167">
        <v>1648340000</v>
      </c>
      <c r="L706" s="168">
        <v>-133340000</v>
      </c>
      <c r="M706" s="168">
        <f t="shared" si="67"/>
        <v>1515000000</v>
      </c>
      <c r="N706" s="168"/>
      <c r="O706" s="167">
        <v>1399763595</v>
      </c>
      <c r="P706" s="167">
        <f t="shared" si="68"/>
        <v>1399763595</v>
      </c>
      <c r="Q706" s="167"/>
      <c r="S706" s="201">
        <f t="shared" si="69"/>
        <v>1515</v>
      </c>
      <c r="T706" s="201">
        <f t="shared" si="70"/>
        <v>1515</v>
      </c>
      <c r="U706" s="201">
        <f t="shared" si="70"/>
        <v>0</v>
      </c>
      <c r="V706" s="201">
        <f t="shared" si="70"/>
        <v>1399.7635949999999</v>
      </c>
      <c r="W706" s="201">
        <f t="shared" si="70"/>
        <v>1399.7635949999999</v>
      </c>
      <c r="X706" s="201">
        <f t="shared" si="70"/>
        <v>0</v>
      </c>
    </row>
    <row r="707" spans="1:24" s="169" customFormat="1" ht="13.8">
      <c r="A707" s="192"/>
      <c r="B707" s="164"/>
      <c r="C707" s="183" t="str">
        <f t="shared" si="65"/>
        <v/>
      </c>
      <c r="D707" s="182" t="str">
        <f t="shared" si="66"/>
        <v/>
      </c>
      <c r="E707" s="192" t="s">
        <v>681</v>
      </c>
      <c r="F707" s="192" t="s">
        <v>705</v>
      </c>
      <c r="G707" s="192" t="s">
        <v>996</v>
      </c>
      <c r="H707" s="210" t="s">
        <v>1440</v>
      </c>
      <c r="I707" s="167">
        <v>1515000000</v>
      </c>
      <c r="J707" s="166"/>
      <c r="K707" s="167">
        <v>1648340000</v>
      </c>
      <c r="L707" s="168">
        <v>-133340000</v>
      </c>
      <c r="M707" s="168">
        <f t="shared" si="67"/>
        <v>1515000000</v>
      </c>
      <c r="N707" s="168"/>
      <c r="O707" s="167">
        <v>1399763595</v>
      </c>
      <c r="P707" s="167">
        <f t="shared" si="68"/>
        <v>1399763595</v>
      </c>
      <c r="Q707" s="167"/>
      <c r="S707" s="201">
        <f t="shared" si="69"/>
        <v>1515</v>
      </c>
      <c r="T707" s="201">
        <f t="shared" si="70"/>
        <v>1515</v>
      </c>
      <c r="U707" s="201">
        <f t="shared" si="70"/>
        <v>0</v>
      </c>
      <c r="V707" s="201">
        <f t="shared" si="70"/>
        <v>1399.7635949999999</v>
      </c>
      <c r="W707" s="201">
        <f t="shared" si="70"/>
        <v>1399.7635949999999</v>
      </c>
      <c r="X707" s="201">
        <f t="shared" si="70"/>
        <v>0</v>
      </c>
    </row>
    <row r="708" spans="1:24" s="169" customFormat="1" ht="26.4">
      <c r="A708" s="192" t="s">
        <v>997</v>
      </c>
      <c r="B708" s="165" t="s">
        <v>998</v>
      </c>
      <c r="C708" s="183" t="str">
        <f t="shared" si="65"/>
        <v>1047956</v>
      </c>
      <c r="D708" s="182" t="str">
        <f t="shared" si="66"/>
        <v>-Trung tâm Y tẽ huyện Sa thăy</v>
      </c>
      <c r="E708" s="206"/>
      <c r="F708" s="207"/>
      <c r="G708" s="207"/>
      <c r="H708" s="205"/>
      <c r="I708" s="167">
        <v>15116539957</v>
      </c>
      <c r="J708" s="167">
        <v>24465155</v>
      </c>
      <c r="K708" s="167">
        <v>13564922802</v>
      </c>
      <c r="L708" s="168">
        <v>1527152000</v>
      </c>
      <c r="M708" s="168">
        <f t="shared" si="67"/>
        <v>15116539957</v>
      </c>
      <c r="N708" s="168"/>
      <c r="O708" s="167">
        <v>14499984217</v>
      </c>
      <c r="P708" s="167">
        <f t="shared" si="68"/>
        <v>14499984217</v>
      </c>
      <c r="Q708" s="167"/>
      <c r="S708" s="201">
        <f t="shared" si="69"/>
        <v>15116.539957000001</v>
      </c>
      <c r="T708" s="201">
        <f t="shared" si="70"/>
        <v>15116.539957000001</v>
      </c>
      <c r="U708" s="201">
        <f t="shared" si="70"/>
        <v>0</v>
      </c>
      <c r="V708" s="201">
        <f t="shared" si="70"/>
        <v>14499.984216999999</v>
      </c>
      <c r="W708" s="201">
        <f t="shared" si="70"/>
        <v>14499.984216999999</v>
      </c>
      <c r="X708" s="201">
        <f t="shared" si="70"/>
        <v>0</v>
      </c>
    </row>
    <row r="709" spans="1:24" s="169" customFormat="1" ht="13.8">
      <c r="A709" s="192" t="s">
        <v>999</v>
      </c>
      <c r="B709" s="170" t="s">
        <v>689</v>
      </c>
      <c r="C709" s="183" t="str">
        <f t="shared" si="65"/>
        <v/>
      </c>
      <c r="D709" s="182" t="str">
        <f t="shared" si="66"/>
        <v/>
      </c>
      <c r="E709" s="206"/>
      <c r="F709" s="207"/>
      <c r="G709" s="207"/>
      <c r="H709" s="205"/>
      <c r="I709" s="167">
        <v>14786379957</v>
      </c>
      <c r="J709" s="167">
        <v>24465155</v>
      </c>
      <c r="K709" s="167">
        <v>13564922802</v>
      </c>
      <c r="L709" s="168">
        <v>1196992000</v>
      </c>
      <c r="M709" s="168">
        <f t="shared" si="67"/>
        <v>14786379957</v>
      </c>
      <c r="N709" s="168"/>
      <c r="O709" s="167">
        <v>14499984217</v>
      </c>
      <c r="P709" s="167">
        <f t="shared" si="68"/>
        <v>14499984217</v>
      </c>
      <c r="Q709" s="167"/>
      <c r="S709" s="201">
        <f t="shared" si="69"/>
        <v>14786.379956999999</v>
      </c>
      <c r="T709" s="201">
        <f t="shared" si="70"/>
        <v>14786.379956999999</v>
      </c>
      <c r="U709" s="201">
        <f t="shared" si="70"/>
        <v>0</v>
      </c>
      <c r="V709" s="201">
        <f t="shared" si="70"/>
        <v>14499.984216999999</v>
      </c>
      <c r="W709" s="201">
        <f t="shared" si="70"/>
        <v>14499.984216999999</v>
      </c>
      <c r="X709" s="201">
        <f t="shared" si="70"/>
        <v>0</v>
      </c>
    </row>
    <row r="710" spans="1:24" s="169" customFormat="1" ht="13.8">
      <c r="A710" s="192"/>
      <c r="B710" s="170" t="s">
        <v>690</v>
      </c>
      <c r="C710" s="183" t="str">
        <f t="shared" si="65"/>
        <v/>
      </c>
      <c r="D710" s="182" t="str">
        <f t="shared" si="66"/>
        <v/>
      </c>
      <c r="E710" s="206"/>
      <c r="F710" s="207"/>
      <c r="G710" s="207"/>
      <c r="H710" s="205"/>
      <c r="I710" s="167">
        <v>11314665155</v>
      </c>
      <c r="J710" s="167">
        <v>24465155</v>
      </c>
      <c r="K710" s="167">
        <v>11809730000</v>
      </c>
      <c r="L710" s="168">
        <v>-519530000</v>
      </c>
      <c r="M710" s="168">
        <f t="shared" si="67"/>
        <v>11314665155</v>
      </c>
      <c r="N710" s="168"/>
      <c r="O710" s="167">
        <v>11314665155</v>
      </c>
      <c r="P710" s="167">
        <f t="shared" si="68"/>
        <v>11314665155</v>
      </c>
      <c r="Q710" s="167"/>
      <c r="S710" s="201">
        <f t="shared" si="69"/>
        <v>11314.665155000001</v>
      </c>
      <c r="T710" s="201">
        <f t="shared" si="70"/>
        <v>11314.665155000001</v>
      </c>
      <c r="U710" s="201">
        <f t="shared" si="70"/>
        <v>0</v>
      </c>
      <c r="V710" s="201">
        <f t="shared" si="70"/>
        <v>11314.665155000001</v>
      </c>
      <c r="W710" s="201">
        <f t="shared" si="70"/>
        <v>11314.665155000001</v>
      </c>
      <c r="X710" s="201">
        <f t="shared" si="70"/>
        <v>0</v>
      </c>
    </row>
    <row r="711" spans="1:24" s="169" customFormat="1" ht="13.8">
      <c r="A711" s="193"/>
      <c r="B711" s="187"/>
      <c r="C711" s="183" t="str">
        <f t="shared" si="65"/>
        <v/>
      </c>
      <c r="D711" s="182" t="str">
        <f t="shared" si="66"/>
        <v/>
      </c>
      <c r="E711" s="192" t="s">
        <v>666</v>
      </c>
      <c r="F711" s="192" t="s">
        <v>705</v>
      </c>
      <c r="G711" s="192" t="s">
        <v>976</v>
      </c>
      <c r="H711" s="210" t="s">
        <v>1440</v>
      </c>
      <c r="I711" s="167">
        <v>4214914594</v>
      </c>
      <c r="J711" s="167">
        <v>15914594</v>
      </c>
      <c r="K711" s="167">
        <v>4387830000</v>
      </c>
      <c r="L711" s="168">
        <v>-188830000</v>
      </c>
      <c r="M711" s="168">
        <f t="shared" si="67"/>
        <v>4214914594</v>
      </c>
      <c r="N711" s="168"/>
      <c r="O711" s="167">
        <v>4214914594</v>
      </c>
      <c r="P711" s="167">
        <f t="shared" si="68"/>
        <v>4214914594</v>
      </c>
      <c r="Q711" s="167"/>
      <c r="S711" s="201">
        <f t="shared" si="69"/>
        <v>4214.9145939999999</v>
      </c>
      <c r="T711" s="201">
        <f t="shared" si="70"/>
        <v>4214.9145939999999</v>
      </c>
      <c r="U711" s="201">
        <f t="shared" si="70"/>
        <v>0</v>
      </c>
      <c r="V711" s="201">
        <f t="shared" si="70"/>
        <v>4214.9145939999999</v>
      </c>
      <c r="W711" s="201">
        <f t="shared" si="70"/>
        <v>4214.9145939999999</v>
      </c>
      <c r="X711" s="201">
        <f t="shared" si="70"/>
        <v>0</v>
      </c>
    </row>
    <row r="712" spans="1:24" s="169" customFormat="1" ht="13.8">
      <c r="A712" s="194"/>
      <c r="B712" s="184"/>
      <c r="C712" s="183" t="str">
        <f t="shared" si="65"/>
        <v/>
      </c>
      <c r="D712" s="182" t="str">
        <f t="shared" si="66"/>
        <v/>
      </c>
      <c r="E712" s="192" t="s">
        <v>679</v>
      </c>
      <c r="F712" s="192" t="s">
        <v>705</v>
      </c>
      <c r="G712" s="192" t="s">
        <v>976</v>
      </c>
      <c r="H712" s="210" t="s">
        <v>1440</v>
      </c>
      <c r="I712" s="167">
        <v>2794904</v>
      </c>
      <c r="J712" s="167">
        <v>2794904</v>
      </c>
      <c r="K712" s="166"/>
      <c r="L712" s="171"/>
      <c r="M712" s="168">
        <f t="shared" si="67"/>
        <v>2794904</v>
      </c>
      <c r="N712" s="171"/>
      <c r="O712" s="167">
        <v>2794904</v>
      </c>
      <c r="P712" s="167">
        <f t="shared" si="68"/>
        <v>2794904</v>
      </c>
      <c r="Q712" s="167"/>
      <c r="S712" s="201">
        <f t="shared" si="69"/>
        <v>2.7949039999999998</v>
      </c>
      <c r="T712" s="201">
        <f t="shared" si="70"/>
        <v>2.7949039999999998</v>
      </c>
      <c r="U712" s="201">
        <f t="shared" si="70"/>
        <v>0</v>
      </c>
      <c r="V712" s="201">
        <f t="shared" si="70"/>
        <v>2.7949039999999998</v>
      </c>
      <c r="W712" s="201">
        <f t="shared" si="70"/>
        <v>2.7949039999999998</v>
      </c>
      <c r="X712" s="201">
        <f t="shared" si="70"/>
        <v>0</v>
      </c>
    </row>
    <row r="713" spans="1:24" s="169" customFormat="1" ht="13.8">
      <c r="A713" s="194"/>
      <c r="B713" s="184"/>
      <c r="C713" s="183" t="str">
        <f t="shared" si="65"/>
        <v/>
      </c>
      <c r="D713" s="182" t="str">
        <f t="shared" si="66"/>
        <v/>
      </c>
      <c r="E713" s="192" t="s">
        <v>666</v>
      </c>
      <c r="F713" s="192" t="s">
        <v>705</v>
      </c>
      <c r="G713" s="192" t="s">
        <v>775</v>
      </c>
      <c r="H713" s="210" t="s">
        <v>1440</v>
      </c>
      <c r="I713" s="167">
        <v>7076207277</v>
      </c>
      <c r="J713" s="167">
        <v>3007277</v>
      </c>
      <c r="K713" s="167">
        <v>7421900000</v>
      </c>
      <c r="L713" s="168">
        <v>-348700000</v>
      </c>
      <c r="M713" s="168">
        <f t="shared" si="67"/>
        <v>7076207277</v>
      </c>
      <c r="N713" s="168"/>
      <c r="O713" s="167">
        <v>7076207277</v>
      </c>
      <c r="P713" s="167">
        <f t="shared" si="68"/>
        <v>7076207277</v>
      </c>
      <c r="Q713" s="167"/>
      <c r="S713" s="201">
        <f t="shared" si="69"/>
        <v>7076.2072770000004</v>
      </c>
      <c r="T713" s="201">
        <f t="shared" si="70"/>
        <v>7076.2072770000004</v>
      </c>
      <c r="U713" s="201">
        <f t="shared" si="70"/>
        <v>0</v>
      </c>
      <c r="V713" s="201">
        <f t="shared" si="70"/>
        <v>7076.2072770000004</v>
      </c>
      <c r="W713" s="201">
        <f t="shared" si="70"/>
        <v>7076.2072770000004</v>
      </c>
      <c r="X713" s="201">
        <f t="shared" si="70"/>
        <v>0</v>
      </c>
    </row>
    <row r="714" spans="1:24" s="169" customFormat="1" ht="13.8">
      <c r="A714" s="195"/>
      <c r="B714" s="188"/>
      <c r="C714" s="183" t="str">
        <f t="shared" si="65"/>
        <v/>
      </c>
      <c r="D714" s="182" t="str">
        <f t="shared" si="66"/>
        <v/>
      </c>
      <c r="E714" s="192" t="s">
        <v>679</v>
      </c>
      <c r="F714" s="192" t="s">
        <v>705</v>
      </c>
      <c r="G714" s="192" t="s">
        <v>775</v>
      </c>
      <c r="H714" s="210" t="s">
        <v>1440</v>
      </c>
      <c r="I714" s="167">
        <v>20748380</v>
      </c>
      <c r="J714" s="167">
        <v>2748380</v>
      </c>
      <c r="K714" s="166"/>
      <c r="L714" s="168">
        <v>18000000</v>
      </c>
      <c r="M714" s="168">
        <f t="shared" si="67"/>
        <v>20748380</v>
      </c>
      <c r="N714" s="168"/>
      <c r="O714" s="167">
        <v>20748380</v>
      </c>
      <c r="P714" s="167">
        <f t="shared" si="68"/>
        <v>20748380</v>
      </c>
      <c r="Q714" s="167"/>
      <c r="S714" s="201">
        <f t="shared" si="69"/>
        <v>20.748380000000001</v>
      </c>
      <c r="T714" s="201">
        <f t="shared" si="70"/>
        <v>20.748380000000001</v>
      </c>
      <c r="U714" s="201">
        <f t="shared" si="70"/>
        <v>0</v>
      </c>
      <c r="V714" s="201">
        <f t="shared" si="70"/>
        <v>20.748380000000001</v>
      </c>
      <c r="W714" s="201">
        <f t="shared" si="70"/>
        <v>20.748380000000001</v>
      </c>
      <c r="X714" s="201">
        <f t="shared" si="70"/>
        <v>0</v>
      </c>
    </row>
    <row r="715" spans="1:24" s="169" customFormat="1" ht="13.8">
      <c r="A715" s="192"/>
      <c r="B715" s="170" t="s">
        <v>686</v>
      </c>
      <c r="C715" s="183" t="str">
        <f t="shared" si="65"/>
        <v/>
      </c>
      <c r="D715" s="182" t="str">
        <f t="shared" si="66"/>
        <v/>
      </c>
      <c r="E715" s="206"/>
      <c r="F715" s="207"/>
      <c r="G715" s="207"/>
      <c r="H715" s="205"/>
      <c r="I715" s="167">
        <v>3471714802</v>
      </c>
      <c r="J715" s="166"/>
      <c r="K715" s="167">
        <v>1755192802</v>
      </c>
      <c r="L715" s="168">
        <v>1716522000</v>
      </c>
      <c r="M715" s="168">
        <f t="shared" si="67"/>
        <v>3471714802</v>
      </c>
      <c r="N715" s="168"/>
      <c r="O715" s="167">
        <v>3185319062</v>
      </c>
      <c r="P715" s="167">
        <f t="shared" si="68"/>
        <v>3185319062</v>
      </c>
      <c r="Q715" s="167"/>
      <c r="S715" s="201">
        <f t="shared" si="69"/>
        <v>3471.714802</v>
      </c>
      <c r="T715" s="201">
        <f t="shared" si="70"/>
        <v>3471.714802</v>
      </c>
      <c r="U715" s="201">
        <f t="shared" si="70"/>
        <v>0</v>
      </c>
      <c r="V715" s="201">
        <f t="shared" si="70"/>
        <v>3185.319062</v>
      </c>
      <c r="W715" s="201">
        <f t="shared" si="70"/>
        <v>3185.319062</v>
      </c>
      <c r="X715" s="201">
        <f t="shared" si="70"/>
        <v>0</v>
      </c>
    </row>
    <row r="716" spans="1:24" s="169" customFormat="1" ht="13.8">
      <c r="A716" s="192"/>
      <c r="B716" s="173"/>
      <c r="C716" s="183" t="str">
        <f t="shared" si="65"/>
        <v/>
      </c>
      <c r="D716" s="182" t="str">
        <f t="shared" si="66"/>
        <v/>
      </c>
      <c r="E716" s="192"/>
      <c r="F716" s="192"/>
      <c r="G716" s="192"/>
      <c r="H716" s="210"/>
      <c r="I716" s="174"/>
      <c r="J716" s="174"/>
      <c r="K716" s="174"/>
      <c r="L716" s="175"/>
      <c r="M716" s="168">
        <f t="shared" si="67"/>
        <v>0</v>
      </c>
      <c r="N716" s="175"/>
      <c r="O716" s="174"/>
      <c r="P716" s="167">
        <f t="shared" si="68"/>
        <v>0</v>
      </c>
      <c r="Q716" s="174"/>
      <c r="S716" s="201">
        <f t="shared" si="69"/>
        <v>0</v>
      </c>
      <c r="T716" s="201">
        <f t="shared" si="70"/>
        <v>0</v>
      </c>
      <c r="U716" s="201">
        <f t="shared" si="70"/>
        <v>0</v>
      </c>
      <c r="V716" s="201">
        <f t="shared" si="70"/>
        <v>0</v>
      </c>
      <c r="W716" s="201">
        <f t="shared" si="70"/>
        <v>0</v>
      </c>
      <c r="X716" s="201">
        <f t="shared" si="70"/>
        <v>0</v>
      </c>
    </row>
    <row r="717" spans="1:24" s="169" customFormat="1" ht="13.8">
      <c r="A717" s="193"/>
      <c r="B717" s="187"/>
      <c r="C717" s="183" t="str">
        <f t="shared" si="65"/>
        <v/>
      </c>
      <c r="D717" s="182" t="str">
        <f t="shared" si="66"/>
        <v/>
      </c>
      <c r="E717" s="192" t="s">
        <v>681</v>
      </c>
      <c r="F717" s="192" t="s">
        <v>705</v>
      </c>
      <c r="G717" s="192" t="s">
        <v>976</v>
      </c>
      <c r="H717" s="210" t="s">
        <v>1440</v>
      </c>
      <c r="I717" s="167">
        <v>253522000</v>
      </c>
      <c r="J717" s="166"/>
      <c r="K717" s="166"/>
      <c r="L717" s="168">
        <v>253522000</v>
      </c>
      <c r="M717" s="168">
        <f t="shared" si="67"/>
        <v>253522000</v>
      </c>
      <c r="N717" s="168"/>
      <c r="O717" s="167">
        <v>253522000</v>
      </c>
      <c r="P717" s="167">
        <f t="shared" si="68"/>
        <v>253522000</v>
      </c>
      <c r="Q717" s="167"/>
      <c r="S717" s="201">
        <f t="shared" si="69"/>
        <v>253.52199999999999</v>
      </c>
      <c r="T717" s="201">
        <f t="shared" si="70"/>
        <v>253.52199999999999</v>
      </c>
      <c r="U717" s="201">
        <f t="shared" si="70"/>
        <v>0</v>
      </c>
      <c r="V717" s="201">
        <f t="shared" si="70"/>
        <v>253.52199999999999</v>
      </c>
      <c r="W717" s="201">
        <f t="shared" si="70"/>
        <v>253.52199999999999</v>
      </c>
      <c r="X717" s="201">
        <f t="shared" si="70"/>
        <v>0</v>
      </c>
    </row>
    <row r="718" spans="1:24" s="169" customFormat="1" ht="13.8">
      <c r="A718" s="194"/>
      <c r="B718" s="184"/>
      <c r="C718" s="183" t="str">
        <f t="shared" si="65"/>
        <v/>
      </c>
      <c r="D718" s="182" t="str">
        <f t="shared" si="66"/>
        <v/>
      </c>
      <c r="E718" s="192" t="s">
        <v>681</v>
      </c>
      <c r="F718" s="192" t="s">
        <v>705</v>
      </c>
      <c r="G718" s="192" t="s">
        <v>775</v>
      </c>
      <c r="H718" s="210" t="s">
        <v>1440</v>
      </c>
      <c r="I718" s="167">
        <v>2914192802</v>
      </c>
      <c r="J718" s="166"/>
      <c r="K718" s="167">
        <v>1755192802</v>
      </c>
      <c r="L718" s="168">
        <v>1159000000</v>
      </c>
      <c r="M718" s="168">
        <f t="shared" si="67"/>
        <v>2914192802</v>
      </c>
      <c r="N718" s="168"/>
      <c r="O718" s="167">
        <v>2865192139</v>
      </c>
      <c r="P718" s="167">
        <f t="shared" si="68"/>
        <v>2865192139</v>
      </c>
      <c r="Q718" s="167"/>
      <c r="S718" s="201">
        <f t="shared" si="69"/>
        <v>2914.192802</v>
      </c>
      <c r="T718" s="201">
        <f t="shared" si="70"/>
        <v>2914.192802</v>
      </c>
      <c r="U718" s="201">
        <f t="shared" si="70"/>
        <v>0</v>
      </c>
      <c r="V718" s="201">
        <f t="shared" si="70"/>
        <v>2865.1921390000002</v>
      </c>
      <c r="W718" s="201">
        <f t="shared" si="70"/>
        <v>2865.1921390000002</v>
      </c>
      <c r="X718" s="201">
        <f t="shared" si="70"/>
        <v>0</v>
      </c>
    </row>
    <row r="719" spans="1:24" s="169" customFormat="1" ht="13.8">
      <c r="A719" s="195"/>
      <c r="B719" s="188"/>
      <c r="C719" s="183" t="str">
        <f t="shared" si="65"/>
        <v/>
      </c>
      <c r="D719" s="182" t="str">
        <f t="shared" si="66"/>
        <v/>
      </c>
      <c r="E719" s="192" t="s">
        <v>667</v>
      </c>
      <c r="F719" s="192" t="s">
        <v>705</v>
      </c>
      <c r="G719" s="192" t="s">
        <v>775</v>
      </c>
      <c r="H719" s="210" t="s">
        <v>1440</v>
      </c>
      <c r="I719" s="167">
        <v>304000000</v>
      </c>
      <c r="J719" s="166"/>
      <c r="K719" s="166"/>
      <c r="L719" s="168">
        <v>304000000</v>
      </c>
      <c r="M719" s="168">
        <f t="shared" si="67"/>
        <v>304000000</v>
      </c>
      <c r="N719" s="168"/>
      <c r="O719" s="167">
        <v>66604923</v>
      </c>
      <c r="P719" s="167">
        <f t="shared" si="68"/>
        <v>66604923</v>
      </c>
      <c r="Q719" s="167"/>
      <c r="S719" s="201">
        <f t="shared" si="69"/>
        <v>304</v>
      </c>
      <c r="T719" s="201">
        <f t="shared" si="70"/>
        <v>304</v>
      </c>
      <c r="U719" s="201">
        <f t="shared" si="70"/>
        <v>0</v>
      </c>
      <c r="V719" s="201">
        <f t="shared" si="70"/>
        <v>66.604922999999999</v>
      </c>
      <c r="W719" s="201">
        <f t="shared" si="70"/>
        <v>66.604922999999999</v>
      </c>
      <c r="X719" s="201">
        <f t="shared" si="70"/>
        <v>0</v>
      </c>
    </row>
    <row r="720" spans="1:24" s="169" customFormat="1" ht="13.8">
      <c r="A720" s="192" t="s">
        <v>1000</v>
      </c>
      <c r="B720" s="170" t="s">
        <v>731</v>
      </c>
      <c r="C720" s="183" t="str">
        <f t="shared" si="65"/>
        <v/>
      </c>
      <c r="D720" s="182" t="str">
        <f t="shared" si="66"/>
        <v/>
      </c>
      <c r="E720" s="206"/>
      <c r="F720" s="207"/>
      <c r="G720" s="207"/>
      <c r="H720" s="205"/>
      <c r="I720" s="167">
        <v>330160000</v>
      </c>
      <c r="J720" s="166"/>
      <c r="K720" s="166"/>
      <c r="L720" s="168">
        <v>330160000</v>
      </c>
      <c r="M720" s="168">
        <f t="shared" si="67"/>
        <v>330160000</v>
      </c>
      <c r="N720" s="168"/>
      <c r="O720" s="166"/>
      <c r="P720" s="167">
        <f t="shared" si="68"/>
        <v>0</v>
      </c>
      <c r="Q720" s="166"/>
      <c r="S720" s="201">
        <f t="shared" si="69"/>
        <v>330.16</v>
      </c>
      <c r="T720" s="201">
        <f t="shared" si="70"/>
        <v>330.16</v>
      </c>
      <c r="U720" s="201">
        <f t="shared" si="70"/>
        <v>0</v>
      </c>
      <c r="V720" s="201">
        <f t="shared" si="70"/>
        <v>0</v>
      </c>
      <c r="W720" s="201">
        <f t="shared" si="70"/>
        <v>0</v>
      </c>
      <c r="X720" s="201">
        <f t="shared" si="70"/>
        <v>0</v>
      </c>
    </row>
    <row r="721" spans="1:24" s="169" customFormat="1" ht="13.8">
      <c r="A721" s="193"/>
      <c r="B721" s="187"/>
      <c r="C721" s="183" t="str">
        <f t="shared" si="65"/>
        <v/>
      </c>
      <c r="D721" s="182" t="str">
        <f t="shared" si="66"/>
        <v/>
      </c>
      <c r="E721" s="192" t="s">
        <v>667</v>
      </c>
      <c r="F721" s="192" t="s">
        <v>705</v>
      </c>
      <c r="G721" s="192" t="s">
        <v>775</v>
      </c>
      <c r="H721" s="210" t="s">
        <v>1455</v>
      </c>
      <c r="I721" s="167">
        <v>297660000</v>
      </c>
      <c r="J721" s="166"/>
      <c r="K721" s="166"/>
      <c r="L721" s="168">
        <v>297660000</v>
      </c>
      <c r="M721" s="168">
        <f t="shared" si="67"/>
        <v>297660000</v>
      </c>
      <c r="N721" s="168"/>
      <c r="O721" s="166"/>
      <c r="P721" s="167">
        <f t="shared" si="68"/>
        <v>0</v>
      </c>
      <c r="Q721" s="166"/>
      <c r="S721" s="201">
        <f t="shared" si="69"/>
        <v>297.66000000000003</v>
      </c>
      <c r="T721" s="201">
        <f t="shared" si="70"/>
        <v>297.66000000000003</v>
      </c>
      <c r="U721" s="201">
        <f t="shared" si="70"/>
        <v>0</v>
      </c>
      <c r="V721" s="201">
        <f t="shared" si="70"/>
        <v>0</v>
      </c>
      <c r="W721" s="201">
        <f t="shared" si="70"/>
        <v>0</v>
      </c>
      <c r="X721" s="201">
        <f t="shared" si="70"/>
        <v>0</v>
      </c>
    </row>
    <row r="722" spans="1:24" s="169" customFormat="1" ht="13.8">
      <c r="A722" s="195"/>
      <c r="B722" s="188"/>
      <c r="C722" s="183" t="str">
        <f t="shared" si="65"/>
        <v/>
      </c>
      <c r="D722" s="182" t="str">
        <f t="shared" si="66"/>
        <v/>
      </c>
      <c r="E722" s="192" t="s">
        <v>667</v>
      </c>
      <c r="F722" s="192" t="s">
        <v>705</v>
      </c>
      <c r="G722" s="192" t="s">
        <v>981</v>
      </c>
      <c r="H722" s="210" t="s">
        <v>1455</v>
      </c>
      <c r="I722" s="167">
        <v>32500000</v>
      </c>
      <c r="J722" s="166"/>
      <c r="K722" s="166"/>
      <c r="L722" s="168">
        <v>32500000</v>
      </c>
      <c r="M722" s="168">
        <f t="shared" si="67"/>
        <v>32500000</v>
      </c>
      <c r="N722" s="168"/>
      <c r="O722" s="166"/>
      <c r="P722" s="167">
        <f t="shared" si="68"/>
        <v>0</v>
      </c>
      <c r="Q722" s="166"/>
      <c r="S722" s="201">
        <f t="shared" si="69"/>
        <v>32.5</v>
      </c>
      <c r="T722" s="201">
        <f t="shared" si="70"/>
        <v>32.5</v>
      </c>
      <c r="U722" s="201">
        <f t="shared" si="70"/>
        <v>0</v>
      </c>
      <c r="V722" s="201">
        <f t="shared" si="70"/>
        <v>0</v>
      </c>
      <c r="W722" s="201">
        <f t="shared" si="70"/>
        <v>0</v>
      </c>
      <c r="X722" s="201">
        <f t="shared" si="70"/>
        <v>0</v>
      </c>
    </row>
    <row r="723" spans="1:24" s="169" customFormat="1" ht="13.8">
      <c r="A723" s="192" t="s">
        <v>1001</v>
      </c>
      <c r="B723" s="170" t="s">
        <v>1002</v>
      </c>
      <c r="C723" s="183" t="str">
        <f t="shared" si="65"/>
        <v>1047957</v>
      </c>
      <c r="D723" s="182" t="str">
        <f t="shared" si="66"/>
        <v>-SỜ Y tẽ tinh Kontum</v>
      </c>
      <c r="E723" s="206"/>
      <c r="F723" s="207"/>
      <c r="G723" s="207"/>
      <c r="H723" s="205"/>
      <c r="I723" s="167">
        <v>9291181810</v>
      </c>
      <c r="J723" s="167">
        <v>2323013465</v>
      </c>
      <c r="K723" s="167">
        <v>5325000000</v>
      </c>
      <c r="L723" s="168">
        <v>1643168345</v>
      </c>
      <c r="M723" s="168">
        <f t="shared" si="67"/>
        <v>9291181810</v>
      </c>
      <c r="N723" s="168"/>
      <c r="O723" s="167">
        <v>8103818936</v>
      </c>
      <c r="P723" s="167">
        <f t="shared" si="68"/>
        <v>8103818936</v>
      </c>
      <c r="Q723" s="167"/>
      <c r="S723" s="201">
        <f t="shared" si="69"/>
        <v>9291.18181</v>
      </c>
      <c r="T723" s="201">
        <f t="shared" si="70"/>
        <v>9291.18181</v>
      </c>
      <c r="U723" s="201">
        <f t="shared" si="70"/>
        <v>0</v>
      </c>
      <c r="V723" s="201">
        <f t="shared" si="70"/>
        <v>8103.8189359999997</v>
      </c>
      <c r="W723" s="201">
        <f t="shared" si="70"/>
        <v>8103.8189359999997</v>
      </c>
      <c r="X723" s="201">
        <f t="shared" si="70"/>
        <v>0</v>
      </c>
    </row>
    <row r="724" spans="1:24" s="169" customFormat="1" ht="13.8">
      <c r="A724" s="192" t="s">
        <v>1003</v>
      </c>
      <c r="B724" s="170" t="s">
        <v>675</v>
      </c>
      <c r="C724" s="183" t="str">
        <f t="shared" si="65"/>
        <v/>
      </c>
      <c r="D724" s="182" t="str">
        <f t="shared" si="66"/>
        <v/>
      </c>
      <c r="E724" s="206"/>
      <c r="F724" s="207"/>
      <c r="G724" s="207"/>
      <c r="H724" s="205"/>
      <c r="I724" s="167">
        <v>9291181810</v>
      </c>
      <c r="J724" s="167">
        <v>2323013465</v>
      </c>
      <c r="K724" s="167">
        <v>5325000000</v>
      </c>
      <c r="L724" s="168">
        <v>1643168345</v>
      </c>
      <c r="M724" s="168">
        <f t="shared" si="67"/>
        <v>9291181810</v>
      </c>
      <c r="N724" s="168"/>
      <c r="O724" s="167">
        <v>8103818936</v>
      </c>
      <c r="P724" s="167">
        <f t="shared" si="68"/>
        <v>8103818936</v>
      </c>
      <c r="Q724" s="167"/>
      <c r="S724" s="201">
        <f t="shared" si="69"/>
        <v>9291.18181</v>
      </c>
      <c r="T724" s="201">
        <f t="shared" si="70"/>
        <v>9291.18181</v>
      </c>
      <c r="U724" s="201">
        <f t="shared" si="70"/>
        <v>0</v>
      </c>
      <c r="V724" s="201">
        <f t="shared" si="70"/>
        <v>8103.8189359999997</v>
      </c>
      <c r="W724" s="201">
        <f t="shared" si="70"/>
        <v>8103.8189359999997</v>
      </c>
      <c r="X724" s="201">
        <f t="shared" si="70"/>
        <v>0</v>
      </c>
    </row>
    <row r="725" spans="1:24" s="169" customFormat="1" ht="13.8">
      <c r="A725" s="192"/>
      <c r="B725" s="170" t="s">
        <v>676</v>
      </c>
      <c r="C725" s="183" t="str">
        <f t="shared" si="65"/>
        <v/>
      </c>
      <c r="D725" s="182" t="str">
        <f t="shared" si="66"/>
        <v/>
      </c>
      <c r="E725" s="206"/>
      <c r="F725" s="207"/>
      <c r="G725" s="207"/>
      <c r="H725" s="205"/>
      <c r="I725" s="167">
        <v>3953000000</v>
      </c>
      <c r="J725" s="166"/>
      <c r="K725" s="167">
        <v>3953000000</v>
      </c>
      <c r="L725" s="171"/>
      <c r="M725" s="168">
        <f t="shared" si="67"/>
        <v>3953000000</v>
      </c>
      <c r="N725" s="171"/>
      <c r="O725" s="167">
        <v>3953000000</v>
      </c>
      <c r="P725" s="167">
        <f t="shared" si="68"/>
        <v>3953000000</v>
      </c>
      <c r="Q725" s="167"/>
      <c r="S725" s="201">
        <f t="shared" si="69"/>
        <v>3953</v>
      </c>
      <c r="T725" s="201">
        <f t="shared" si="70"/>
        <v>3953</v>
      </c>
      <c r="U725" s="201">
        <f t="shared" si="70"/>
        <v>0</v>
      </c>
      <c r="V725" s="201">
        <f t="shared" si="70"/>
        <v>3953</v>
      </c>
      <c r="W725" s="201">
        <f t="shared" si="70"/>
        <v>3953</v>
      </c>
      <c r="X725" s="201">
        <f t="shared" si="70"/>
        <v>0</v>
      </c>
    </row>
    <row r="726" spans="1:24" s="169" customFormat="1" ht="13.8">
      <c r="A726" s="192"/>
      <c r="B726" s="164"/>
      <c r="C726" s="183" t="str">
        <f t="shared" ref="C726:C789" si="71">IF(B726&lt;&gt;"",IF(AND(LEFT(B726,1)&gt;="0",LEFT(B726,1)&lt;="9"),LEFT(B726,7),""),"")</f>
        <v/>
      </c>
      <c r="D726" s="182" t="str">
        <f t="shared" si="66"/>
        <v/>
      </c>
      <c r="E726" s="192" t="s">
        <v>666</v>
      </c>
      <c r="F726" s="192" t="s">
        <v>705</v>
      </c>
      <c r="G726" s="192" t="s">
        <v>766</v>
      </c>
      <c r="H726" s="210" t="s">
        <v>1440</v>
      </c>
      <c r="I726" s="167">
        <v>3953000000</v>
      </c>
      <c r="J726" s="166"/>
      <c r="K726" s="167">
        <v>3953000000</v>
      </c>
      <c r="L726" s="171"/>
      <c r="M726" s="168">
        <f t="shared" si="67"/>
        <v>3953000000</v>
      </c>
      <c r="N726" s="171"/>
      <c r="O726" s="167">
        <v>3953000000</v>
      </c>
      <c r="P726" s="167">
        <f t="shared" si="68"/>
        <v>3953000000</v>
      </c>
      <c r="Q726" s="167"/>
      <c r="S726" s="201">
        <f t="shared" si="69"/>
        <v>3953</v>
      </c>
      <c r="T726" s="201">
        <f t="shared" si="70"/>
        <v>3953</v>
      </c>
      <c r="U726" s="201">
        <f t="shared" si="70"/>
        <v>0</v>
      </c>
      <c r="V726" s="201">
        <f t="shared" si="70"/>
        <v>3953</v>
      </c>
      <c r="W726" s="201">
        <f t="shared" si="70"/>
        <v>3953</v>
      </c>
      <c r="X726" s="201">
        <f t="shared" si="70"/>
        <v>0</v>
      </c>
    </row>
    <row r="727" spans="1:24" s="169" customFormat="1" ht="13.8">
      <c r="A727" s="192"/>
      <c r="B727" s="170" t="s">
        <v>680</v>
      </c>
      <c r="C727" s="183" t="str">
        <f t="shared" si="71"/>
        <v/>
      </c>
      <c r="D727" s="182" t="str">
        <f t="shared" ref="D727:D790" si="72">IF(C727&lt;&gt;"",RIGHT(B727,LEN(B727)-7),"")</f>
        <v/>
      </c>
      <c r="E727" s="206"/>
      <c r="F727" s="207"/>
      <c r="G727" s="207"/>
      <c r="H727" s="205"/>
      <c r="I727" s="167">
        <v>5338181810</v>
      </c>
      <c r="J727" s="167">
        <v>2323013465</v>
      </c>
      <c r="K727" s="167">
        <v>1372000000</v>
      </c>
      <c r="L727" s="168">
        <v>1643168345</v>
      </c>
      <c r="M727" s="168">
        <f t="shared" ref="M727:M790" si="73">I727-N727</f>
        <v>5338181810</v>
      </c>
      <c r="N727" s="168"/>
      <c r="O727" s="167">
        <v>4150818936</v>
      </c>
      <c r="P727" s="167">
        <f t="shared" ref="P727:P790" si="74">O727-Q727</f>
        <v>4150818936</v>
      </c>
      <c r="Q727" s="167"/>
      <c r="S727" s="201">
        <f t="shared" ref="S727:S790" si="75">I727/1000000</f>
        <v>5338.18181</v>
      </c>
      <c r="T727" s="201">
        <f t="shared" si="70"/>
        <v>5338.18181</v>
      </c>
      <c r="U727" s="201">
        <f t="shared" si="70"/>
        <v>0</v>
      </c>
      <c r="V727" s="201">
        <f t="shared" si="70"/>
        <v>4150.8189359999997</v>
      </c>
      <c r="W727" s="201">
        <f t="shared" si="70"/>
        <v>4150.8189359999997</v>
      </c>
      <c r="X727" s="201">
        <f t="shared" si="70"/>
        <v>0</v>
      </c>
    </row>
    <row r="728" spans="1:24" s="169" customFormat="1" ht="13.8">
      <c r="A728" s="193"/>
      <c r="B728" s="187"/>
      <c r="C728" s="183" t="str">
        <f t="shared" si="71"/>
        <v/>
      </c>
      <c r="D728" s="182" t="str">
        <f t="shared" si="72"/>
        <v/>
      </c>
      <c r="E728" s="192" t="s">
        <v>681</v>
      </c>
      <c r="F728" s="192" t="s">
        <v>705</v>
      </c>
      <c r="G728" s="192" t="s">
        <v>766</v>
      </c>
      <c r="H728" s="210" t="s">
        <v>1440</v>
      </c>
      <c r="I728" s="167">
        <v>383235892</v>
      </c>
      <c r="J728" s="166"/>
      <c r="K728" s="167">
        <v>94000000</v>
      </c>
      <c r="L728" s="168">
        <v>289235892</v>
      </c>
      <c r="M728" s="168">
        <f t="shared" si="73"/>
        <v>383235892</v>
      </c>
      <c r="N728" s="168"/>
      <c r="O728" s="167">
        <v>382467083</v>
      </c>
      <c r="P728" s="167">
        <f t="shared" si="74"/>
        <v>382467083</v>
      </c>
      <c r="Q728" s="167"/>
      <c r="S728" s="201">
        <f t="shared" si="75"/>
        <v>383.23589199999998</v>
      </c>
      <c r="T728" s="201">
        <f t="shared" si="70"/>
        <v>383.23589199999998</v>
      </c>
      <c r="U728" s="201">
        <f t="shared" si="70"/>
        <v>0</v>
      </c>
      <c r="V728" s="201">
        <f t="shared" si="70"/>
        <v>382.467083</v>
      </c>
      <c r="W728" s="201">
        <f t="shared" si="70"/>
        <v>382.467083</v>
      </c>
      <c r="X728" s="201">
        <f t="shared" si="70"/>
        <v>0</v>
      </c>
    </row>
    <row r="729" spans="1:24" s="169" customFormat="1" ht="13.8">
      <c r="A729" s="194"/>
      <c r="B729" s="184"/>
      <c r="C729" s="183" t="str">
        <f t="shared" si="71"/>
        <v/>
      </c>
      <c r="D729" s="182" t="str">
        <f t="shared" si="72"/>
        <v/>
      </c>
      <c r="E729" s="192" t="s">
        <v>681</v>
      </c>
      <c r="F729" s="192" t="s">
        <v>705</v>
      </c>
      <c r="G729" s="192" t="s">
        <v>992</v>
      </c>
      <c r="H729" s="210" t="s">
        <v>1440</v>
      </c>
      <c r="I729" s="167">
        <v>1679013465</v>
      </c>
      <c r="J729" s="167">
        <v>1679013465</v>
      </c>
      <c r="K729" s="166"/>
      <c r="L729" s="171"/>
      <c r="M729" s="168">
        <f t="shared" si="73"/>
        <v>1679013465</v>
      </c>
      <c r="N729" s="171"/>
      <c r="O729" s="167">
        <v>528236000</v>
      </c>
      <c r="P729" s="167">
        <f t="shared" si="74"/>
        <v>528236000</v>
      </c>
      <c r="Q729" s="167"/>
      <c r="S729" s="201">
        <f t="shared" si="75"/>
        <v>1679.013465</v>
      </c>
      <c r="T729" s="201">
        <f t="shared" si="70"/>
        <v>1679.013465</v>
      </c>
      <c r="U729" s="201">
        <f t="shared" si="70"/>
        <v>0</v>
      </c>
      <c r="V729" s="201">
        <f t="shared" si="70"/>
        <v>528.23599999999999</v>
      </c>
      <c r="W729" s="201">
        <f t="shared" si="70"/>
        <v>528.23599999999999</v>
      </c>
      <c r="X729" s="201">
        <f t="shared" si="70"/>
        <v>0</v>
      </c>
    </row>
    <row r="730" spans="1:24" s="169" customFormat="1" ht="13.8">
      <c r="A730" s="194"/>
      <c r="B730" s="184"/>
      <c r="C730" s="183" t="str">
        <f t="shared" si="71"/>
        <v/>
      </c>
      <c r="D730" s="182" t="str">
        <f t="shared" si="72"/>
        <v/>
      </c>
      <c r="E730" s="192" t="s">
        <v>681</v>
      </c>
      <c r="F730" s="192" t="s">
        <v>705</v>
      </c>
      <c r="G730" s="192" t="s">
        <v>775</v>
      </c>
      <c r="H730" s="210" t="s">
        <v>1440</v>
      </c>
      <c r="I730" s="166"/>
      <c r="J730" s="166"/>
      <c r="K730" s="167">
        <v>358000000</v>
      </c>
      <c r="L730" s="168">
        <v>-358000000</v>
      </c>
      <c r="M730" s="168">
        <f t="shared" si="73"/>
        <v>0</v>
      </c>
      <c r="N730" s="168"/>
      <c r="O730" s="166"/>
      <c r="P730" s="167">
        <f t="shared" si="74"/>
        <v>0</v>
      </c>
      <c r="Q730" s="166"/>
      <c r="S730" s="201">
        <f t="shared" si="75"/>
        <v>0</v>
      </c>
      <c r="T730" s="201">
        <f t="shared" si="70"/>
        <v>0</v>
      </c>
      <c r="U730" s="201">
        <f t="shared" si="70"/>
        <v>0</v>
      </c>
      <c r="V730" s="201">
        <f t="shared" si="70"/>
        <v>0</v>
      </c>
      <c r="W730" s="201">
        <f t="shared" si="70"/>
        <v>0</v>
      </c>
      <c r="X730" s="201">
        <f t="shared" si="70"/>
        <v>0</v>
      </c>
    </row>
    <row r="731" spans="1:24" s="169" customFormat="1" ht="13.8">
      <c r="A731" s="195"/>
      <c r="B731" s="188"/>
      <c r="C731" s="183" t="str">
        <f t="shared" si="71"/>
        <v/>
      </c>
      <c r="D731" s="182" t="str">
        <f t="shared" si="72"/>
        <v/>
      </c>
      <c r="E731" s="192" t="s">
        <v>681</v>
      </c>
      <c r="F731" s="192" t="s">
        <v>705</v>
      </c>
      <c r="G731" s="192" t="s">
        <v>706</v>
      </c>
      <c r="H731" s="210" t="s">
        <v>1440</v>
      </c>
      <c r="I731" s="167">
        <v>3275932453</v>
      </c>
      <c r="J731" s="167">
        <v>644000000</v>
      </c>
      <c r="K731" s="167">
        <v>920000000</v>
      </c>
      <c r="L731" s="168">
        <v>1711932453</v>
      </c>
      <c r="M731" s="168">
        <f t="shared" si="73"/>
        <v>3275932453</v>
      </c>
      <c r="N731" s="168"/>
      <c r="O731" s="167">
        <v>3240115853</v>
      </c>
      <c r="P731" s="167">
        <f t="shared" si="74"/>
        <v>3240115853</v>
      </c>
      <c r="Q731" s="167"/>
      <c r="S731" s="201">
        <f t="shared" si="75"/>
        <v>3275.9324529999999</v>
      </c>
      <c r="T731" s="201">
        <f t="shared" si="70"/>
        <v>3275.9324529999999</v>
      </c>
      <c r="U731" s="201">
        <f t="shared" si="70"/>
        <v>0</v>
      </c>
      <c r="V731" s="201">
        <f t="shared" si="70"/>
        <v>3240.1158529999998</v>
      </c>
      <c r="W731" s="201">
        <f t="shared" si="70"/>
        <v>3240.1158529999998</v>
      </c>
      <c r="X731" s="201">
        <f t="shared" si="70"/>
        <v>0</v>
      </c>
    </row>
    <row r="732" spans="1:24" s="169" customFormat="1" ht="27.6">
      <c r="A732" s="192" t="s">
        <v>1004</v>
      </c>
      <c r="B732" s="176" t="s">
        <v>1005</v>
      </c>
      <c r="C732" s="183" t="str">
        <f t="shared" si="71"/>
        <v>1047958</v>
      </c>
      <c r="D732" s="182" t="str">
        <f t="shared" si="72"/>
        <v>-Trung tâm Kiểm nghiệm rhuổc, Mỹ phầm, Thực phẩm</v>
      </c>
      <c r="E732" s="206"/>
      <c r="F732" s="207"/>
      <c r="G732" s="207"/>
      <c r="H732" s="205"/>
      <c r="I732" s="167">
        <v>2770911000</v>
      </c>
      <c r="J732" s="166"/>
      <c r="K732" s="167">
        <v>2704120000</v>
      </c>
      <c r="L732" s="168">
        <v>66791000</v>
      </c>
      <c r="M732" s="168">
        <f t="shared" si="73"/>
        <v>2770911000</v>
      </c>
      <c r="N732" s="168"/>
      <c r="O732" s="167">
        <v>2758075732</v>
      </c>
      <c r="P732" s="167">
        <f t="shared" si="74"/>
        <v>2758075732</v>
      </c>
      <c r="Q732" s="167"/>
      <c r="S732" s="201">
        <f t="shared" si="75"/>
        <v>2770.9110000000001</v>
      </c>
      <c r="T732" s="201">
        <f t="shared" si="70"/>
        <v>2770.9110000000001</v>
      </c>
      <c r="U732" s="201">
        <f t="shared" si="70"/>
        <v>0</v>
      </c>
      <c r="V732" s="201">
        <f t="shared" si="70"/>
        <v>2758.0757319999998</v>
      </c>
      <c r="W732" s="201">
        <f t="shared" si="70"/>
        <v>2758.0757319999998</v>
      </c>
      <c r="X732" s="201">
        <f t="shared" si="70"/>
        <v>0</v>
      </c>
    </row>
    <row r="733" spans="1:24" s="169" customFormat="1" ht="13.8">
      <c r="A733" s="192" t="s">
        <v>1006</v>
      </c>
      <c r="B733" s="164" t="s">
        <v>675</v>
      </c>
      <c r="C733" s="183" t="str">
        <f t="shared" si="71"/>
        <v/>
      </c>
      <c r="D733" s="182" t="str">
        <f t="shared" si="72"/>
        <v/>
      </c>
      <c r="E733" s="206"/>
      <c r="F733" s="207"/>
      <c r="G733" s="207"/>
      <c r="H733" s="205"/>
      <c r="I733" s="167">
        <v>2770911000</v>
      </c>
      <c r="J733" s="166"/>
      <c r="K733" s="167">
        <v>2704120000</v>
      </c>
      <c r="L733" s="168">
        <v>66791000</v>
      </c>
      <c r="M733" s="168">
        <f t="shared" si="73"/>
        <v>2770911000</v>
      </c>
      <c r="N733" s="168"/>
      <c r="O733" s="167">
        <v>2758075732</v>
      </c>
      <c r="P733" s="167">
        <f t="shared" si="74"/>
        <v>2758075732</v>
      </c>
      <c r="Q733" s="167"/>
      <c r="S733" s="201">
        <f t="shared" si="75"/>
        <v>2770.9110000000001</v>
      </c>
      <c r="T733" s="201">
        <f t="shared" si="70"/>
        <v>2770.9110000000001</v>
      </c>
      <c r="U733" s="201">
        <f t="shared" si="70"/>
        <v>0</v>
      </c>
      <c r="V733" s="201">
        <f t="shared" si="70"/>
        <v>2758.0757319999998</v>
      </c>
      <c r="W733" s="201">
        <f t="shared" si="70"/>
        <v>2758.0757319999998</v>
      </c>
      <c r="X733" s="201">
        <f t="shared" si="70"/>
        <v>0</v>
      </c>
    </row>
    <row r="734" spans="1:24" s="169" customFormat="1" ht="13.8">
      <c r="A734" s="192"/>
      <c r="B734" s="164" t="s">
        <v>676</v>
      </c>
      <c r="C734" s="183" t="str">
        <f t="shared" si="71"/>
        <v/>
      </c>
      <c r="D734" s="182" t="str">
        <f t="shared" si="72"/>
        <v/>
      </c>
      <c r="E734" s="206"/>
      <c r="F734" s="207"/>
      <c r="G734" s="207"/>
      <c r="H734" s="205"/>
      <c r="I734" s="167">
        <v>1977000000</v>
      </c>
      <c r="J734" s="166"/>
      <c r="K734" s="167">
        <v>1998120000</v>
      </c>
      <c r="L734" s="168">
        <v>-21120000</v>
      </c>
      <c r="M734" s="168">
        <f t="shared" si="73"/>
        <v>1977000000</v>
      </c>
      <c r="N734" s="168"/>
      <c r="O734" s="167">
        <v>1977000000</v>
      </c>
      <c r="P734" s="167">
        <f t="shared" si="74"/>
        <v>1977000000</v>
      </c>
      <c r="Q734" s="167"/>
      <c r="S734" s="201">
        <f t="shared" si="75"/>
        <v>1977</v>
      </c>
      <c r="T734" s="201">
        <f t="shared" si="70"/>
        <v>1977</v>
      </c>
      <c r="U734" s="201">
        <f t="shared" si="70"/>
        <v>0</v>
      </c>
      <c r="V734" s="201">
        <f t="shared" si="70"/>
        <v>1977</v>
      </c>
      <c r="W734" s="201">
        <f t="shared" si="70"/>
        <v>1977</v>
      </c>
      <c r="X734" s="201">
        <f t="shared" si="70"/>
        <v>0</v>
      </c>
    </row>
    <row r="735" spans="1:24" s="169" customFormat="1" ht="13.8">
      <c r="A735" s="193"/>
      <c r="B735" s="187"/>
      <c r="C735" s="183" t="str">
        <f t="shared" si="71"/>
        <v/>
      </c>
      <c r="D735" s="182" t="str">
        <f t="shared" si="72"/>
        <v/>
      </c>
      <c r="E735" s="192" t="s">
        <v>666</v>
      </c>
      <c r="F735" s="192" t="s">
        <v>705</v>
      </c>
      <c r="G735" s="192" t="s">
        <v>775</v>
      </c>
      <c r="H735" s="210" t="s">
        <v>1440</v>
      </c>
      <c r="I735" s="167">
        <v>1942000000</v>
      </c>
      <c r="J735" s="166"/>
      <c r="K735" s="167">
        <v>1998120000</v>
      </c>
      <c r="L735" s="168">
        <v>-56120000</v>
      </c>
      <c r="M735" s="168">
        <f t="shared" si="73"/>
        <v>1942000000</v>
      </c>
      <c r="N735" s="168"/>
      <c r="O735" s="167">
        <v>1942000000</v>
      </c>
      <c r="P735" s="167">
        <f t="shared" si="74"/>
        <v>1942000000</v>
      </c>
      <c r="Q735" s="167"/>
      <c r="S735" s="201">
        <f t="shared" si="75"/>
        <v>1942</v>
      </c>
      <c r="T735" s="201">
        <f t="shared" si="70"/>
        <v>1942</v>
      </c>
      <c r="U735" s="201">
        <f t="shared" si="70"/>
        <v>0</v>
      </c>
      <c r="V735" s="201">
        <f t="shared" si="70"/>
        <v>1942</v>
      </c>
      <c r="W735" s="201">
        <f t="shared" si="70"/>
        <v>1942</v>
      </c>
      <c r="X735" s="201">
        <f t="shared" si="70"/>
        <v>0</v>
      </c>
    </row>
    <row r="736" spans="1:24" s="169" customFormat="1" ht="13.8">
      <c r="A736" s="195"/>
      <c r="B736" s="188"/>
      <c r="C736" s="183" t="str">
        <f t="shared" si="71"/>
        <v/>
      </c>
      <c r="D736" s="182" t="str">
        <f t="shared" si="72"/>
        <v/>
      </c>
      <c r="E736" s="192" t="s">
        <v>679</v>
      </c>
      <c r="F736" s="192" t="s">
        <v>705</v>
      </c>
      <c r="G736" s="192" t="s">
        <v>775</v>
      </c>
      <c r="H736" s="210" t="s">
        <v>1440</v>
      </c>
      <c r="I736" s="167">
        <v>35000000</v>
      </c>
      <c r="J736" s="166"/>
      <c r="K736" s="166"/>
      <c r="L736" s="168">
        <v>35000000</v>
      </c>
      <c r="M736" s="168">
        <f t="shared" si="73"/>
        <v>35000000</v>
      </c>
      <c r="N736" s="168"/>
      <c r="O736" s="167">
        <v>35000000</v>
      </c>
      <c r="P736" s="167">
        <f t="shared" si="74"/>
        <v>35000000</v>
      </c>
      <c r="Q736" s="167"/>
      <c r="S736" s="201">
        <f t="shared" si="75"/>
        <v>35</v>
      </c>
      <c r="T736" s="201">
        <f t="shared" si="70"/>
        <v>35</v>
      </c>
      <c r="U736" s="201">
        <f t="shared" si="70"/>
        <v>0</v>
      </c>
      <c r="V736" s="201">
        <f t="shared" si="70"/>
        <v>35</v>
      </c>
      <c r="W736" s="201">
        <f t="shared" si="70"/>
        <v>35</v>
      </c>
      <c r="X736" s="201">
        <f t="shared" si="70"/>
        <v>0</v>
      </c>
    </row>
    <row r="737" spans="1:24" s="169" customFormat="1" ht="13.8">
      <c r="A737" s="192"/>
      <c r="B737" s="164" t="s">
        <v>680</v>
      </c>
      <c r="C737" s="183" t="str">
        <f t="shared" si="71"/>
        <v/>
      </c>
      <c r="D737" s="182" t="str">
        <f t="shared" si="72"/>
        <v/>
      </c>
      <c r="E737" s="206"/>
      <c r="F737" s="207"/>
      <c r="G737" s="207"/>
      <c r="H737" s="205"/>
      <c r="I737" s="167">
        <v>793911000</v>
      </c>
      <c r="J737" s="166"/>
      <c r="K737" s="167">
        <v>706000000</v>
      </c>
      <c r="L737" s="168">
        <v>87911000</v>
      </c>
      <c r="M737" s="168">
        <f t="shared" si="73"/>
        <v>793911000</v>
      </c>
      <c r="N737" s="168"/>
      <c r="O737" s="167">
        <v>781075732</v>
      </c>
      <c r="P737" s="167">
        <f t="shared" si="74"/>
        <v>781075732</v>
      </c>
      <c r="Q737" s="167"/>
      <c r="S737" s="201">
        <f t="shared" si="75"/>
        <v>793.91099999999994</v>
      </c>
      <c r="T737" s="201">
        <f t="shared" si="70"/>
        <v>793.91099999999994</v>
      </c>
      <c r="U737" s="201">
        <f t="shared" si="70"/>
        <v>0</v>
      </c>
      <c r="V737" s="201">
        <f t="shared" si="70"/>
        <v>781.07573200000002</v>
      </c>
      <c r="W737" s="201">
        <f t="shared" si="70"/>
        <v>781.07573200000002</v>
      </c>
      <c r="X737" s="201">
        <f t="shared" si="70"/>
        <v>0</v>
      </c>
    </row>
    <row r="738" spans="1:24" s="169" customFormat="1" ht="13.8">
      <c r="A738" s="192"/>
      <c r="B738" s="164"/>
      <c r="C738" s="183" t="str">
        <f t="shared" si="71"/>
        <v/>
      </c>
      <c r="D738" s="182" t="str">
        <f t="shared" si="72"/>
        <v/>
      </c>
      <c r="E738" s="192" t="s">
        <v>681</v>
      </c>
      <c r="F738" s="192" t="s">
        <v>705</v>
      </c>
      <c r="G738" s="192" t="s">
        <v>775</v>
      </c>
      <c r="H738" s="210" t="s">
        <v>1440</v>
      </c>
      <c r="I738" s="167">
        <v>793911000</v>
      </c>
      <c r="J738" s="166"/>
      <c r="K738" s="167">
        <v>706000000</v>
      </c>
      <c r="L738" s="168">
        <v>87911000</v>
      </c>
      <c r="M738" s="168">
        <f t="shared" si="73"/>
        <v>793911000</v>
      </c>
      <c r="N738" s="168"/>
      <c r="O738" s="167">
        <v>781075732</v>
      </c>
      <c r="P738" s="167">
        <f t="shared" si="74"/>
        <v>781075732</v>
      </c>
      <c r="Q738" s="167"/>
      <c r="S738" s="201">
        <f t="shared" si="75"/>
        <v>793.91099999999994</v>
      </c>
      <c r="T738" s="201">
        <f t="shared" si="70"/>
        <v>793.91099999999994</v>
      </c>
      <c r="U738" s="201">
        <f t="shared" si="70"/>
        <v>0</v>
      </c>
      <c r="V738" s="201">
        <f t="shared" si="70"/>
        <v>781.07573200000002</v>
      </c>
      <c r="W738" s="201">
        <f t="shared" si="70"/>
        <v>781.07573200000002</v>
      </c>
      <c r="X738" s="201">
        <f t="shared" si="70"/>
        <v>0</v>
      </c>
    </row>
    <row r="739" spans="1:24" s="169" customFormat="1" ht="26.4">
      <c r="A739" s="192" t="s">
        <v>1007</v>
      </c>
      <c r="B739" s="176" t="s">
        <v>1008</v>
      </c>
      <c r="C739" s="183" t="str">
        <f t="shared" si="71"/>
        <v>1048054</v>
      </c>
      <c r="D739" s="182" t="str">
        <f t="shared" si="72"/>
        <v>-Trung tâm Y tẽ huyện Đak tô :ỉnh Kontum</v>
      </c>
      <c r="E739" s="206"/>
      <c r="F739" s="207"/>
      <c r="G739" s="207"/>
      <c r="H739" s="205"/>
      <c r="I739" s="167">
        <v>12326488666</v>
      </c>
      <c r="J739" s="166"/>
      <c r="K739" s="167">
        <v>10854750666</v>
      </c>
      <c r="L739" s="168">
        <v>1471738000</v>
      </c>
      <c r="M739" s="168">
        <f t="shared" si="73"/>
        <v>12326488666</v>
      </c>
      <c r="N739" s="168"/>
      <c r="O739" s="167">
        <v>12140758666</v>
      </c>
      <c r="P739" s="167">
        <f t="shared" si="74"/>
        <v>12140758666</v>
      </c>
      <c r="Q739" s="167"/>
      <c r="S739" s="201">
        <f t="shared" si="75"/>
        <v>12326.488665999999</v>
      </c>
      <c r="T739" s="201">
        <f t="shared" si="70"/>
        <v>12326.488665999999</v>
      </c>
      <c r="U739" s="201">
        <f t="shared" si="70"/>
        <v>0</v>
      </c>
      <c r="V739" s="201">
        <f t="shared" si="70"/>
        <v>12140.758666</v>
      </c>
      <c r="W739" s="201">
        <f t="shared" si="70"/>
        <v>12140.758666</v>
      </c>
      <c r="X739" s="201">
        <f t="shared" si="70"/>
        <v>0</v>
      </c>
    </row>
    <row r="740" spans="1:24" s="169" customFormat="1" ht="13.8">
      <c r="A740" s="192" t="s">
        <v>1009</v>
      </c>
      <c r="B740" s="164" t="s">
        <v>675</v>
      </c>
      <c r="C740" s="183" t="str">
        <f t="shared" si="71"/>
        <v/>
      </c>
      <c r="D740" s="182" t="str">
        <f t="shared" si="72"/>
        <v/>
      </c>
      <c r="E740" s="206"/>
      <c r="F740" s="207"/>
      <c r="G740" s="207"/>
      <c r="H740" s="205"/>
      <c r="I740" s="167">
        <v>11997438666</v>
      </c>
      <c r="J740" s="166"/>
      <c r="K740" s="167">
        <v>10854750666</v>
      </c>
      <c r="L740" s="168">
        <v>1142688000</v>
      </c>
      <c r="M740" s="168">
        <f t="shared" si="73"/>
        <v>11997438666</v>
      </c>
      <c r="N740" s="168"/>
      <c r="O740" s="167">
        <v>11997438666</v>
      </c>
      <c r="P740" s="167">
        <f t="shared" si="74"/>
        <v>11997438666</v>
      </c>
      <c r="Q740" s="167"/>
      <c r="S740" s="201">
        <f t="shared" si="75"/>
        <v>11997.438666</v>
      </c>
      <c r="T740" s="201">
        <f t="shared" si="70"/>
        <v>11997.438666</v>
      </c>
      <c r="U740" s="201">
        <f t="shared" si="70"/>
        <v>0</v>
      </c>
      <c r="V740" s="201">
        <f t="shared" si="70"/>
        <v>11997.438666</v>
      </c>
      <c r="W740" s="201">
        <f t="shared" si="70"/>
        <v>11997.438666</v>
      </c>
      <c r="X740" s="201">
        <f t="shared" si="70"/>
        <v>0</v>
      </c>
    </row>
    <row r="741" spans="1:24" s="169" customFormat="1" ht="13.8">
      <c r="A741" s="192"/>
      <c r="B741" s="164" t="s">
        <v>676</v>
      </c>
      <c r="C741" s="183" t="str">
        <f t="shared" si="71"/>
        <v/>
      </c>
      <c r="D741" s="182" t="str">
        <f t="shared" si="72"/>
        <v/>
      </c>
      <c r="E741" s="206"/>
      <c r="F741" s="207"/>
      <c r="G741" s="207"/>
      <c r="H741" s="205"/>
      <c r="I741" s="167">
        <v>8871170000</v>
      </c>
      <c r="J741" s="166"/>
      <c r="K741" s="167">
        <v>9215350000</v>
      </c>
      <c r="L741" s="168">
        <v>-344180000</v>
      </c>
      <c r="M741" s="168">
        <f t="shared" si="73"/>
        <v>8871170000</v>
      </c>
      <c r="N741" s="168"/>
      <c r="O741" s="167">
        <v>8871170000</v>
      </c>
      <c r="P741" s="167">
        <f t="shared" si="74"/>
        <v>8871170000</v>
      </c>
      <c r="Q741" s="167"/>
      <c r="S741" s="201">
        <f t="shared" si="75"/>
        <v>8871.17</v>
      </c>
      <c r="T741" s="201">
        <f t="shared" si="70"/>
        <v>8871.17</v>
      </c>
      <c r="U741" s="201">
        <f t="shared" si="70"/>
        <v>0</v>
      </c>
      <c r="V741" s="201">
        <f t="shared" si="70"/>
        <v>8871.17</v>
      </c>
      <c r="W741" s="201">
        <f t="shared" si="70"/>
        <v>8871.17</v>
      </c>
      <c r="X741" s="201">
        <f t="shared" si="70"/>
        <v>0</v>
      </c>
    </row>
    <row r="742" spans="1:24" s="169" customFormat="1" ht="13.8">
      <c r="A742" s="193"/>
      <c r="B742" s="187"/>
      <c r="C742" s="183" t="str">
        <f t="shared" si="71"/>
        <v/>
      </c>
      <c r="D742" s="182" t="str">
        <f t="shared" si="72"/>
        <v/>
      </c>
      <c r="E742" s="192" t="s">
        <v>666</v>
      </c>
      <c r="F742" s="192" t="s">
        <v>705</v>
      </c>
      <c r="G742" s="192" t="s">
        <v>976</v>
      </c>
      <c r="H742" s="210" t="s">
        <v>1440</v>
      </c>
      <c r="I742" s="167">
        <v>2396220000</v>
      </c>
      <c r="J742" s="166"/>
      <c r="K742" s="167">
        <v>2492350000</v>
      </c>
      <c r="L742" s="168">
        <v>-96130000</v>
      </c>
      <c r="M742" s="168">
        <f t="shared" si="73"/>
        <v>2396220000</v>
      </c>
      <c r="N742" s="168"/>
      <c r="O742" s="167">
        <v>2396220000</v>
      </c>
      <c r="P742" s="167">
        <f t="shared" si="74"/>
        <v>2396220000</v>
      </c>
      <c r="Q742" s="167"/>
      <c r="S742" s="201">
        <f t="shared" si="75"/>
        <v>2396.2199999999998</v>
      </c>
      <c r="T742" s="201">
        <f t="shared" si="70"/>
        <v>2396.2199999999998</v>
      </c>
      <c r="U742" s="201">
        <f t="shared" si="70"/>
        <v>0</v>
      </c>
      <c r="V742" s="201">
        <f t="shared" si="70"/>
        <v>2396.2199999999998</v>
      </c>
      <c r="W742" s="201">
        <f t="shared" si="70"/>
        <v>2396.2199999999998</v>
      </c>
      <c r="X742" s="201">
        <f t="shared" si="70"/>
        <v>0</v>
      </c>
    </row>
    <row r="743" spans="1:24" s="169" customFormat="1" ht="13.8">
      <c r="A743" s="194"/>
      <c r="B743" s="184"/>
      <c r="C743" s="183" t="str">
        <f t="shared" si="71"/>
        <v/>
      </c>
      <c r="D743" s="182" t="str">
        <f t="shared" si="72"/>
        <v/>
      </c>
      <c r="E743" s="192" t="s">
        <v>666</v>
      </c>
      <c r="F743" s="192" t="s">
        <v>705</v>
      </c>
      <c r="G743" s="192" t="s">
        <v>775</v>
      </c>
      <c r="H743" s="210" t="s">
        <v>1440</v>
      </c>
      <c r="I743" s="167">
        <v>6459950000</v>
      </c>
      <c r="J743" s="166"/>
      <c r="K743" s="167">
        <v>6723000000</v>
      </c>
      <c r="L743" s="168">
        <v>-263050000</v>
      </c>
      <c r="M743" s="168">
        <f t="shared" si="73"/>
        <v>6459950000</v>
      </c>
      <c r="N743" s="168"/>
      <c r="O743" s="167">
        <v>6459950000</v>
      </c>
      <c r="P743" s="167">
        <f t="shared" si="74"/>
        <v>6459950000</v>
      </c>
      <c r="Q743" s="167"/>
      <c r="S743" s="201">
        <f t="shared" si="75"/>
        <v>6459.95</v>
      </c>
      <c r="T743" s="201">
        <f t="shared" ref="T743:X793" si="76">M743/1000000</f>
        <v>6459.95</v>
      </c>
      <c r="U743" s="201">
        <f t="shared" si="76"/>
        <v>0</v>
      </c>
      <c r="V743" s="201">
        <f t="shared" si="76"/>
        <v>6459.95</v>
      </c>
      <c r="W743" s="201">
        <f t="shared" si="76"/>
        <v>6459.95</v>
      </c>
      <c r="X743" s="201">
        <f t="shared" si="76"/>
        <v>0</v>
      </c>
    </row>
    <row r="744" spans="1:24" s="169" customFormat="1" ht="13.8">
      <c r="A744" s="195"/>
      <c r="B744" s="188"/>
      <c r="C744" s="183" t="str">
        <f t="shared" si="71"/>
        <v/>
      </c>
      <c r="D744" s="182" t="str">
        <f t="shared" si="72"/>
        <v/>
      </c>
      <c r="E744" s="192" t="s">
        <v>679</v>
      </c>
      <c r="F744" s="192" t="s">
        <v>705</v>
      </c>
      <c r="G744" s="192" t="s">
        <v>775</v>
      </c>
      <c r="H744" s="210" t="s">
        <v>1440</v>
      </c>
      <c r="I744" s="167">
        <v>15000000</v>
      </c>
      <c r="J744" s="166"/>
      <c r="K744" s="166"/>
      <c r="L744" s="168">
        <v>15000000</v>
      </c>
      <c r="M744" s="168">
        <f t="shared" si="73"/>
        <v>15000000</v>
      </c>
      <c r="N744" s="168"/>
      <c r="O744" s="167">
        <v>15000000</v>
      </c>
      <c r="P744" s="167">
        <f t="shared" si="74"/>
        <v>15000000</v>
      </c>
      <c r="Q744" s="167"/>
      <c r="S744" s="201">
        <f t="shared" si="75"/>
        <v>15</v>
      </c>
      <c r="T744" s="201">
        <f t="shared" si="76"/>
        <v>15</v>
      </c>
      <c r="U744" s="201">
        <f t="shared" si="76"/>
        <v>0</v>
      </c>
      <c r="V744" s="201">
        <f t="shared" si="76"/>
        <v>15</v>
      </c>
      <c r="W744" s="201">
        <f t="shared" si="76"/>
        <v>15</v>
      </c>
      <c r="X744" s="201">
        <f t="shared" si="76"/>
        <v>0</v>
      </c>
    </row>
    <row r="745" spans="1:24" s="169" customFormat="1" ht="13.8">
      <c r="A745" s="192"/>
      <c r="B745" s="164" t="s">
        <v>680</v>
      </c>
      <c r="C745" s="183" t="str">
        <f t="shared" si="71"/>
        <v/>
      </c>
      <c r="D745" s="182" t="str">
        <f t="shared" si="72"/>
        <v/>
      </c>
      <c r="E745" s="206"/>
      <c r="F745" s="207"/>
      <c r="G745" s="207"/>
      <c r="H745" s="205"/>
      <c r="I745" s="167">
        <v>3126268666</v>
      </c>
      <c r="J745" s="166"/>
      <c r="K745" s="167">
        <v>1639400666</v>
      </c>
      <c r="L745" s="168">
        <v>1486868000</v>
      </c>
      <c r="M745" s="168">
        <f t="shared" si="73"/>
        <v>3126268666</v>
      </c>
      <c r="N745" s="168"/>
      <c r="O745" s="167">
        <v>3126268666</v>
      </c>
      <c r="P745" s="167">
        <f t="shared" si="74"/>
        <v>3126268666</v>
      </c>
      <c r="Q745" s="167"/>
      <c r="S745" s="201">
        <f t="shared" si="75"/>
        <v>3126.2686659999999</v>
      </c>
      <c r="T745" s="201">
        <f t="shared" si="76"/>
        <v>3126.2686659999999</v>
      </c>
      <c r="U745" s="201">
        <f t="shared" si="76"/>
        <v>0</v>
      </c>
      <c r="V745" s="201">
        <f t="shared" si="76"/>
        <v>3126.2686659999999</v>
      </c>
      <c r="W745" s="201">
        <f t="shared" si="76"/>
        <v>3126.2686659999999</v>
      </c>
      <c r="X745" s="201">
        <f t="shared" si="76"/>
        <v>0</v>
      </c>
    </row>
    <row r="746" spans="1:24" s="169" customFormat="1" ht="13.8">
      <c r="A746" s="192"/>
      <c r="B746" s="164"/>
      <c r="C746" s="183" t="str">
        <f t="shared" si="71"/>
        <v/>
      </c>
      <c r="D746" s="182" t="str">
        <f t="shared" si="72"/>
        <v/>
      </c>
      <c r="E746" s="192" t="s">
        <v>681</v>
      </c>
      <c r="F746" s="192" t="s">
        <v>705</v>
      </c>
      <c r="G746" s="192" t="s">
        <v>976</v>
      </c>
      <c r="H746" s="210" t="s">
        <v>1440</v>
      </c>
      <c r="I746" s="167">
        <v>587498000</v>
      </c>
      <c r="J746" s="166"/>
      <c r="K746" s="167">
        <v>96130000</v>
      </c>
      <c r="L746" s="168">
        <v>491368000</v>
      </c>
      <c r="M746" s="168">
        <f t="shared" si="73"/>
        <v>587498000</v>
      </c>
      <c r="N746" s="168"/>
      <c r="O746" s="167">
        <v>587498000</v>
      </c>
      <c r="P746" s="167">
        <f t="shared" si="74"/>
        <v>587498000</v>
      </c>
      <c r="Q746" s="167"/>
      <c r="S746" s="201">
        <f t="shared" si="75"/>
        <v>587.49800000000005</v>
      </c>
      <c r="T746" s="201">
        <f t="shared" si="76"/>
        <v>587.49800000000005</v>
      </c>
      <c r="U746" s="201">
        <f t="shared" si="76"/>
        <v>0</v>
      </c>
      <c r="V746" s="201">
        <f t="shared" si="76"/>
        <v>587.49800000000005</v>
      </c>
      <c r="W746" s="201">
        <f t="shared" si="76"/>
        <v>587.49800000000005</v>
      </c>
      <c r="X746" s="201">
        <f t="shared" si="76"/>
        <v>0</v>
      </c>
    </row>
    <row r="747" spans="1:24" s="169" customFormat="1" ht="13.8">
      <c r="A747" s="192"/>
      <c r="B747" s="173"/>
      <c r="C747" s="183" t="str">
        <f t="shared" si="71"/>
        <v/>
      </c>
      <c r="D747" s="182" t="str">
        <f t="shared" si="72"/>
        <v/>
      </c>
      <c r="E747" s="192"/>
      <c r="F747" s="192"/>
      <c r="G747" s="192"/>
      <c r="H747" s="210"/>
      <c r="I747" s="174"/>
      <c r="J747" s="174"/>
      <c r="K747" s="174"/>
      <c r="L747" s="175"/>
      <c r="M747" s="168">
        <f t="shared" si="73"/>
        <v>0</v>
      </c>
      <c r="N747" s="175"/>
      <c r="O747" s="174"/>
      <c r="P747" s="167">
        <f t="shared" si="74"/>
        <v>0</v>
      </c>
      <c r="Q747" s="174"/>
      <c r="S747" s="201">
        <f t="shared" si="75"/>
        <v>0</v>
      </c>
      <c r="T747" s="201">
        <f t="shared" si="76"/>
        <v>0</v>
      </c>
      <c r="U747" s="201">
        <f t="shared" si="76"/>
        <v>0</v>
      </c>
      <c r="V747" s="201">
        <f t="shared" si="76"/>
        <v>0</v>
      </c>
      <c r="W747" s="201">
        <f t="shared" si="76"/>
        <v>0</v>
      </c>
      <c r="X747" s="201">
        <f t="shared" si="76"/>
        <v>0</v>
      </c>
    </row>
    <row r="748" spans="1:24" s="169" customFormat="1" ht="13.8">
      <c r="A748" s="192"/>
      <c r="B748" s="164"/>
      <c r="C748" s="183" t="str">
        <f t="shared" si="71"/>
        <v/>
      </c>
      <c r="D748" s="182" t="str">
        <f t="shared" si="72"/>
        <v/>
      </c>
      <c r="E748" s="192" t="s">
        <v>681</v>
      </c>
      <c r="F748" s="192" t="s">
        <v>705</v>
      </c>
      <c r="G748" s="192" t="s">
        <v>775</v>
      </c>
      <c r="H748" s="210" t="s">
        <v>1440</v>
      </c>
      <c r="I748" s="167">
        <v>2538770666</v>
      </c>
      <c r="J748" s="166"/>
      <c r="K748" s="167">
        <v>1543270666</v>
      </c>
      <c r="L748" s="168">
        <v>995500000</v>
      </c>
      <c r="M748" s="168">
        <f t="shared" si="73"/>
        <v>2538770666</v>
      </c>
      <c r="N748" s="168"/>
      <c r="O748" s="167">
        <v>2538770666</v>
      </c>
      <c r="P748" s="167">
        <f t="shared" si="74"/>
        <v>2538770666</v>
      </c>
      <c r="Q748" s="167"/>
      <c r="S748" s="201">
        <f t="shared" si="75"/>
        <v>2538.7706659999999</v>
      </c>
      <c r="T748" s="201">
        <f t="shared" si="76"/>
        <v>2538.7706659999999</v>
      </c>
      <c r="U748" s="201">
        <f t="shared" si="76"/>
        <v>0</v>
      </c>
      <c r="V748" s="201">
        <f t="shared" si="76"/>
        <v>2538.7706659999999</v>
      </c>
      <c r="W748" s="201">
        <f t="shared" si="76"/>
        <v>2538.7706659999999</v>
      </c>
      <c r="X748" s="201">
        <f t="shared" si="76"/>
        <v>0</v>
      </c>
    </row>
    <row r="749" spans="1:24" s="169" customFormat="1" ht="13.8">
      <c r="A749" s="192" t="s">
        <v>1010</v>
      </c>
      <c r="B749" s="164" t="s">
        <v>701</v>
      </c>
      <c r="C749" s="183" t="str">
        <f t="shared" si="71"/>
        <v/>
      </c>
      <c r="D749" s="182" t="str">
        <f t="shared" si="72"/>
        <v/>
      </c>
      <c r="E749" s="206"/>
      <c r="F749" s="207"/>
      <c r="G749" s="207"/>
      <c r="H749" s="205"/>
      <c r="I749" s="167">
        <v>329050000</v>
      </c>
      <c r="J749" s="166"/>
      <c r="K749" s="166"/>
      <c r="L749" s="168">
        <v>329050000</v>
      </c>
      <c r="M749" s="168">
        <f t="shared" si="73"/>
        <v>329050000</v>
      </c>
      <c r="N749" s="168"/>
      <c r="O749" s="167">
        <v>143320000</v>
      </c>
      <c r="P749" s="167">
        <f t="shared" si="74"/>
        <v>143320000</v>
      </c>
      <c r="Q749" s="167"/>
      <c r="S749" s="201">
        <f t="shared" si="75"/>
        <v>329.05</v>
      </c>
      <c r="T749" s="201">
        <f t="shared" si="76"/>
        <v>329.05</v>
      </c>
      <c r="U749" s="201">
        <f t="shared" si="76"/>
        <v>0</v>
      </c>
      <c r="V749" s="201">
        <f t="shared" si="76"/>
        <v>143.32</v>
      </c>
      <c r="W749" s="201">
        <f t="shared" si="76"/>
        <v>143.32</v>
      </c>
      <c r="X749" s="201">
        <f t="shared" si="76"/>
        <v>0</v>
      </c>
    </row>
    <row r="750" spans="1:24" s="169" customFormat="1" ht="13.8">
      <c r="A750" s="193"/>
      <c r="B750" s="187"/>
      <c r="C750" s="183" t="str">
        <f t="shared" si="71"/>
        <v/>
      </c>
      <c r="D750" s="182" t="str">
        <f t="shared" si="72"/>
        <v/>
      </c>
      <c r="E750" s="192" t="s">
        <v>667</v>
      </c>
      <c r="F750" s="192" t="s">
        <v>705</v>
      </c>
      <c r="G750" s="192" t="s">
        <v>775</v>
      </c>
      <c r="H750" s="210" t="s">
        <v>1455</v>
      </c>
      <c r="I750" s="167">
        <v>300750000</v>
      </c>
      <c r="J750" s="166"/>
      <c r="K750" s="166"/>
      <c r="L750" s="168">
        <v>300750000</v>
      </c>
      <c r="M750" s="168">
        <f t="shared" si="73"/>
        <v>300750000</v>
      </c>
      <c r="N750" s="168"/>
      <c r="O750" s="167">
        <v>117020000</v>
      </c>
      <c r="P750" s="167">
        <f t="shared" si="74"/>
        <v>117020000</v>
      </c>
      <c r="Q750" s="167"/>
      <c r="S750" s="201">
        <f t="shared" si="75"/>
        <v>300.75</v>
      </c>
      <c r="T750" s="201">
        <f t="shared" si="76"/>
        <v>300.75</v>
      </c>
      <c r="U750" s="201">
        <f t="shared" si="76"/>
        <v>0</v>
      </c>
      <c r="V750" s="201">
        <f t="shared" si="76"/>
        <v>117.02</v>
      </c>
      <c r="W750" s="201">
        <f t="shared" si="76"/>
        <v>117.02</v>
      </c>
      <c r="X750" s="201">
        <f t="shared" si="76"/>
        <v>0</v>
      </c>
    </row>
    <row r="751" spans="1:24" s="169" customFormat="1" ht="13.8">
      <c r="A751" s="195"/>
      <c r="B751" s="188"/>
      <c r="C751" s="183" t="str">
        <f t="shared" si="71"/>
        <v/>
      </c>
      <c r="D751" s="182" t="str">
        <f t="shared" si="72"/>
        <v/>
      </c>
      <c r="E751" s="192" t="s">
        <v>667</v>
      </c>
      <c r="F751" s="192" t="s">
        <v>705</v>
      </c>
      <c r="G751" s="192" t="s">
        <v>981</v>
      </c>
      <c r="H751" s="210" t="s">
        <v>1455</v>
      </c>
      <c r="I751" s="167">
        <v>28300000</v>
      </c>
      <c r="J751" s="166"/>
      <c r="K751" s="166"/>
      <c r="L751" s="168">
        <v>28300000</v>
      </c>
      <c r="M751" s="168">
        <f t="shared" si="73"/>
        <v>28300000</v>
      </c>
      <c r="N751" s="168"/>
      <c r="O751" s="167">
        <v>26300000</v>
      </c>
      <c r="P751" s="167">
        <f t="shared" si="74"/>
        <v>26300000</v>
      </c>
      <c r="Q751" s="167"/>
      <c r="S751" s="201">
        <f t="shared" si="75"/>
        <v>28.3</v>
      </c>
      <c r="T751" s="201">
        <f t="shared" si="76"/>
        <v>28.3</v>
      </c>
      <c r="U751" s="201">
        <f t="shared" si="76"/>
        <v>0</v>
      </c>
      <c r="V751" s="201">
        <f t="shared" si="76"/>
        <v>26.3</v>
      </c>
      <c r="W751" s="201">
        <f t="shared" si="76"/>
        <v>26.3</v>
      </c>
      <c r="X751" s="201">
        <f t="shared" si="76"/>
        <v>0</v>
      </c>
    </row>
    <row r="752" spans="1:24" s="169" customFormat="1" ht="26.4">
      <c r="A752" s="192" t="s">
        <v>1011</v>
      </c>
      <c r="B752" s="176" t="s">
        <v>1012</v>
      </c>
      <c r="C752" s="183" t="str">
        <f t="shared" si="71"/>
        <v>1048055</v>
      </c>
      <c r="D752" s="182" t="str">
        <f t="shared" si="72"/>
        <v>-Trung tâm y tẽ Huyện Đak glei</v>
      </c>
      <c r="E752" s="206"/>
      <c r="F752" s="207"/>
      <c r="G752" s="207"/>
      <c r="H752" s="205"/>
      <c r="I752" s="167">
        <v>14199748277</v>
      </c>
      <c r="J752" s="166"/>
      <c r="K752" s="167">
        <v>13281017277</v>
      </c>
      <c r="L752" s="168">
        <v>918731000</v>
      </c>
      <c r="M752" s="168">
        <f t="shared" si="73"/>
        <v>14199748277</v>
      </c>
      <c r="N752" s="168"/>
      <c r="O752" s="167">
        <v>13738174533</v>
      </c>
      <c r="P752" s="167">
        <f t="shared" si="74"/>
        <v>13738174533</v>
      </c>
      <c r="Q752" s="167"/>
      <c r="S752" s="201">
        <f t="shared" si="75"/>
        <v>14199.748277000001</v>
      </c>
      <c r="T752" s="201">
        <f t="shared" si="76"/>
        <v>14199.748277000001</v>
      </c>
      <c r="U752" s="201">
        <f t="shared" si="76"/>
        <v>0</v>
      </c>
      <c r="V752" s="201">
        <f t="shared" si="76"/>
        <v>13738.174532999999</v>
      </c>
      <c r="W752" s="201">
        <f t="shared" si="76"/>
        <v>13738.174532999999</v>
      </c>
      <c r="X752" s="201">
        <f t="shared" si="76"/>
        <v>0</v>
      </c>
    </row>
    <row r="753" spans="1:24" s="169" customFormat="1" ht="13.8">
      <c r="A753" s="192" t="s">
        <v>1013</v>
      </c>
      <c r="B753" s="164" t="s">
        <v>689</v>
      </c>
      <c r="C753" s="183" t="str">
        <f t="shared" si="71"/>
        <v/>
      </c>
      <c r="D753" s="182" t="str">
        <f t="shared" si="72"/>
        <v/>
      </c>
      <c r="E753" s="206"/>
      <c r="F753" s="207"/>
      <c r="G753" s="207"/>
      <c r="H753" s="205"/>
      <c r="I753" s="167">
        <v>13843648277</v>
      </c>
      <c r="J753" s="166"/>
      <c r="K753" s="167">
        <v>13281017277</v>
      </c>
      <c r="L753" s="168">
        <v>562631000</v>
      </c>
      <c r="M753" s="168">
        <f t="shared" si="73"/>
        <v>13843648277</v>
      </c>
      <c r="N753" s="168"/>
      <c r="O753" s="167">
        <v>13669934533</v>
      </c>
      <c r="P753" s="167">
        <f t="shared" si="74"/>
        <v>13669934533</v>
      </c>
      <c r="Q753" s="167"/>
      <c r="S753" s="201">
        <f t="shared" si="75"/>
        <v>13843.648277</v>
      </c>
      <c r="T753" s="201">
        <f t="shared" si="76"/>
        <v>13843.648277</v>
      </c>
      <c r="U753" s="201">
        <f t="shared" si="76"/>
        <v>0</v>
      </c>
      <c r="V753" s="201">
        <f t="shared" si="76"/>
        <v>13669.934533</v>
      </c>
      <c r="W753" s="201">
        <f t="shared" si="76"/>
        <v>13669.934533</v>
      </c>
      <c r="X753" s="201">
        <f t="shared" si="76"/>
        <v>0</v>
      </c>
    </row>
    <row r="754" spans="1:24" s="169" customFormat="1" ht="13.8">
      <c r="A754" s="192"/>
      <c r="B754" s="164" t="s">
        <v>690</v>
      </c>
      <c r="C754" s="183" t="str">
        <f t="shared" si="71"/>
        <v/>
      </c>
      <c r="D754" s="182" t="str">
        <f t="shared" si="72"/>
        <v/>
      </c>
      <c r="E754" s="206"/>
      <c r="F754" s="207"/>
      <c r="G754" s="207"/>
      <c r="H754" s="205"/>
      <c r="I754" s="167">
        <v>11707000000</v>
      </c>
      <c r="J754" s="166"/>
      <c r="K754" s="167">
        <v>11909686000</v>
      </c>
      <c r="L754" s="168">
        <v>-202686000</v>
      </c>
      <c r="M754" s="168">
        <f t="shared" si="73"/>
        <v>11707000000</v>
      </c>
      <c r="N754" s="168"/>
      <c r="O754" s="167">
        <v>11707000000</v>
      </c>
      <c r="P754" s="167">
        <f t="shared" si="74"/>
        <v>11707000000</v>
      </c>
      <c r="Q754" s="167"/>
      <c r="S754" s="201">
        <f t="shared" si="75"/>
        <v>11707</v>
      </c>
      <c r="T754" s="201">
        <f t="shared" si="76"/>
        <v>11707</v>
      </c>
      <c r="U754" s="201">
        <f t="shared" si="76"/>
        <v>0</v>
      </c>
      <c r="V754" s="201">
        <f t="shared" si="76"/>
        <v>11707</v>
      </c>
      <c r="W754" s="201">
        <f t="shared" si="76"/>
        <v>11707</v>
      </c>
      <c r="X754" s="201">
        <f t="shared" si="76"/>
        <v>0</v>
      </c>
    </row>
    <row r="755" spans="1:24" s="169" customFormat="1" ht="13.8">
      <c r="A755" s="193"/>
      <c r="B755" s="187"/>
      <c r="C755" s="183" t="str">
        <f t="shared" si="71"/>
        <v/>
      </c>
      <c r="D755" s="182" t="str">
        <f t="shared" si="72"/>
        <v/>
      </c>
      <c r="E755" s="192" t="s">
        <v>666</v>
      </c>
      <c r="F755" s="192" t="s">
        <v>705</v>
      </c>
      <c r="G755" s="192" t="s">
        <v>976</v>
      </c>
      <c r="H755" s="210" t="s">
        <v>1440</v>
      </c>
      <c r="I755" s="167">
        <v>2413000000</v>
      </c>
      <c r="J755" s="166"/>
      <c r="K755" s="167">
        <v>2467810000</v>
      </c>
      <c r="L755" s="168">
        <v>-54810000</v>
      </c>
      <c r="M755" s="168">
        <f t="shared" si="73"/>
        <v>2413000000</v>
      </c>
      <c r="N755" s="168"/>
      <c r="O755" s="167">
        <v>2413000000</v>
      </c>
      <c r="P755" s="167">
        <f t="shared" si="74"/>
        <v>2413000000</v>
      </c>
      <c r="Q755" s="167"/>
      <c r="S755" s="201">
        <f t="shared" si="75"/>
        <v>2413</v>
      </c>
      <c r="T755" s="201">
        <f t="shared" si="76"/>
        <v>2413</v>
      </c>
      <c r="U755" s="201">
        <f t="shared" si="76"/>
        <v>0</v>
      </c>
      <c r="V755" s="201">
        <f t="shared" si="76"/>
        <v>2413</v>
      </c>
      <c r="W755" s="201">
        <f t="shared" si="76"/>
        <v>2413</v>
      </c>
      <c r="X755" s="201">
        <f t="shared" si="76"/>
        <v>0</v>
      </c>
    </row>
    <row r="756" spans="1:24" s="169" customFormat="1" ht="13.8">
      <c r="A756" s="194"/>
      <c r="B756" s="184"/>
      <c r="C756" s="183" t="str">
        <f t="shared" si="71"/>
        <v/>
      </c>
      <c r="D756" s="182" t="str">
        <f t="shared" si="72"/>
        <v/>
      </c>
      <c r="E756" s="192" t="s">
        <v>666</v>
      </c>
      <c r="F756" s="192" t="s">
        <v>705</v>
      </c>
      <c r="G756" s="192" t="s">
        <v>775</v>
      </c>
      <c r="H756" s="210" t="s">
        <v>1440</v>
      </c>
      <c r="I756" s="167">
        <v>9263000000</v>
      </c>
      <c r="J756" s="166"/>
      <c r="K756" s="167">
        <v>9441876000</v>
      </c>
      <c r="L756" s="168">
        <v>-178876000</v>
      </c>
      <c r="M756" s="168">
        <f t="shared" si="73"/>
        <v>9263000000</v>
      </c>
      <c r="N756" s="168"/>
      <c r="O756" s="167">
        <v>9263000000</v>
      </c>
      <c r="P756" s="167">
        <f t="shared" si="74"/>
        <v>9263000000</v>
      </c>
      <c r="Q756" s="167"/>
      <c r="S756" s="201">
        <f t="shared" si="75"/>
        <v>9263</v>
      </c>
      <c r="T756" s="201">
        <f t="shared" si="76"/>
        <v>9263</v>
      </c>
      <c r="U756" s="201">
        <f t="shared" si="76"/>
        <v>0</v>
      </c>
      <c r="V756" s="201">
        <f t="shared" si="76"/>
        <v>9263</v>
      </c>
      <c r="W756" s="201">
        <f t="shared" si="76"/>
        <v>9263</v>
      </c>
      <c r="X756" s="201">
        <f t="shared" si="76"/>
        <v>0</v>
      </c>
    </row>
    <row r="757" spans="1:24" s="169" customFormat="1" ht="13.8">
      <c r="A757" s="195"/>
      <c r="B757" s="188"/>
      <c r="C757" s="183" t="str">
        <f t="shared" si="71"/>
        <v/>
      </c>
      <c r="D757" s="182" t="str">
        <f t="shared" si="72"/>
        <v/>
      </c>
      <c r="E757" s="192" t="s">
        <v>679</v>
      </c>
      <c r="F757" s="192" t="s">
        <v>705</v>
      </c>
      <c r="G757" s="192" t="s">
        <v>775</v>
      </c>
      <c r="H757" s="210" t="s">
        <v>1440</v>
      </c>
      <c r="I757" s="167">
        <v>31000000</v>
      </c>
      <c r="J757" s="166"/>
      <c r="K757" s="166"/>
      <c r="L757" s="168">
        <v>31000000</v>
      </c>
      <c r="M757" s="168">
        <f t="shared" si="73"/>
        <v>31000000</v>
      </c>
      <c r="N757" s="168"/>
      <c r="O757" s="167">
        <v>31000000</v>
      </c>
      <c r="P757" s="167">
        <f t="shared" si="74"/>
        <v>31000000</v>
      </c>
      <c r="Q757" s="167"/>
      <c r="S757" s="201">
        <f t="shared" si="75"/>
        <v>31</v>
      </c>
      <c r="T757" s="201">
        <f t="shared" si="76"/>
        <v>31</v>
      </c>
      <c r="U757" s="201">
        <f t="shared" si="76"/>
        <v>0</v>
      </c>
      <c r="V757" s="201">
        <f t="shared" si="76"/>
        <v>31</v>
      </c>
      <c r="W757" s="201">
        <f t="shared" si="76"/>
        <v>31</v>
      </c>
      <c r="X757" s="201">
        <f t="shared" si="76"/>
        <v>0</v>
      </c>
    </row>
    <row r="758" spans="1:24" s="169" customFormat="1" ht="13.8">
      <c r="A758" s="192"/>
      <c r="B758" s="164" t="s">
        <v>686</v>
      </c>
      <c r="C758" s="183" t="str">
        <f t="shared" si="71"/>
        <v/>
      </c>
      <c r="D758" s="182" t="str">
        <f t="shared" si="72"/>
        <v/>
      </c>
      <c r="E758" s="206"/>
      <c r="F758" s="207"/>
      <c r="G758" s="207"/>
      <c r="H758" s="205"/>
      <c r="I758" s="167">
        <v>2136648277</v>
      </c>
      <c r="J758" s="166"/>
      <c r="K758" s="167">
        <v>1371331277</v>
      </c>
      <c r="L758" s="168">
        <v>765317000</v>
      </c>
      <c r="M758" s="168">
        <f t="shared" si="73"/>
        <v>2136648277</v>
      </c>
      <c r="N758" s="168"/>
      <c r="O758" s="167">
        <v>1962934533</v>
      </c>
      <c r="P758" s="167">
        <f t="shared" si="74"/>
        <v>1962934533</v>
      </c>
      <c r="Q758" s="167"/>
      <c r="S758" s="201">
        <f t="shared" si="75"/>
        <v>2136.6482769999998</v>
      </c>
      <c r="T758" s="201">
        <f t="shared" si="76"/>
        <v>2136.6482769999998</v>
      </c>
      <c r="U758" s="201">
        <f t="shared" si="76"/>
        <v>0</v>
      </c>
      <c r="V758" s="201">
        <f t="shared" si="76"/>
        <v>1962.9345330000001</v>
      </c>
      <c r="W758" s="201">
        <f t="shared" si="76"/>
        <v>1962.9345330000001</v>
      </c>
      <c r="X758" s="201">
        <f t="shared" si="76"/>
        <v>0</v>
      </c>
    </row>
    <row r="759" spans="1:24" s="169" customFormat="1" ht="13.8">
      <c r="A759" s="193"/>
      <c r="B759" s="187"/>
      <c r="C759" s="183" t="str">
        <f t="shared" si="71"/>
        <v/>
      </c>
      <c r="D759" s="182" t="str">
        <f t="shared" si="72"/>
        <v/>
      </c>
      <c r="E759" s="192" t="s">
        <v>681</v>
      </c>
      <c r="F759" s="192" t="s">
        <v>705</v>
      </c>
      <c r="G759" s="192" t="s">
        <v>976</v>
      </c>
      <c r="H759" s="210" t="s">
        <v>1440</v>
      </c>
      <c r="I759" s="167">
        <v>597317000</v>
      </c>
      <c r="J759" s="166"/>
      <c r="K759" s="166"/>
      <c r="L759" s="168">
        <v>597317000</v>
      </c>
      <c r="M759" s="168">
        <f t="shared" si="73"/>
        <v>597317000</v>
      </c>
      <c r="N759" s="168"/>
      <c r="O759" s="167">
        <v>597317000</v>
      </c>
      <c r="P759" s="167">
        <f t="shared" si="74"/>
        <v>597317000</v>
      </c>
      <c r="Q759" s="167"/>
      <c r="S759" s="201">
        <f t="shared" si="75"/>
        <v>597.31700000000001</v>
      </c>
      <c r="T759" s="201">
        <f t="shared" si="76"/>
        <v>597.31700000000001</v>
      </c>
      <c r="U759" s="201">
        <f t="shared" si="76"/>
        <v>0</v>
      </c>
      <c r="V759" s="201">
        <f t="shared" si="76"/>
        <v>597.31700000000001</v>
      </c>
      <c r="W759" s="201">
        <f t="shared" si="76"/>
        <v>597.31700000000001</v>
      </c>
      <c r="X759" s="201">
        <f t="shared" si="76"/>
        <v>0</v>
      </c>
    </row>
    <row r="760" spans="1:24" s="169" customFormat="1" ht="13.8">
      <c r="A760" s="194"/>
      <c r="B760" s="184"/>
      <c r="C760" s="183" t="str">
        <f t="shared" si="71"/>
        <v/>
      </c>
      <c r="D760" s="182" t="str">
        <f t="shared" si="72"/>
        <v/>
      </c>
      <c r="E760" s="192" t="s">
        <v>681</v>
      </c>
      <c r="F760" s="192" t="s">
        <v>705</v>
      </c>
      <c r="G760" s="192" t="s">
        <v>775</v>
      </c>
      <c r="H760" s="210" t="s">
        <v>1440</v>
      </c>
      <c r="I760" s="167">
        <v>1371331277</v>
      </c>
      <c r="J760" s="166"/>
      <c r="K760" s="167">
        <v>1371331277</v>
      </c>
      <c r="L760" s="171"/>
      <c r="M760" s="168">
        <f t="shared" si="73"/>
        <v>1371331277</v>
      </c>
      <c r="N760" s="171"/>
      <c r="O760" s="167">
        <v>1323468877</v>
      </c>
      <c r="P760" s="167">
        <f t="shared" si="74"/>
        <v>1323468877</v>
      </c>
      <c r="Q760" s="167"/>
      <c r="S760" s="201">
        <f t="shared" si="75"/>
        <v>1371.331277</v>
      </c>
      <c r="T760" s="201">
        <f t="shared" si="76"/>
        <v>1371.331277</v>
      </c>
      <c r="U760" s="201">
        <f t="shared" si="76"/>
        <v>0</v>
      </c>
      <c r="V760" s="201">
        <f t="shared" si="76"/>
        <v>1323.468877</v>
      </c>
      <c r="W760" s="201">
        <f t="shared" si="76"/>
        <v>1323.468877</v>
      </c>
      <c r="X760" s="201">
        <f t="shared" si="76"/>
        <v>0</v>
      </c>
    </row>
    <row r="761" spans="1:24" s="169" customFormat="1" ht="13.8">
      <c r="A761" s="195"/>
      <c r="B761" s="188"/>
      <c r="C761" s="183" t="str">
        <f t="shared" si="71"/>
        <v/>
      </c>
      <c r="D761" s="182" t="str">
        <f t="shared" si="72"/>
        <v/>
      </c>
      <c r="E761" s="192" t="s">
        <v>667</v>
      </c>
      <c r="F761" s="192" t="s">
        <v>705</v>
      </c>
      <c r="G761" s="192" t="s">
        <v>775</v>
      </c>
      <c r="H761" s="210" t="s">
        <v>1440</v>
      </c>
      <c r="I761" s="167">
        <v>168000000</v>
      </c>
      <c r="J761" s="166"/>
      <c r="K761" s="166"/>
      <c r="L761" s="168">
        <v>168000000</v>
      </c>
      <c r="M761" s="168">
        <f t="shared" si="73"/>
        <v>168000000</v>
      </c>
      <c r="N761" s="168"/>
      <c r="O761" s="167">
        <v>42148656</v>
      </c>
      <c r="P761" s="167">
        <f t="shared" si="74"/>
        <v>42148656</v>
      </c>
      <c r="Q761" s="167"/>
      <c r="S761" s="201">
        <f t="shared" si="75"/>
        <v>168</v>
      </c>
      <c r="T761" s="201">
        <f t="shared" si="76"/>
        <v>168</v>
      </c>
      <c r="U761" s="201">
        <f t="shared" si="76"/>
        <v>0</v>
      </c>
      <c r="V761" s="201">
        <f t="shared" si="76"/>
        <v>42.148656000000003</v>
      </c>
      <c r="W761" s="201">
        <f t="shared" si="76"/>
        <v>42.148656000000003</v>
      </c>
      <c r="X761" s="201">
        <f t="shared" si="76"/>
        <v>0</v>
      </c>
    </row>
    <row r="762" spans="1:24" s="169" customFormat="1" ht="13.8">
      <c r="A762" s="192" t="s">
        <v>1014</v>
      </c>
      <c r="B762" s="164" t="s">
        <v>701</v>
      </c>
      <c r="C762" s="183" t="str">
        <f t="shared" si="71"/>
        <v/>
      </c>
      <c r="D762" s="182" t="str">
        <f t="shared" si="72"/>
        <v/>
      </c>
      <c r="E762" s="206"/>
      <c r="F762" s="207"/>
      <c r="G762" s="207"/>
      <c r="H762" s="205"/>
      <c r="I762" s="167">
        <v>356100000</v>
      </c>
      <c r="J762" s="166"/>
      <c r="K762" s="166"/>
      <c r="L762" s="168">
        <v>356100000</v>
      </c>
      <c r="M762" s="168">
        <f t="shared" si="73"/>
        <v>356100000</v>
      </c>
      <c r="N762" s="168"/>
      <c r="O762" s="167">
        <v>68240000</v>
      </c>
      <c r="P762" s="167">
        <f t="shared" si="74"/>
        <v>68240000</v>
      </c>
      <c r="Q762" s="167"/>
      <c r="S762" s="201">
        <f t="shared" si="75"/>
        <v>356.1</v>
      </c>
      <c r="T762" s="201">
        <f t="shared" si="76"/>
        <v>356.1</v>
      </c>
      <c r="U762" s="201">
        <f t="shared" si="76"/>
        <v>0</v>
      </c>
      <c r="V762" s="201">
        <f t="shared" si="76"/>
        <v>68.239999999999995</v>
      </c>
      <c r="W762" s="201">
        <f t="shared" si="76"/>
        <v>68.239999999999995</v>
      </c>
      <c r="X762" s="201">
        <f t="shared" si="76"/>
        <v>0</v>
      </c>
    </row>
    <row r="763" spans="1:24" s="169" customFormat="1" ht="13.8">
      <c r="A763" s="193"/>
      <c r="B763" s="187"/>
      <c r="C763" s="183" t="str">
        <f t="shared" si="71"/>
        <v/>
      </c>
      <c r="D763" s="182" t="str">
        <f t="shared" si="72"/>
        <v/>
      </c>
      <c r="E763" s="192" t="s">
        <v>667</v>
      </c>
      <c r="F763" s="192" t="s">
        <v>705</v>
      </c>
      <c r="G763" s="192" t="s">
        <v>775</v>
      </c>
      <c r="H763" s="210" t="s">
        <v>1455</v>
      </c>
      <c r="I763" s="167">
        <v>317000000</v>
      </c>
      <c r="J763" s="166"/>
      <c r="K763" s="166"/>
      <c r="L763" s="168">
        <v>317000000</v>
      </c>
      <c r="M763" s="168">
        <f t="shared" si="73"/>
        <v>317000000</v>
      </c>
      <c r="N763" s="168"/>
      <c r="O763" s="167">
        <v>68240000</v>
      </c>
      <c r="P763" s="167">
        <f t="shared" si="74"/>
        <v>68240000</v>
      </c>
      <c r="Q763" s="167"/>
      <c r="S763" s="201">
        <f t="shared" si="75"/>
        <v>317</v>
      </c>
      <c r="T763" s="201">
        <f t="shared" si="76"/>
        <v>317</v>
      </c>
      <c r="U763" s="201">
        <f t="shared" si="76"/>
        <v>0</v>
      </c>
      <c r="V763" s="201">
        <f t="shared" si="76"/>
        <v>68.239999999999995</v>
      </c>
      <c r="W763" s="201">
        <f t="shared" si="76"/>
        <v>68.239999999999995</v>
      </c>
      <c r="X763" s="201">
        <f t="shared" si="76"/>
        <v>0</v>
      </c>
    </row>
    <row r="764" spans="1:24" s="169" customFormat="1" ht="13.8">
      <c r="A764" s="195"/>
      <c r="B764" s="188"/>
      <c r="C764" s="183" t="str">
        <f t="shared" si="71"/>
        <v/>
      </c>
      <c r="D764" s="182" t="str">
        <f t="shared" si="72"/>
        <v/>
      </c>
      <c r="E764" s="192" t="s">
        <v>667</v>
      </c>
      <c r="F764" s="192" t="s">
        <v>705</v>
      </c>
      <c r="G764" s="192" t="s">
        <v>981</v>
      </c>
      <c r="H764" s="210" t="s">
        <v>1455</v>
      </c>
      <c r="I764" s="167">
        <v>39100000</v>
      </c>
      <c r="J764" s="166"/>
      <c r="K764" s="166"/>
      <c r="L764" s="168">
        <v>39100000</v>
      </c>
      <c r="M764" s="168">
        <f t="shared" si="73"/>
        <v>39100000</v>
      </c>
      <c r="N764" s="168"/>
      <c r="O764" s="166"/>
      <c r="P764" s="167">
        <f t="shared" si="74"/>
        <v>0</v>
      </c>
      <c r="Q764" s="166"/>
      <c r="S764" s="201">
        <f t="shared" si="75"/>
        <v>39.1</v>
      </c>
      <c r="T764" s="201">
        <f t="shared" si="76"/>
        <v>39.1</v>
      </c>
      <c r="U764" s="201">
        <f t="shared" si="76"/>
        <v>0</v>
      </c>
      <c r="V764" s="201">
        <f t="shared" si="76"/>
        <v>0</v>
      </c>
      <c r="W764" s="201">
        <f t="shared" si="76"/>
        <v>0</v>
      </c>
      <c r="X764" s="201">
        <f t="shared" si="76"/>
        <v>0</v>
      </c>
    </row>
    <row r="765" spans="1:24" s="169" customFormat="1" ht="26.4">
      <c r="A765" s="192" t="s">
        <v>1015</v>
      </c>
      <c r="B765" s="176" t="s">
        <v>1016</v>
      </c>
      <c r="C765" s="183" t="str">
        <f t="shared" si="71"/>
        <v>1048056</v>
      </c>
      <c r="D765" s="182" t="str">
        <f t="shared" si="72"/>
        <v>-Trung tâm y tẽ huyện KonPlong</v>
      </c>
      <c r="E765" s="206"/>
      <c r="F765" s="207"/>
      <c r="G765" s="207"/>
      <c r="H765" s="205"/>
      <c r="I765" s="167">
        <v>15351229533</v>
      </c>
      <c r="J765" s="166"/>
      <c r="K765" s="167">
        <v>14947609533</v>
      </c>
      <c r="L765" s="168">
        <v>403620000</v>
      </c>
      <c r="M765" s="168">
        <f t="shared" si="73"/>
        <v>15351229533</v>
      </c>
      <c r="N765" s="168"/>
      <c r="O765" s="167">
        <v>14888900391</v>
      </c>
      <c r="P765" s="167">
        <f t="shared" si="74"/>
        <v>14888900391</v>
      </c>
      <c r="Q765" s="167"/>
      <c r="S765" s="201">
        <f t="shared" si="75"/>
        <v>15351.229533</v>
      </c>
      <c r="T765" s="201">
        <f t="shared" si="76"/>
        <v>15351.229533</v>
      </c>
      <c r="U765" s="201">
        <f t="shared" si="76"/>
        <v>0</v>
      </c>
      <c r="V765" s="201">
        <f t="shared" si="76"/>
        <v>14888.900390999999</v>
      </c>
      <c r="W765" s="201">
        <f t="shared" si="76"/>
        <v>14888.900390999999</v>
      </c>
      <c r="X765" s="201">
        <f t="shared" si="76"/>
        <v>0</v>
      </c>
    </row>
    <row r="766" spans="1:24" s="169" customFormat="1" ht="13.8">
      <c r="A766" s="192" t="s">
        <v>1017</v>
      </c>
      <c r="B766" s="164" t="s">
        <v>689</v>
      </c>
      <c r="C766" s="183" t="str">
        <f t="shared" si="71"/>
        <v/>
      </c>
      <c r="D766" s="182" t="str">
        <f t="shared" si="72"/>
        <v/>
      </c>
      <c r="E766" s="206"/>
      <c r="F766" s="207"/>
      <c r="G766" s="207"/>
      <c r="H766" s="205"/>
      <c r="I766" s="167">
        <v>15056029533</v>
      </c>
      <c r="J766" s="166"/>
      <c r="K766" s="167">
        <v>14947609533</v>
      </c>
      <c r="L766" s="168">
        <v>108420000</v>
      </c>
      <c r="M766" s="168">
        <f t="shared" si="73"/>
        <v>15056029533</v>
      </c>
      <c r="N766" s="168"/>
      <c r="O766" s="167">
        <v>14888900391</v>
      </c>
      <c r="P766" s="167">
        <f t="shared" si="74"/>
        <v>14888900391</v>
      </c>
      <c r="Q766" s="167"/>
      <c r="S766" s="201">
        <f t="shared" si="75"/>
        <v>15056.029533000001</v>
      </c>
      <c r="T766" s="201">
        <f t="shared" si="76"/>
        <v>15056.029533000001</v>
      </c>
      <c r="U766" s="201">
        <f t="shared" si="76"/>
        <v>0</v>
      </c>
      <c r="V766" s="201">
        <f t="shared" si="76"/>
        <v>14888.900390999999</v>
      </c>
      <c r="W766" s="201">
        <f t="shared" si="76"/>
        <v>14888.900390999999</v>
      </c>
      <c r="X766" s="201">
        <f t="shared" si="76"/>
        <v>0</v>
      </c>
    </row>
    <row r="767" spans="1:24" s="169" customFormat="1" ht="13.8">
      <c r="A767" s="192"/>
      <c r="B767" s="164" t="s">
        <v>690</v>
      </c>
      <c r="C767" s="183" t="str">
        <f t="shared" si="71"/>
        <v/>
      </c>
      <c r="D767" s="182" t="str">
        <f t="shared" si="72"/>
        <v/>
      </c>
      <c r="E767" s="206"/>
      <c r="F767" s="207"/>
      <c r="G767" s="207"/>
      <c r="H767" s="205"/>
      <c r="I767" s="167">
        <v>12144490000</v>
      </c>
      <c r="J767" s="166"/>
      <c r="K767" s="167">
        <v>12452070000</v>
      </c>
      <c r="L767" s="168">
        <v>-307580000</v>
      </c>
      <c r="M767" s="168">
        <f t="shared" si="73"/>
        <v>12144490000</v>
      </c>
      <c r="N767" s="168"/>
      <c r="O767" s="167">
        <v>12144490000</v>
      </c>
      <c r="P767" s="167">
        <f t="shared" si="74"/>
        <v>12144490000</v>
      </c>
      <c r="Q767" s="167"/>
      <c r="S767" s="201">
        <f t="shared" si="75"/>
        <v>12144.49</v>
      </c>
      <c r="T767" s="201">
        <f t="shared" si="76"/>
        <v>12144.49</v>
      </c>
      <c r="U767" s="201">
        <f t="shared" si="76"/>
        <v>0</v>
      </c>
      <c r="V767" s="201">
        <f t="shared" si="76"/>
        <v>12144.49</v>
      </c>
      <c r="W767" s="201">
        <f t="shared" si="76"/>
        <v>12144.49</v>
      </c>
      <c r="X767" s="201">
        <f t="shared" si="76"/>
        <v>0</v>
      </c>
    </row>
    <row r="768" spans="1:24" s="169" customFormat="1" ht="13.8">
      <c r="A768" s="193"/>
      <c r="B768" s="187"/>
      <c r="C768" s="183" t="str">
        <f t="shared" si="71"/>
        <v/>
      </c>
      <c r="D768" s="182" t="str">
        <f t="shared" si="72"/>
        <v/>
      </c>
      <c r="E768" s="192" t="s">
        <v>666</v>
      </c>
      <c r="F768" s="192" t="s">
        <v>705</v>
      </c>
      <c r="G768" s="192" t="s">
        <v>976</v>
      </c>
      <c r="H768" s="210" t="s">
        <v>1440</v>
      </c>
      <c r="I768" s="167">
        <v>5881840000</v>
      </c>
      <c r="J768" s="166"/>
      <c r="K768" s="167">
        <v>6159070000</v>
      </c>
      <c r="L768" s="168">
        <v>-277230000</v>
      </c>
      <c r="M768" s="168">
        <f t="shared" si="73"/>
        <v>5881840000</v>
      </c>
      <c r="N768" s="168"/>
      <c r="O768" s="167">
        <v>5881840000</v>
      </c>
      <c r="P768" s="167">
        <f t="shared" si="74"/>
        <v>5881840000</v>
      </c>
      <c r="Q768" s="167"/>
      <c r="S768" s="201">
        <f t="shared" si="75"/>
        <v>5881.84</v>
      </c>
      <c r="T768" s="201">
        <f t="shared" si="76"/>
        <v>5881.84</v>
      </c>
      <c r="U768" s="201">
        <f t="shared" si="76"/>
        <v>0</v>
      </c>
      <c r="V768" s="201">
        <f t="shared" si="76"/>
        <v>5881.84</v>
      </c>
      <c r="W768" s="201">
        <f t="shared" si="76"/>
        <v>5881.84</v>
      </c>
      <c r="X768" s="201">
        <f t="shared" si="76"/>
        <v>0</v>
      </c>
    </row>
    <row r="769" spans="1:24" s="169" customFormat="1" ht="13.8">
      <c r="A769" s="194"/>
      <c r="B769" s="184"/>
      <c r="C769" s="183" t="str">
        <f t="shared" si="71"/>
        <v/>
      </c>
      <c r="D769" s="182" t="str">
        <f t="shared" si="72"/>
        <v/>
      </c>
      <c r="E769" s="192" t="s">
        <v>666</v>
      </c>
      <c r="F769" s="192" t="s">
        <v>705</v>
      </c>
      <c r="G769" s="192" t="s">
        <v>775</v>
      </c>
      <c r="H769" s="210" t="s">
        <v>1440</v>
      </c>
      <c r="I769" s="167">
        <v>6237650000</v>
      </c>
      <c r="J769" s="166"/>
      <c r="K769" s="167">
        <v>6293000000</v>
      </c>
      <c r="L769" s="168">
        <v>-55350000</v>
      </c>
      <c r="M769" s="168">
        <f t="shared" si="73"/>
        <v>6237650000</v>
      </c>
      <c r="N769" s="168"/>
      <c r="O769" s="167">
        <v>6237650000</v>
      </c>
      <c r="P769" s="167">
        <f t="shared" si="74"/>
        <v>6237650000</v>
      </c>
      <c r="Q769" s="167"/>
      <c r="S769" s="201">
        <f t="shared" si="75"/>
        <v>6237.65</v>
      </c>
      <c r="T769" s="201">
        <f t="shared" si="76"/>
        <v>6237.65</v>
      </c>
      <c r="U769" s="201">
        <f t="shared" si="76"/>
        <v>0</v>
      </c>
      <c r="V769" s="201">
        <f t="shared" si="76"/>
        <v>6237.65</v>
      </c>
      <c r="W769" s="201">
        <f t="shared" si="76"/>
        <v>6237.65</v>
      </c>
      <c r="X769" s="201">
        <f t="shared" si="76"/>
        <v>0</v>
      </c>
    </row>
    <row r="770" spans="1:24" s="169" customFormat="1" ht="13.8">
      <c r="A770" s="195"/>
      <c r="B770" s="188"/>
      <c r="C770" s="183" t="str">
        <f t="shared" si="71"/>
        <v/>
      </c>
      <c r="D770" s="182" t="str">
        <f t="shared" si="72"/>
        <v/>
      </c>
      <c r="E770" s="192" t="s">
        <v>679</v>
      </c>
      <c r="F770" s="192" t="s">
        <v>705</v>
      </c>
      <c r="G770" s="192" t="s">
        <v>775</v>
      </c>
      <c r="H770" s="210" t="s">
        <v>1440</v>
      </c>
      <c r="I770" s="167">
        <v>25000000</v>
      </c>
      <c r="J770" s="166"/>
      <c r="K770" s="166"/>
      <c r="L770" s="168">
        <v>25000000</v>
      </c>
      <c r="M770" s="168">
        <f t="shared" si="73"/>
        <v>25000000</v>
      </c>
      <c r="N770" s="168"/>
      <c r="O770" s="167">
        <v>25000000</v>
      </c>
      <c r="P770" s="167">
        <f t="shared" si="74"/>
        <v>25000000</v>
      </c>
      <c r="Q770" s="167"/>
      <c r="S770" s="201">
        <f t="shared" si="75"/>
        <v>25</v>
      </c>
      <c r="T770" s="201">
        <f t="shared" si="76"/>
        <v>25</v>
      </c>
      <c r="U770" s="201">
        <f t="shared" si="76"/>
        <v>0</v>
      </c>
      <c r="V770" s="201">
        <f t="shared" si="76"/>
        <v>25</v>
      </c>
      <c r="W770" s="201">
        <f t="shared" si="76"/>
        <v>25</v>
      </c>
      <c r="X770" s="201">
        <f t="shared" si="76"/>
        <v>0</v>
      </c>
    </row>
    <row r="771" spans="1:24" s="169" customFormat="1" ht="13.8">
      <c r="A771" s="192"/>
      <c r="B771" s="164" t="s">
        <v>686</v>
      </c>
      <c r="C771" s="183" t="str">
        <f t="shared" si="71"/>
        <v/>
      </c>
      <c r="D771" s="182" t="str">
        <f t="shared" si="72"/>
        <v/>
      </c>
      <c r="E771" s="206"/>
      <c r="F771" s="207"/>
      <c r="G771" s="207"/>
      <c r="H771" s="205"/>
      <c r="I771" s="167">
        <v>2911539533</v>
      </c>
      <c r="J771" s="166"/>
      <c r="K771" s="167">
        <v>2495539533</v>
      </c>
      <c r="L771" s="168">
        <v>416000000</v>
      </c>
      <c r="M771" s="168">
        <f t="shared" si="73"/>
        <v>2911539533</v>
      </c>
      <c r="N771" s="168"/>
      <c r="O771" s="167">
        <v>2744410391</v>
      </c>
      <c r="P771" s="167">
        <f t="shared" si="74"/>
        <v>2744410391</v>
      </c>
      <c r="Q771" s="167"/>
      <c r="S771" s="201">
        <f t="shared" si="75"/>
        <v>2911.5395330000001</v>
      </c>
      <c r="T771" s="201">
        <f t="shared" si="76"/>
        <v>2911.5395330000001</v>
      </c>
      <c r="U771" s="201">
        <f t="shared" si="76"/>
        <v>0</v>
      </c>
      <c r="V771" s="201">
        <f t="shared" si="76"/>
        <v>2744.4103909999999</v>
      </c>
      <c r="W771" s="201">
        <f t="shared" si="76"/>
        <v>2744.4103909999999</v>
      </c>
      <c r="X771" s="201">
        <f t="shared" si="76"/>
        <v>0</v>
      </c>
    </row>
    <row r="772" spans="1:24" s="169" customFormat="1" ht="13.8">
      <c r="A772" s="193"/>
      <c r="B772" s="187"/>
      <c r="C772" s="183" t="str">
        <f t="shared" si="71"/>
        <v/>
      </c>
      <c r="D772" s="182" t="str">
        <f t="shared" si="72"/>
        <v/>
      </c>
      <c r="E772" s="192" t="s">
        <v>681</v>
      </c>
      <c r="F772" s="192" t="s">
        <v>705</v>
      </c>
      <c r="G772" s="192" t="s">
        <v>976</v>
      </c>
      <c r="H772" s="210" t="s">
        <v>1440</v>
      </c>
      <c r="I772" s="167">
        <v>277230000</v>
      </c>
      <c r="J772" s="166"/>
      <c r="K772" s="167">
        <v>277230000</v>
      </c>
      <c r="L772" s="171"/>
      <c r="M772" s="168">
        <f t="shared" si="73"/>
        <v>277230000</v>
      </c>
      <c r="N772" s="171"/>
      <c r="O772" s="167">
        <v>277230000</v>
      </c>
      <c r="P772" s="167">
        <f t="shared" si="74"/>
        <v>277230000</v>
      </c>
      <c r="Q772" s="167"/>
      <c r="S772" s="201">
        <f t="shared" si="75"/>
        <v>277.23</v>
      </c>
      <c r="T772" s="201">
        <f t="shared" si="76"/>
        <v>277.23</v>
      </c>
      <c r="U772" s="201">
        <f t="shared" si="76"/>
        <v>0</v>
      </c>
      <c r="V772" s="201">
        <f t="shared" si="76"/>
        <v>277.23</v>
      </c>
      <c r="W772" s="201">
        <f t="shared" si="76"/>
        <v>277.23</v>
      </c>
      <c r="X772" s="201">
        <f t="shared" si="76"/>
        <v>0</v>
      </c>
    </row>
    <row r="773" spans="1:24" s="169" customFormat="1" ht="13.8">
      <c r="A773" s="194"/>
      <c r="B773" s="184"/>
      <c r="C773" s="183" t="str">
        <f t="shared" si="71"/>
        <v/>
      </c>
      <c r="D773" s="182" t="str">
        <f t="shared" si="72"/>
        <v/>
      </c>
      <c r="E773" s="192" t="s">
        <v>681</v>
      </c>
      <c r="F773" s="192" t="s">
        <v>705</v>
      </c>
      <c r="G773" s="192" t="s">
        <v>775</v>
      </c>
      <c r="H773" s="210" t="s">
        <v>1440</v>
      </c>
      <c r="I773" s="167">
        <v>2480309533</v>
      </c>
      <c r="J773" s="166"/>
      <c r="K773" s="167">
        <v>2218309533</v>
      </c>
      <c r="L773" s="168">
        <v>262000000</v>
      </c>
      <c r="M773" s="168">
        <f t="shared" si="73"/>
        <v>2480309533</v>
      </c>
      <c r="N773" s="168"/>
      <c r="O773" s="167">
        <v>2420536335</v>
      </c>
      <c r="P773" s="167">
        <f t="shared" si="74"/>
        <v>2420536335</v>
      </c>
      <c r="Q773" s="167"/>
      <c r="S773" s="201">
        <f t="shared" si="75"/>
        <v>2480.3095330000001</v>
      </c>
      <c r="T773" s="201">
        <f t="shared" si="76"/>
        <v>2480.3095330000001</v>
      </c>
      <c r="U773" s="201">
        <f t="shared" si="76"/>
        <v>0</v>
      </c>
      <c r="V773" s="201">
        <f t="shared" si="76"/>
        <v>2420.5363349999998</v>
      </c>
      <c r="W773" s="201">
        <f t="shared" si="76"/>
        <v>2420.5363349999998</v>
      </c>
      <c r="X773" s="201">
        <f t="shared" si="76"/>
        <v>0</v>
      </c>
    </row>
    <row r="774" spans="1:24" s="169" customFormat="1" ht="13.8">
      <c r="A774" s="195"/>
      <c r="B774" s="188"/>
      <c r="C774" s="183" t="str">
        <f t="shared" si="71"/>
        <v/>
      </c>
      <c r="D774" s="182" t="str">
        <f t="shared" si="72"/>
        <v/>
      </c>
      <c r="E774" s="192" t="s">
        <v>667</v>
      </c>
      <c r="F774" s="192" t="s">
        <v>705</v>
      </c>
      <c r="G774" s="192" t="s">
        <v>775</v>
      </c>
      <c r="H774" s="210" t="s">
        <v>1440</v>
      </c>
      <c r="I774" s="167">
        <v>154000000</v>
      </c>
      <c r="J774" s="166"/>
      <c r="K774" s="166"/>
      <c r="L774" s="168">
        <v>154000000</v>
      </c>
      <c r="M774" s="168">
        <f t="shared" si="73"/>
        <v>154000000</v>
      </c>
      <c r="N774" s="168"/>
      <c r="O774" s="167">
        <v>46644056</v>
      </c>
      <c r="P774" s="167">
        <f t="shared" si="74"/>
        <v>46644056</v>
      </c>
      <c r="Q774" s="167"/>
      <c r="S774" s="201">
        <f t="shared" si="75"/>
        <v>154</v>
      </c>
      <c r="T774" s="201">
        <f t="shared" si="76"/>
        <v>154</v>
      </c>
      <c r="U774" s="201">
        <f t="shared" si="76"/>
        <v>0</v>
      </c>
      <c r="V774" s="201">
        <f t="shared" si="76"/>
        <v>46.644055999999999</v>
      </c>
      <c r="W774" s="201">
        <f t="shared" si="76"/>
        <v>46.644055999999999</v>
      </c>
      <c r="X774" s="201">
        <f t="shared" si="76"/>
        <v>0</v>
      </c>
    </row>
    <row r="775" spans="1:24" s="169" customFormat="1" ht="13.8">
      <c r="A775" s="192" t="s">
        <v>1018</v>
      </c>
      <c r="B775" s="164" t="s">
        <v>701</v>
      </c>
      <c r="C775" s="183" t="str">
        <f t="shared" si="71"/>
        <v/>
      </c>
      <c r="D775" s="182" t="str">
        <f t="shared" si="72"/>
        <v/>
      </c>
      <c r="E775" s="206"/>
      <c r="F775" s="207"/>
      <c r="G775" s="207"/>
      <c r="H775" s="205"/>
      <c r="I775" s="167">
        <v>295200000</v>
      </c>
      <c r="J775" s="166"/>
      <c r="K775" s="166"/>
      <c r="L775" s="168">
        <v>295200000</v>
      </c>
      <c r="M775" s="168">
        <f t="shared" si="73"/>
        <v>295200000</v>
      </c>
      <c r="N775" s="168"/>
      <c r="O775" s="166"/>
      <c r="P775" s="167">
        <f t="shared" si="74"/>
        <v>0</v>
      </c>
      <c r="Q775" s="166"/>
      <c r="S775" s="201">
        <f t="shared" si="75"/>
        <v>295.2</v>
      </c>
      <c r="T775" s="201">
        <f t="shared" si="76"/>
        <v>295.2</v>
      </c>
      <c r="U775" s="201">
        <f t="shared" si="76"/>
        <v>0</v>
      </c>
      <c r="V775" s="201">
        <f t="shared" si="76"/>
        <v>0</v>
      </c>
      <c r="W775" s="201">
        <f t="shared" si="76"/>
        <v>0</v>
      </c>
      <c r="X775" s="201">
        <f t="shared" si="76"/>
        <v>0</v>
      </c>
    </row>
    <row r="776" spans="1:24" s="169" customFormat="1" ht="13.8">
      <c r="A776" s="193"/>
      <c r="B776" s="187"/>
      <c r="C776" s="183" t="str">
        <f t="shared" si="71"/>
        <v/>
      </c>
      <c r="D776" s="182" t="str">
        <f t="shared" si="72"/>
        <v/>
      </c>
      <c r="E776" s="192" t="s">
        <v>667</v>
      </c>
      <c r="F776" s="192" t="s">
        <v>705</v>
      </c>
      <c r="G776" s="192" t="s">
        <v>775</v>
      </c>
      <c r="H776" s="210" t="s">
        <v>1455</v>
      </c>
      <c r="I776" s="167">
        <v>265900000</v>
      </c>
      <c r="J776" s="166"/>
      <c r="K776" s="166"/>
      <c r="L776" s="168">
        <v>265900000</v>
      </c>
      <c r="M776" s="168">
        <f t="shared" si="73"/>
        <v>265900000</v>
      </c>
      <c r="N776" s="168"/>
      <c r="O776" s="166"/>
      <c r="P776" s="167">
        <f t="shared" si="74"/>
        <v>0</v>
      </c>
      <c r="Q776" s="166"/>
      <c r="S776" s="201">
        <f t="shared" si="75"/>
        <v>265.89999999999998</v>
      </c>
      <c r="T776" s="201">
        <f t="shared" si="76"/>
        <v>265.89999999999998</v>
      </c>
      <c r="U776" s="201">
        <f t="shared" si="76"/>
        <v>0</v>
      </c>
      <c r="V776" s="201">
        <f t="shared" si="76"/>
        <v>0</v>
      </c>
      <c r="W776" s="201">
        <f t="shared" si="76"/>
        <v>0</v>
      </c>
      <c r="X776" s="201">
        <f t="shared" si="76"/>
        <v>0</v>
      </c>
    </row>
    <row r="777" spans="1:24" s="169" customFormat="1" ht="13.8">
      <c r="A777" s="195"/>
      <c r="B777" s="188"/>
      <c r="C777" s="183" t="str">
        <f t="shared" si="71"/>
        <v/>
      </c>
      <c r="D777" s="182" t="str">
        <f t="shared" si="72"/>
        <v/>
      </c>
      <c r="E777" s="192" t="s">
        <v>667</v>
      </c>
      <c r="F777" s="192" t="s">
        <v>705</v>
      </c>
      <c r="G777" s="192" t="s">
        <v>981</v>
      </c>
      <c r="H777" s="210" t="s">
        <v>1455</v>
      </c>
      <c r="I777" s="167">
        <v>29300000</v>
      </c>
      <c r="J777" s="166"/>
      <c r="K777" s="166"/>
      <c r="L777" s="168">
        <v>29300000</v>
      </c>
      <c r="M777" s="168">
        <f t="shared" si="73"/>
        <v>29300000</v>
      </c>
      <c r="N777" s="168"/>
      <c r="O777" s="166"/>
      <c r="P777" s="167">
        <f t="shared" si="74"/>
        <v>0</v>
      </c>
      <c r="Q777" s="166"/>
      <c r="S777" s="201">
        <f t="shared" si="75"/>
        <v>29.3</v>
      </c>
      <c r="T777" s="201">
        <f t="shared" si="76"/>
        <v>29.3</v>
      </c>
      <c r="U777" s="201">
        <f t="shared" si="76"/>
        <v>0</v>
      </c>
      <c r="V777" s="201">
        <f t="shared" si="76"/>
        <v>0</v>
      </c>
      <c r="W777" s="201">
        <f t="shared" si="76"/>
        <v>0</v>
      </c>
      <c r="X777" s="201">
        <f t="shared" si="76"/>
        <v>0</v>
      </c>
    </row>
    <row r="778" spans="1:24" s="169" customFormat="1" ht="13.8">
      <c r="A778" s="192"/>
      <c r="B778" s="173"/>
      <c r="C778" s="183" t="str">
        <f t="shared" si="71"/>
        <v/>
      </c>
      <c r="D778" s="182" t="str">
        <f t="shared" si="72"/>
        <v/>
      </c>
      <c r="E778" s="192"/>
      <c r="F778" s="192"/>
      <c r="G778" s="192"/>
      <c r="H778" s="210"/>
      <c r="I778" s="174"/>
      <c r="J778" s="174"/>
      <c r="K778" s="174"/>
      <c r="L778" s="175"/>
      <c r="M778" s="168">
        <f t="shared" si="73"/>
        <v>0</v>
      </c>
      <c r="N778" s="175"/>
      <c r="O778" s="174"/>
      <c r="P778" s="167">
        <f t="shared" si="74"/>
        <v>0</v>
      </c>
      <c r="Q778" s="174"/>
      <c r="S778" s="201">
        <f t="shared" si="75"/>
        <v>0</v>
      </c>
      <c r="T778" s="201">
        <f t="shared" si="76"/>
        <v>0</v>
      </c>
      <c r="U778" s="201">
        <f t="shared" si="76"/>
        <v>0</v>
      </c>
      <c r="V778" s="201">
        <f t="shared" si="76"/>
        <v>0</v>
      </c>
      <c r="W778" s="201">
        <f t="shared" si="76"/>
        <v>0</v>
      </c>
      <c r="X778" s="201">
        <f t="shared" si="76"/>
        <v>0</v>
      </c>
    </row>
    <row r="779" spans="1:24" s="169" customFormat="1" ht="26.4">
      <c r="A779" s="192" t="s">
        <v>1019</v>
      </c>
      <c r="B779" s="165" t="s">
        <v>1020</v>
      </c>
      <c r="C779" s="183" t="str">
        <f t="shared" si="71"/>
        <v>1048057</v>
      </c>
      <c r="D779" s="182" t="str">
        <f t="shared" si="72"/>
        <v>-Trung tâm y tẽ Thành phổ &lt;on Tum</v>
      </c>
      <c r="E779" s="206"/>
      <c r="F779" s="207"/>
      <c r="G779" s="207"/>
      <c r="H779" s="205"/>
      <c r="I779" s="167">
        <v>19410417206</v>
      </c>
      <c r="J779" s="166"/>
      <c r="K779" s="167">
        <v>18325711806</v>
      </c>
      <c r="L779" s="168">
        <v>1084705400</v>
      </c>
      <c r="M779" s="168">
        <f t="shared" si="73"/>
        <v>19410417206</v>
      </c>
      <c r="N779" s="168"/>
      <c r="O779" s="167">
        <v>17604265716</v>
      </c>
      <c r="P779" s="167">
        <f t="shared" si="74"/>
        <v>17604265716</v>
      </c>
      <c r="Q779" s="167"/>
      <c r="S779" s="201">
        <f t="shared" si="75"/>
        <v>19410.417205999998</v>
      </c>
      <c r="T779" s="201">
        <f t="shared" si="76"/>
        <v>19410.417205999998</v>
      </c>
      <c r="U779" s="201">
        <f t="shared" si="76"/>
        <v>0</v>
      </c>
      <c r="V779" s="201">
        <f t="shared" si="76"/>
        <v>17604.265716000002</v>
      </c>
      <c r="W779" s="201">
        <f t="shared" si="76"/>
        <v>17604.265716000002</v>
      </c>
      <c r="X779" s="201">
        <f t="shared" si="76"/>
        <v>0</v>
      </c>
    </row>
    <row r="780" spans="1:24" s="169" customFormat="1" ht="13.8">
      <c r="A780" s="192" t="s">
        <v>1021</v>
      </c>
      <c r="B780" s="170" t="s">
        <v>675</v>
      </c>
      <c r="C780" s="183" t="str">
        <f t="shared" si="71"/>
        <v/>
      </c>
      <c r="D780" s="182" t="str">
        <f t="shared" si="72"/>
        <v/>
      </c>
      <c r="E780" s="206"/>
      <c r="F780" s="207"/>
      <c r="G780" s="207"/>
      <c r="H780" s="205"/>
      <c r="I780" s="167">
        <v>18209837206</v>
      </c>
      <c r="J780" s="166"/>
      <c r="K780" s="167">
        <v>17725421806</v>
      </c>
      <c r="L780" s="168">
        <v>484415400</v>
      </c>
      <c r="M780" s="168">
        <f t="shared" si="73"/>
        <v>18209837206</v>
      </c>
      <c r="N780" s="168"/>
      <c r="O780" s="167">
        <v>17401480716</v>
      </c>
      <c r="P780" s="167">
        <f t="shared" si="74"/>
        <v>17401480716</v>
      </c>
      <c r="Q780" s="167"/>
      <c r="S780" s="201">
        <f t="shared" si="75"/>
        <v>18209.837206</v>
      </c>
      <c r="T780" s="201">
        <f t="shared" si="76"/>
        <v>18209.837206</v>
      </c>
      <c r="U780" s="201">
        <f t="shared" si="76"/>
        <v>0</v>
      </c>
      <c r="V780" s="201">
        <f t="shared" si="76"/>
        <v>17401.480715999998</v>
      </c>
      <c r="W780" s="201">
        <f t="shared" si="76"/>
        <v>17401.480715999998</v>
      </c>
      <c r="X780" s="201">
        <f t="shared" si="76"/>
        <v>0</v>
      </c>
    </row>
    <row r="781" spans="1:24" s="169" customFormat="1" ht="13.8">
      <c r="A781" s="192"/>
      <c r="B781" s="170" t="s">
        <v>676</v>
      </c>
      <c r="C781" s="183" t="str">
        <f t="shared" si="71"/>
        <v/>
      </c>
      <c r="D781" s="182" t="str">
        <f t="shared" si="72"/>
        <v/>
      </c>
      <c r="E781" s="206"/>
      <c r="F781" s="207"/>
      <c r="G781" s="207"/>
      <c r="H781" s="205"/>
      <c r="I781" s="167">
        <v>15232991600</v>
      </c>
      <c r="J781" s="166"/>
      <c r="K781" s="167">
        <v>15876743200</v>
      </c>
      <c r="L781" s="168">
        <v>-643751600</v>
      </c>
      <c r="M781" s="168">
        <f t="shared" si="73"/>
        <v>15232991600</v>
      </c>
      <c r="N781" s="168"/>
      <c r="O781" s="167">
        <v>14537240000</v>
      </c>
      <c r="P781" s="167">
        <f t="shared" si="74"/>
        <v>14537240000</v>
      </c>
      <c r="Q781" s="167"/>
      <c r="S781" s="201">
        <f t="shared" si="75"/>
        <v>15232.991599999999</v>
      </c>
      <c r="T781" s="201">
        <f t="shared" si="76"/>
        <v>15232.991599999999</v>
      </c>
      <c r="U781" s="201">
        <f t="shared" si="76"/>
        <v>0</v>
      </c>
      <c r="V781" s="201">
        <f t="shared" si="76"/>
        <v>14537.24</v>
      </c>
      <c r="W781" s="201">
        <f t="shared" si="76"/>
        <v>14537.24</v>
      </c>
      <c r="X781" s="201">
        <f t="shared" si="76"/>
        <v>0</v>
      </c>
    </row>
    <row r="782" spans="1:24" s="169" customFormat="1" ht="13.8">
      <c r="A782" s="193"/>
      <c r="B782" s="187"/>
      <c r="C782" s="183" t="str">
        <f t="shared" si="71"/>
        <v/>
      </c>
      <c r="D782" s="182" t="str">
        <f t="shared" si="72"/>
        <v/>
      </c>
      <c r="E782" s="192" t="s">
        <v>666</v>
      </c>
      <c r="F782" s="192" t="s">
        <v>705</v>
      </c>
      <c r="G782" s="192" t="s">
        <v>976</v>
      </c>
      <c r="H782" s="210" t="s">
        <v>1440</v>
      </c>
      <c r="I782" s="167">
        <v>803000000</v>
      </c>
      <c r="J782" s="166"/>
      <c r="K782" s="167">
        <v>1010550000</v>
      </c>
      <c r="L782" s="168">
        <v>-207550000</v>
      </c>
      <c r="M782" s="168">
        <f t="shared" si="73"/>
        <v>803000000</v>
      </c>
      <c r="N782" s="168"/>
      <c r="O782" s="167">
        <v>595450000</v>
      </c>
      <c r="P782" s="167">
        <f t="shared" si="74"/>
        <v>595450000</v>
      </c>
      <c r="Q782" s="167"/>
      <c r="S782" s="201">
        <f t="shared" si="75"/>
        <v>803</v>
      </c>
      <c r="T782" s="201">
        <f t="shared" si="76"/>
        <v>803</v>
      </c>
      <c r="U782" s="201">
        <f t="shared" si="76"/>
        <v>0</v>
      </c>
      <c r="V782" s="201">
        <f t="shared" si="76"/>
        <v>595.45000000000005</v>
      </c>
      <c r="W782" s="201">
        <f t="shared" si="76"/>
        <v>595.45000000000005</v>
      </c>
      <c r="X782" s="201">
        <f t="shared" si="76"/>
        <v>0</v>
      </c>
    </row>
    <row r="783" spans="1:24" s="169" customFormat="1" ht="13.8">
      <c r="A783" s="194"/>
      <c r="B783" s="184"/>
      <c r="C783" s="183" t="str">
        <f t="shared" si="71"/>
        <v/>
      </c>
      <c r="D783" s="182" t="str">
        <f t="shared" si="72"/>
        <v/>
      </c>
      <c r="E783" s="192" t="s">
        <v>666</v>
      </c>
      <c r="F783" s="192" t="s">
        <v>705</v>
      </c>
      <c r="G783" s="192" t="s">
        <v>775</v>
      </c>
      <c r="H783" s="210" t="s">
        <v>1440</v>
      </c>
      <c r="I783" s="167">
        <v>14403991600</v>
      </c>
      <c r="J783" s="166"/>
      <c r="K783" s="167">
        <v>14866193200</v>
      </c>
      <c r="L783" s="168">
        <v>-462201600</v>
      </c>
      <c r="M783" s="168">
        <f t="shared" si="73"/>
        <v>14403991600</v>
      </c>
      <c r="N783" s="168"/>
      <c r="O783" s="167">
        <v>13941790000</v>
      </c>
      <c r="P783" s="167">
        <f t="shared" si="74"/>
        <v>13941790000</v>
      </c>
      <c r="Q783" s="167"/>
      <c r="S783" s="201">
        <f t="shared" si="75"/>
        <v>14403.991599999999</v>
      </c>
      <c r="T783" s="201">
        <f t="shared" si="76"/>
        <v>14403.991599999999</v>
      </c>
      <c r="U783" s="201">
        <f t="shared" si="76"/>
        <v>0</v>
      </c>
      <c r="V783" s="201">
        <f t="shared" si="76"/>
        <v>13941.79</v>
      </c>
      <c r="W783" s="201">
        <f t="shared" si="76"/>
        <v>13941.79</v>
      </c>
      <c r="X783" s="201">
        <f t="shared" si="76"/>
        <v>0</v>
      </c>
    </row>
    <row r="784" spans="1:24" s="169" customFormat="1" ht="13.8">
      <c r="A784" s="195"/>
      <c r="B784" s="188"/>
      <c r="C784" s="183" t="str">
        <f t="shared" si="71"/>
        <v/>
      </c>
      <c r="D784" s="182" t="str">
        <f t="shared" si="72"/>
        <v/>
      </c>
      <c r="E784" s="192" t="s">
        <v>679</v>
      </c>
      <c r="F784" s="192" t="s">
        <v>705</v>
      </c>
      <c r="G784" s="192" t="s">
        <v>775</v>
      </c>
      <c r="H784" s="210" t="s">
        <v>1440</v>
      </c>
      <c r="I784" s="167">
        <v>26000000</v>
      </c>
      <c r="J784" s="166"/>
      <c r="K784" s="166"/>
      <c r="L784" s="168">
        <v>26000000</v>
      </c>
      <c r="M784" s="168">
        <f t="shared" si="73"/>
        <v>26000000</v>
      </c>
      <c r="N784" s="168"/>
      <c r="O784" s="166"/>
      <c r="P784" s="167">
        <f t="shared" si="74"/>
        <v>0</v>
      </c>
      <c r="Q784" s="166"/>
      <c r="S784" s="201">
        <f t="shared" si="75"/>
        <v>26</v>
      </c>
      <c r="T784" s="201">
        <f t="shared" si="76"/>
        <v>26</v>
      </c>
      <c r="U784" s="201">
        <f t="shared" si="76"/>
        <v>0</v>
      </c>
      <c r="V784" s="201">
        <f t="shared" si="76"/>
        <v>0</v>
      </c>
      <c r="W784" s="201">
        <f t="shared" si="76"/>
        <v>0</v>
      </c>
      <c r="X784" s="201">
        <f t="shared" si="76"/>
        <v>0</v>
      </c>
    </row>
    <row r="785" spans="1:24" s="169" customFormat="1" ht="13.8">
      <c r="A785" s="192"/>
      <c r="B785" s="170" t="s">
        <v>680</v>
      </c>
      <c r="C785" s="183" t="str">
        <f t="shared" si="71"/>
        <v/>
      </c>
      <c r="D785" s="182" t="str">
        <f t="shared" si="72"/>
        <v/>
      </c>
      <c r="E785" s="206"/>
      <c r="F785" s="207"/>
      <c r="G785" s="207"/>
      <c r="H785" s="205"/>
      <c r="I785" s="167">
        <v>2976845606</v>
      </c>
      <c r="J785" s="166"/>
      <c r="K785" s="167">
        <v>1848678606</v>
      </c>
      <c r="L785" s="168">
        <v>1128167000</v>
      </c>
      <c r="M785" s="168">
        <f t="shared" si="73"/>
        <v>2976845606</v>
      </c>
      <c r="N785" s="168"/>
      <c r="O785" s="167">
        <v>2864240716</v>
      </c>
      <c r="P785" s="167">
        <f t="shared" si="74"/>
        <v>2864240716</v>
      </c>
      <c r="Q785" s="167"/>
      <c r="S785" s="201">
        <f t="shared" si="75"/>
        <v>2976.8456059999999</v>
      </c>
      <c r="T785" s="201">
        <f t="shared" si="76"/>
        <v>2976.8456059999999</v>
      </c>
      <c r="U785" s="201">
        <f t="shared" si="76"/>
        <v>0</v>
      </c>
      <c r="V785" s="201">
        <f t="shared" si="76"/>
        <v>2864.2407159999998</v>
      </c>
      <c r="W785" s="201">
        <f t="shared" si="76"/>
        <v>2864.2407159999998</v>
      </c>
      <c r="X785" s="201">
        <f t="shared" si="76"/>
        <v>0</v>
      </c>
    </row>
    <row r="786" spans="1:24" s="169" customFormat="1" ht="13.8">
      <c r="A786" s="193"/>
      <c r="B786" s="187"/>
      <c r="C786" s="183" t="str">
        <f t="shared" si="71"/>
        <v/>
      </c>
      <c r="D786" s="182" t="str">
        <f t="shared" si="72"/>
        <v/>
      </c>
      <c r="E786" s="192" t="s">
        <v>681</v>
      </c>
      <c r="F786" s="192" t="s">
        <v>705</v>
      </c>
      <c r="G786" s="192" t="s">
        <v>976</v>
      </c>
      <c r="H786" s="210" t="s">
        <v>1440</v>
      </c>
      <c r="I786" s="167">
        <v>116550000</v>
      </c>
      <c r="J786" s="166"/>
      <c r="K786" s="167">
        <v>116550000</v>
      </c>
      <c r="L786" s="171"/>
      <c r="M786" s="168">
        <f t="shared" si="73"/>
        <v>116550000</v>
      </c>
      <c r="N786" s="171"/>
      <c r="O786" s="167">
        <v>116550000</v>
      </c>
      <c r="P786" s="167">
        <f t="shared" si="74"/>
        <v>116550000</v>
      </c>
      <c r="Q786" s="167"/>
      <c r="S786" s="201">
        <f t="shared" si="75"/>
        <v>116.55</v>
      </c>
      <c r="T786" s="201">
        <f t="shared" si="76"/>
        <v>116.55</v>
      </c>
      <c r="U786" s="201">
        <f t="shared" si="76"/>
        <v>0</v>
      </c>
      <c r="V786" s="201">
        <f t="shared" si="76"/>
        <v>116.55</v>
      </c>
      <c r="W786" s="201">
        <f t="shared" si="76"/>
        <v>116.55</v>
      </c>
      <c r="X786" s="201">
        <f t="shared" si="76"/>
        <v>0</v>
      </c>
    </row>
    <row r="787" spans="1:24" s="169" customFormat="1" ht="13.8">
      <c r="A787" s="195"/>
      <c r="B787" s="188"/>
      <c r="C787" s="183" t="str">
        <f t="shared" si="71"/>
        <v/>
      </c>
      <c r="D787" s="182" t="str">
        <f t="shared" si="72"/>
        <v/>
      </c>
      <c r="E787" s="192" t="s">
        <v>681</v>
      </c>
      <c r="F787" s="192" t="s">
        <v>705</v>
      </c>
      <c r="G787" s="192" t="s">
        <v>775</v>
      </c>
      <c r="H787" s="210" t="s">
        <v>1440</v>
      </c>
      <c r="I787" s="167">
        <v>2860295606</v>
      </c>
      <c r="J787" s="166"/>
      <c r="K787" s="167">
        <v>1732128606</v>
      </c>
      <c r="L787" s="168">
        <v>1128167000</v>
      </c>
      <c r="M787" s="168">
        <f t="shared" si="73"/>
        <v>2860295606</v>
      </c>
      <c r="N787" s="168"/>
      <c r="O787" s="167">
        <v>2747690716</v>
      </c>
      <c r="P787" s="167">
        <f t="shared" si="74"/>
        <v>2747690716</v>
      </c>
      <c r="Q787" s="167"/>
      <c r="S787" s="201">
        <f t="shared" si="75"/>
        <v>2860.2956060000001</v>
      </c>
      <c r="T787" s="201">
        <f t="shared" si="76"/>
        <v>2860.2956060000001</v>
      </c>
      <c r="U787" s="201">
        <f t="shared" si="76"/>
        <v>0</v>
      </c>
      <c r="V787" s="201">
        <f t="shared" si="76"/>
        <v>2747.6907160000001</v>
      </c>
      <c r="W787" s="201">
        <f t="shared" si="76"/>
        <v>2747.6907160000001</v>
      </c>
      <c r="X787" s="201">
        <f t="shared" si="76"/>
        <v>0</v>
      </c>
    </row>
    <row r="788" spans="1:24" s="169" customFormat="1" ht="13.8">
      <c r="A788" s="192" t="s">
        <v>1022</v>
      </c>
      <c r="B788" s="170" t="s">
        <v>731</v>
      </c>
      <c r="C788" s="183" t="str">
        <f t="shared" si="71"/>
        <v/>
      </c>
      <c r="D788" s="182" t="str">
        <f t="shared" si="72"/>
        <v/>
      </c>
      <c r="E788" s="206"/>
      <c r="F788" s="207"/>
      <c r="G788" s="207"/>
      <c r="H788" s="205"/>
      <c r="I788" s="167">
        <v>1200580000</v>
      </c>
      <c r="J788" s="166"/>
      <c r="K788" s="167">
        <v>600290000</v>
      </c>
      <c r="L788" s="168">
        <v>600290000</v>
      </c>
      <c r="M788" s="168">
        <f t="shared" si="73"/>
        <v>1200580000</v>
      </c>
      <c r="N788" s="168"/>
      <c r="O788" s="167">
        <v>202785000</v>
      </c>
      <c r="P788" s="167">
        <f t="shared" si="74"/>
        <v>202785000</v>
      </c>
      <c r="Q788" s="167"/>
      <c r="S788" s="201">
        <f t="shared" si="75"/>
        <v>1200.58</v>
      </c>
      <c r="T788" s="201">
        <f t="shared" si="76"/>
        <v>1200.58</v>
      </c>
      <c r="U788" s="201">
        <f t="shared" si="76"/>
        <v>0</v>
      </c>
      <c r="V788" s="201">
        <f t="shared" si="76"/>
        <v>202.785</v>
      </c>
      <c r="W788" s="201">
        <f t="shared" si="76"/>
        <v>202.785</v>
      </c>
      <c r="X788" s="201">
        <f t="shared" si="76"/>
        <v>0</v>
      </c>
    </row>
    <row r="789" spans="1:24" s="169" customFormat="1" ht="13.8">
      <c r="A789" s="193"/>
      <c r="B789" s="187"/>
      <c r="C789" s="183" t="str">
        <f t="shared" si="71"/>
        <v/>
      </c>
      <c r="D789" s="182" t="str">
        <f t="shared" si="72"/>
        <v/>
      </c>
      <c r="E789" s="192" t="s">
        <v>667</v>
      </c>
      <c r="F789" s="192" t="s">
        <v>705</v>
      </c>
      <c r="G789" s="192" t="s">
        <v>775</v>
      </c>
      <c r="H789" s="210" t="s">
        <v>1455</v>
      </c>
      <c r="I789" s="167">
        <v>1107580000</v>
      </c>
      <c r="J789" s="166"/>
      <c r="K789" s="167">
        <v>553790000</v>
      </c>
      <c r="L789" s="168">
        <v>553790000</v>
      </c>
      <c r="M789" s="168">
        <f t="shared" si="73"/>
        <v>1107580000</v>
      </c>
      <c r="N789" s="168"/>
      <c r="O789" s="167">
        <v>175785000</v>
      </c>
      <c r="P789" s="167">
        <f t="shared" si="74"/>
        <v>175785000</v>
      </c>
      <c r="Q789" s="167"/>
      <c r="S789" s="201">
        <f t="shared" si="75"/>
        <v>1107.58</v>
      </c>
      <c r="T789" s="201">
        <f t="shared" si="76"/>
        <v>1107.58</v>
      </c>
      <c r="U789" s="201">
        <f t="shared" si="76"/>
        <v>0</v>
      </c>
      <c r="V789" s="201">
        <f t="shared" si="76"/>
        <v>175.785</v>
      </c>
      <c r="W789" s="201">
        <f t="shared" si="76"/>
        <v>175.785</v>
      </c>
      <c r="X789" s="201">
        <f t="shared" si="76"/>
        <v>0</v>
      </c>
    </row>
    <row r="790" spans="1:24" s="169" customFormat="1" ht="13.8">
      <c r="A790" s="195"/>
      <c r="B790" s="188"/>
      <c r="C790" s="183" t="str">
        <f t="shared" ref="C790:C853" si="77">IF(B790&lt;&gt;"",IF(AND(LEFT(B790,1)&gt;="0",LEFT(B790,1)&lt;="9"),LEFT(B790,7),""),"")</f>
        <v/>
      </c>
      <c r="D790" s="182" t="str">
        <f t="shared" si="72"/>
        <v/>
      </c>
      <c r="E790" s="192" t="s">
        <v>667</v>
      </c>
      <c r="F790" s="192" t="s">
        <v>705</v>
      </c>
      <c r="G790" s="192" t="s">
        <v>981</v>
      </c>
      <c r="H790" s="210" t="s">
        <v>1455</v>
      </c>
      <c r="I790" s="167">
        <v>93000000</v>
      </c>
      <c r="J790" s="166"/>
      <c r="K790" s="167">
        <v>46500000</v>
      </c>
      <c r="L790" s="168">
        <v>46500000</v>
      </c>
      <c r="M790" s="168">
        <f t="shared" si="73"/>
        <v>93000000</v>
      </c>
      <c r="N790" s="168"/>
      <c r="O790" s="167">
        <v>27000000</v>
      </c>
      <c r="P790" s="167">
        <f t="shared" si="74"/>
        <v>27000000</v>
      </c>
      <c r="Q790" s="167"/>
      <c r="S790" s="201">
        <f t="shared" si="75"/>
        <v>93</v>
      </c>
      <c r="T790" s="201">
        <f t="shared" si="76"/>
        <v>93</v>
      </c>
      <c r="U790" s="201">
        <f t="shared" si="76"/>
        <v>0</v>
      </c>
      <c r="V790" s="201">
        <f t="shared" si="76"/>
        <v>27</v>
      </c>
      <c r="W790" s="201">
        <f t="shared" si="76"/>
        <v>27</v>
      </c>
      <c r="X790" s="201">
        <f t="shared" si="76"/>
        <v>0</v>
      </c>
    </row>
    <row r="791" spans="1:24" s="169" customFormat="1" ht="26.4">
      <c r="A791" s="192" t="s">
        <v>1023</v>
      </c>
      <c r="B791" s="170" t="s">
        <v>1024</v>
      </c>
      <c r="C791" s="183" t="str">
        <f t="shared" si="77"/>
        <v>1048058</v>
      </c>
      <c r="D791" s="182" t="str">
        <f t="shared" ref="D791:D854" si="78">IF(C791&lt;&gt;"",RIGHT(B791,LEN(B791)-7),"")</f>
        <v>-Trung tâm y tẽ huyện Đak hà</v>
      </c>
      <c r="E791" s="206"/>
      <c r="F791" s="207"/>
      <c r="G791" s="207"/>
      <c r="H791" s="205"/>
      <c r="I791" s="167">
        <v>12064365403</v>
      </c>
      <c r="J791" s="166"/>
      <c r="K791" s="167">
        <v>11134485403</v>
      </c>
      <c r="L791" s="168">
        <v>929880000</v>
      </c>
      <c r="M791" s="168">
        <f t="shared" ref="M791:M854" si="79">I791-N791</f>
        <v>12064365403</v>
      </c>
      <c r="N791" s="168"/>
      <c r="O791" s="167">
        <v>11828545403</v>
      </c>
      <c r="P791" s="167">
        <f t="shared" ref="P791:P854" si="80">O791-Q791</f>
        <v>11828545403</v>
      </c>
      <c r="Q791" s="167"/>
      <c r="S791" s="201">
        <f t="shared" ref="S791:S854" si="81">I791/1000000</f>
        <v>12064.365403</v>
      </c>
      <c r="T791" s="201">
        <f t="shared" si="76"/>
        <v>12064.365403</v>
      </c>
      <c r="U791" s="201">
        <f t="shared" si="76"/>
        <v>0</v>
      </c>
      <c r="V791" s="201">
        <f t="shared" si="76"/>
        <v>11828.545403</v>
      </c>
      <c r="W791" s="201">
        <f t="shared" si="76"/>
        <v>11828.545403</v>
      </c>
      <c r="X791" s="201">
        <f t="shared" si="76"/>
        <v>0</v>
      </c>
    </row>
    <row r="792" spans="1:24" s="169" customFormat="1" ht="13.8">
      <c r="A792" s="192" t="s">
        <v>1025</v>
      </c>
      <c r="B792" s="170" t="s">
        <v>675</v>
      </c>
      <c r="C792" s="183" t="str">
        <f t="shared" si="77"/>
        <v/>
      </c>
      <c r="D792" s="182" t="str">
        <f t="shared" si="78"/>
        <v/>
      </c>
      <c r="E792" s="206"/>
      <c r="F792" s="207"/>
      <c r="G792" s="207"/>
      <c r="H792" s="205"/>
      <c r="I792" s="167">
        <v>11687555403</v>
      </c>
      <c r="J792" s="166"/>
      <c r="K792" s="167">
        <v>11134485403</v>
      </c>
      <c r="L792" s="168">
        <v>553070000</v>
      </c>
      <c r="M792" s="168">
        <f t="shared" si="79"/>
        <v>11687555403</v>
      </c>
      <c r="N792" s="168"/>
      <c r="O792" s="167">
        <v>11687555403</v>
      </c>
      <c r="P792" s="167">
        <f t="shared" si="80"/>
        <v>11687555403</v>
      </c>
      <c r="Q792" s="167"/>
      <c r="S792" s="201">
        <f t="shared" si="81"/>
        <v>11687.555403</v>
      </c>
      <c r="T792" s="201">
        <f t="shared" si="76"/>
        <v>11687.555403</v>
      </c>
      <c r="U792" s="201">
        <f t="shared" si="76"/>
        <v>0</v>
      </c>
      <c r="V792" s="201">
        <f t="shared" si="76"/>
        <v>11687.555403</v>
      </c>
      <c r="W792" s="201">
        <f t="shared" si="76"/>
        <v>11687.555403</v>
      </c>
      <c r="X792" s="201">
        <f t="shared" si="76"/>
        <v>0</v>
      </c>
    </row>
    <row r="793" spans="1:24" s="169" customFormat="1" ht="13.8">
      <c r="A793" s="192"/>
      <c r="B793" s="170" t="s">
        <v>676</v>
      </c>
      <c r="C793" s="183" t="str">
        <f t="shared" si="77"/>
        <v/>
      </c>
      <c r="D793" s="182" t="str">
        <f t="shared" si="78"/>
        <v/>
      </c>
      <c r="E793" s="206"/>
      <c r="F793" s="207"/>
      <c r="G793" s="207"/>
      <c r="H793" s="205"/>
      <c r="I793" s="167">
        <v>7287602000</v>
      </c>
      <c r="J793" s="166"/>
      <c r="K793" s="167">
        <v>8487000000</v>
      </c>
      <c r="L793" s="168">
        <v>-1199398000</v>
      </c>
      <c r="M793" s="168">
        <f t="shared" si="79"/>
        <v>7287602000</v>
      </c>
      <c r="N793" s="168"/>
      <c r="O793" s="167">
        <v>7287602000</v>
      </c>
      <c r="P793" s="167">
        <f t="shared" si="80"/>
        <v>7287602000</v>
      </c>
      <c r="Q793" s="167"/>
      <c r="S793" s="201">
        <f t="shared" si="81"/>
        <v>7287.6019999999999</v>
      </c>
      <c r="T793" s="201">
        <f t="shared" si="76"/>
        <v>7287.6019999999999</v>
      </c>
      <c r="U793" s="201">
        <f t="shared" si="76"/>
        <v>0</v>
      </c>
      <c r="V793" s="201">
        <f t="shared" si="76"/>
        <v>7287.6019999999999</v>
      </c>
      <c r="W793" s="201">
        <f t="shared" si="76"/>
        <v>7287.6019999999999</v>
      </c>
      <c r="X793" s="201">
        <f t="shared" si="76"/>
        <v>0</v>
      </c>
    </row>
    <row r="794" spans="1:24" s="169" customFormat="1" ht="13.8">
      <c r="A794" s="193"/>
      <c r="B794" s="187"/>
      <c r="C794" s="183" t="str">
        <f t="shared" si="77"/>
        <v/>
      </c>
      <c r="D794" s="182" t="str">
        <f t="shared" si="78"/>
        <v/>
      </c>
      <c r="E794" s="192" t="s">
        <v>666</v>
      </c>
      <c r="F794" s="192" t="s">
        <v>705</v>
      </c>
      <c r="G794" s="192" t="s">
        <v>976</v>
      </c>
      <c r="H794" s="210" t="s">
        <v>1440</v>
      </c>
      <c r="I794" s="167">
        <v>2004852000</v>
      </c>
      <c r="J794" s="166"/>
      <c r="K794" s="167">
        <v>2662000000</v>
      </c>
      <c r="L794" s="168">
        <v>-657148000</v>
      </c>
      <c r="M794" s="168">
        <f t="shared" si="79"/>
        <v>2004852000</v>
      </c>
      <c r="N794" s="168"/>
      <c r="O794" s="167">
        <v>2004852000</v>
      </c>
      <c r="P794" s="167">
        <f t="shared" si="80"/>
        <v>2004852000</v>
      </c>
      <c r="Q794" s="167"/>
      <c r="S794" s="201">
        <f t="shared" si="81"/>
        <v>2004.8520000000001</v>
      </c>
      <c r="T794" s="201">
        <f t="shared" ref="T794:X844" si="82">M794/1000000</f>
        <v>2004.8520000000001</v>
      </c>
      <c r="U794" s="201">
        <f t="shared" si="82"/>
        <v>0</v>
      </c>
      <c r="V794" s="201">
        <f t="shared" si="82"/>
        <v>2004.8520000000001</v>
      </c>
      <c r="W794" s="201">
        <f t="shared" si="82"/>
        <v>2004.8520000000001</v>
      </c>
      <c r="X794" s="201">
        <f t="shared" si="82"/>
        <v>0</v>
      </c>
    </row>
    <row r="795" spans="1:24" s="169" customFormat="1" ht="13.8">
      <c r="A795" s="194"/>
      <c r="B795" s="184"/>
      <c r="C795" s="183" t="str">
        <f t="shared" si="77"/>
        <v/>
      </c>
      <c r="D795" s="182" t="str">
        <f t="shared" si="78"/>
        <v/>
      </c>
      <c r="E795" s="192" t="s">
        <v>666</v>
      </c>
      <c r="F795" s="192" t="s">
        <v>705</v>
      </c>
      <c r="G795" s="192" t="s">
        <v>775</v>
      </c>
      <c r="H795" s="210" t="s">
        <v>1440</v>
      </c>
      <c r="I795" s="167">
        <v>5257750000</v>
      </c>
      <c r="J795" s="166"/>
      <c r="K795" s="167">
        <v>5825000000</v>
      </c>
      <c r="L795" s="168">
        <v>-567250000</v>
      </c>
      <c r="M795" s="168">
        <f t="shared" si="79"/>
        <v>5257750000</v>
      </c>
      <c r="N795" s="168"/>
      <c r="O795" s="167">
        <v>5257750000</v>
      </c>
      <c r="P795" s="167">
        <f t="shared" si="80"/>
        <v>5257750000</v>
      </c>
      <c r="Q795" s="167"/>
      <c r="S795" s="201">
        <f t="shared" si="81"/>
        <v>5257.75</v>
      </c>
      <c r="T795" s="201">
        <f t="shared" si="82"/>
        <v>5257.75</v>
      </c>
      <c r="U795" s="201">
        <f t="shared" si="82"/>
        <v>0</v>
      </c>
      <c r="V795" s="201">
        <f t="shared" si="82"/>
        <v>5257.75</v>
      </c>
      <c r="W795" s="201">
        <f t="shared" si="82"/>
        <v>5257.75</v>
      </c>
      <c r="X795" s="201">
        <f t="shared" si="82"/>
        <v>0</v>
      </c>
    </row>
    <row r="796" spans="1:24" s="169" customFormat="1" ht="13.8">
      <c r="A796" s="195"/>
      <c r="B796" s="188"/>
      <c r="C796" s="183" t="str">
        <f t="shared" si="77"/>
        <v/>
      </c>
      <c r="D796" s="182" t="str">
        <f t="shared" si="78"/>
        <v/>
      </c>
      <c r="E796" s="192" t="s">
        <v>679</v>
      </c>
      <c r="F796" s="192" t="s">
        <v>705</v>
      </c>
      <c r="G796" s="192" t="s">
        <v>775</v>
      </c>
      <c r="H796" s="210" t="s">
        <v>1440</v>
      </c>
      <c r="I796" s="167">
        <v>25000000</v>
      </c>
      <c r="J796" s="166"/>
      <c r="K796" s="166"/>
      <c r="L796" s="168">
        <v>25000000</v>
      </c>
      <c r="M796" s="168">
        <f t="shared" si="79"/>
        <v>25000000</v>
      </c>
      <c r="N796" s="168"/>
      <c r="O796" s="167">
        <v>25000000</v>
      </c>
      <c r="P796" s="167">
        <f t="shared" si="80"/>
        <v>25000000</v>
      </c>
      <c r="Q796" s="167"/>
      <c r="S796" s="201">
        <f t="shared" si="81"/>
        <v>25</v>
      </c>
      <c r="T796" s="201">
        <f t="shared" si="82"/>
        <v>25</v>
      </c>
      <c r="U796" s="201">
        <f t="shared" si="82"/>
        <v>0</v>
      </c>
      <c r="V796" s="201">
        <f t="shared" si="82"/>
        <v>25</v>
      </c>
      <c r="W796" s="201">
        <f t="shared" si="82"/>
        <v>25</v>
      </c>
      <c r="X796" s="201">
        <f t="shared" si="82"/>
        <v>0</v>
      </c>
    </row>
    <row r="797" spans="1:24" s="169" customFormat="1" ht="13.8">
      <c r="A797" s="192"/>
      <c r="B797" s="170" t="s">
        <v>680</v>
      </c>
      <c r="C797" s="183" t="str">
        <f t="shared" si="77"/>
        <v/>
      </c>
      <c r="D797" s="182" t="str">
        <f t="shared" si="78"/>
        <v/>
      </c>
      <c r="E797" s="206"/>
      <c r="F797" s="207"/>
      <c r="G797" s="207"/>
      <c r="H797" s="205"/>
      <c r="I797" s="167">
        <v>4399953403</v>
      </c>
      <c r="J797" s="166"/>
      <c r="K797" s="167">
        <v>2647485403</v>
      </c>
      <c r="L797" s="168">
        <v>1752468000</v>
      </c>
      <c r="M797" s="168">
        <f t="shared" si="79"/>
        <v>4399953403</v>
      </c>
      <c r="N797" s="168"/>
      <c r="O797" s="167">
        <v>4399953403</v>
      </c>
      <c r="P797" s="167">
        <f t="shared" si="80"/>
        <v>4399953403</v>
      </c>
      <c r="Q797" s="167"/>
      <c r="S797" s="201">
        <f t="shared" si="81"/>
        <v>4399.9534030000004</v>
      </c>
      <c r="T797" s="201">
        <f t="shared" si="82"/>
        <v>4399.9534030000004</v>
      </c>
      <c r="U797" s="201">
        <f t="shared" si="82"/>
        <v>0</v>
      </c>
      <c r="V797" s="201">
        <f t="shared" si="82"/>
        <v>4399.9534030000004</v>
      </c>
      <c r="W797" s="201">
        <f t="shared" si="82"/>
        <v>4399.9534030000004</v>
      </c>
      <c r="X797" s="201">
        <f t="shared" si="82"/>
        <v>0</v>
      </c>
    </row>
    <row r="798" spans="1:24" s="169" customFormat="1" ht="13.8">
      <c r="A798" s="193"/>
      <c r="B798" s="187"/>
      <c r="C798" s="183" t="str">
        <f t="shared" si="77"/>
        <v/>
      </c>
      <c r="D798" s="182" t="str">
        <f t="shared" si="78"/>
        <v/>
      </c>
      <c r="E798" s="192" t="s">
        <v>681</v>
      </c>
      <c r="F798" s="192" t="s">
        <v>705</v>
      </c>
      <c r="G798" s="192" t="s">
        <v>976</v>
      </c>
      <c r="H798" s="210" t="s">
        <v>1440</v>
      </c>
      <c r="I798" s="167">
        <v>1381616000</v>
      </c>
      <c r="J798" s="166"/>
      <c r="K798" s="167">
        <v>657148000</v>
      </c>
      <c r="L798" s="168">
        <v>724468000</v>
      </c>
      <c r="M798" s="168">
        <f t="shared" si="79"/>
        <v>1381616000</v>
      </c>
      <c r="N798" s="168"/>
      <c r="O798" s="167">
        <v>1381616000</v>
      </c>
      <c r="P798" s="167">
        <f t="shared" si="80"/>
        <v>1381616000</v>
      </c>
      <c r="Q798" s="167"/>
      <c r="S798" s="201">
        <f t="shared" si="81"/>
        <v>1381.616</v>
      </c>
      <c r="T798" s="201">
        <f t="shared" si="82"/>
        <v>1381.616</v>
      </c>
      <c r="U798" s="201">
        <f t="shared" si="82"/>
        <v>0</v>
      </c>
      <c r="V798" s="201">
        <f t="shared" si="82"/>
        <v>1381.616</v>
      </c>
      <c r="W798" s="201">
        <f t="shared" si="82"/>
        <v>1381.616</v>
      </c>
      <c r="X798" s="201">
        <f t="shared" si="82"/>
        <v>0</v>
      </c>
    </row>
    <row r="799" spans="1:24" s="169" customFormat="1" ht="13.8">
      <c r="A799" s="195"/>
      <c r="B799" s="188"/>
      <c r="C799" s="183" t="str">
        <f t="shared" si="77"/>
        <v/>
      </c>
      <c r="D799" s="182" t="str">
        <f t="shared" si="78"/>
        <v/>
      </c>
      <c r="E799" s="192" t="s">
        <v>681</v>
      </c>
      <c r="F799" s="192" t="s">
        <v>705</v>
      </c>
      <c r="G799" s="192" t="s">
        <v>775</v>
      </c>
      <c r="H799" s="210" t="s">
        <v>1440</v>
      </c>
      <c r="I799" s="167">
        <v>3018337403</v>
      </c>
      <c r="J799" s="166"/>
      <c r="K799" s="167">
        <v>1990337403</v>
      </c>
      <c r="L799" s="168">
        <v>1028000000</v>
      </c>
      <c r="M799" s="168">
        <f t="shared" si="79"/>
        <v>3018337403</v>
      </c>
      <c r="N799" s="168"/>
      <c r="O799" s="167">
        <v>3018337403</v>
      </c>
      <c r="P799" s="167">
        <f t="shared" si="80"/>
        <v>3018337403</v>
      </c>
      <c r="Q799" s="167"/>
      <c r="S799" s="201">
        <f t="shared" si="81"/>
        <v>3018.337403</v>
      </c>
      <c r="T799" s="201">
        <f t="shared" si="82"/>
        <v>3018.337403</v>
      </c>
      <c r="U799" s="201">
        <f t="shared" si="82"/>
        <v>0</v>
      </c>
      <c r="V799" s="201">
        <f t="shared" si="82"/>
        <v>3018.337403</v>
      </c>
      <c r="W799" s="201">
        <f t="shared" si="82"/>
        <v>3018.337403</v>
      </c>
      <c r="X799" s="201">
        <f t="shared" si="82"/>
        <v>0</v>
      </c>
    </row>
    <row r="800" spans="1:24" s="169" customFormat="1" ht="13.8">
      <c r="A800" s="192" t="s">
        <v>1026</v>
      </c>
      <c r="B800" s="170" t="s">
        <v>731</v>
      </c>
      <c r="C800" s="183" t="str">
        <f t="shared" si="77"/>
        <v/>
      </c>
      <c r="D800" s="182" t="str">
        <f t="shared" si="78"/>
        <v/>
      </c>
      <c r="E800" s="206"/>
      <c r="F800" s="207"/>
      <c r="G800" s="207"/>
      <c r="H800" s="205"/>
      <c r="I800" s="167">
        <v>376810000</v>
      </c>
      <c r="J800" s="166"/>
      <c r="K800" s="166"/>
      <c r="L800" s="168">
        <v>376810000</v>
      </c>
      <c r="M800" s="168">
        <f t="shared" si="79"/>
        <v>376810000</v>
      </c>
      <c r="N800" s="168"/>
      <c r="O800" s="167">
        <v>140990000</v>
      </c>
      <c r="P800" s="167">
        <f t="shared" si="80"/>
        <v>140990000</v>
      </c>
      <c r="Q800" s="167"/>
      <c r="S800" s="201">
        <f t="shared" si="81"/>
        <v>376.81</v>
      </c>
      <c r="T800" s="201">
        <f t="shared" si="82"/>
        <v>376.81</v>
      </c>
      <c r="U800" s="201">
        <f t="shared" si="82"/>
        <v>0</v>
      </c>
      <c r="V800" s="201">
        <f t="shared" si="82"/>
        <v>140.99</v>
      </c>
      <c r="W800" s="201">
        <f t="shared" si="82"/>
        <v>140.99</v>
      </c>
      <c r="X800" s="201">
        <f t="shared" si="82"/>
        <v>0</v>
      </c>
    </row>
    <row r="801" spans="1:24" s="169" customFormat="1" ht="13.8">
      <c r="A801" s="193"/>
      <c r="B801" s="187"/>
      <c r="C801" s="183" t="str">
        <f t="shared" si="77"/>
        <v/>
      </c>
      <c r="D801" s="182" t="str">
        <f t="shared" si="78"/>
        <v/>
      </c>
      <c r="E801" s="192" t="s">
        <v>667</v>
      </c>
      <c r="F801" s="192" t="s">
        <v>705</v>
      </c>
      <c r="G801" s="192" t="s">
        <v>775</v>
      </c>
      <c r="H801" s="210" t="s">
        <v>1455</v>
      </c>
      <c r="I801" s="167">
        <v>340310000</v>
      </c>
      <c r="J801" s="166"/>
      <c r="K801" s="166"/>
      <c r="L801" s="168">
        <v>340310000</v>
      </c>
      <c r="M801" s="168">
        <f t="shared" si="79"/>
        <v>340310000</v>
      </c>
      <c r="N801" s="168"/>
      <c r="O801" s="167">
        <v>106490000</v>
      </c>
      <c r="P801" s="167">
        <f t="shared" si="80"/>
        <v>106490000</v>
      </c>
      <c r="Q801" s="167"/>
      <c r="S801" s="201">
        <f t="shared" si="81"/>
        <v>340.31</v>
      </c>
      <c r="T801" s="201">
        <f t="shared" si="82"/>
        <v>340.31</v>
      </c>
      <c r="U801" s="201">
        <f t="shared" si="82"/>
        <v>0</v>
      </c>
      <c r="V801" s="201">
        <f t="shared" si="82"/>
        <v>106.49</v>
      </c>
      <c r="W801" s="201">
        <f t="shared" si="82"/>
        <v>106.49</v>
      </c>
      <c r="X801" s="201">
        <f t="shared" si="82"/>
        <v>0</v>
      </c>
    </row>
    <row r="802" spans="1:24" s="169" customFormat="1" ht="13.8">
      <c r="A802" s="195"/>
      <c r="B802" s="188"/>
      <c r="C802" s="183" t="str">
        <f t="shared" si="77"/>
        <v/>
      </c>
      <c r="D802" s="182" t="str">
        <f t="shared" si="78"/>
        <v/>
      </c>
      <c r="E802" s="192" t="s">
        <v>667</v>
      </c>
      <c r="F802" s="192" t="s">
        <v>705</v>
      </c>
      <c r="G802" s="192" t="s">
        <v>981</v>
      </c>
      <c r="H802" s="210" t="s">
        <v>1455</v>
      </c>
      <c r="I802" s="167">
        <v>36500000</v>
      </c>
      <c r="J802" s="166"/>
      <c r="K802" s="166"/>
      <c r="L802" s="168">
        <v>36500000</v>
      </c>
      <c r="M802" s="168">
        <f t="shared" si="79"/>
        <v>36500000</v>
      </c>
      <c r="N802" s="168"/>
      <c r="O802" s="167">
        <v>34500000</v>
      </c>
      <c r="P802" s="167">
        <f t="shared" si="80"/>
        <v>34500000</v>
      </c>
      <c r="Q802" s="167"/>
      <c r="S802" s="201">
        <f t="shared" si="81"/>
        <v>36.5</v>
      </c>
      <c r="T802" s="201">
        <f t="shared" si="82"/>
        <v>36.5</v>
      </c>
      <c r="U802" s="201">
        <f t="shared" si="82"/>
        <v>0</v>
      </c>
      <c r="V802" s="201">
        <f t="shared" si="82"/>
        <v>34.5</v>
      </c>
      <c r="W802" s="201">
        <f t="shared" si="82"/>
        <v>34.5</v>
      </c>
      <c r="X802" s="201">
        <f t="shared" si="82"/>
        <v>0</v>
      </c>
    </row>
    <row r="803" spans="1:24" s="169" customFormat="1" ht="26.4">
      <c r="A803" s="192" t="s">
        <v>1027</v>
      </c>
      <c r="B803" s="165" t="s">
        <v>1028</v>
      </c>
      <c r="C803" s="183" t="str">
        <f t="shared" si="77"/>
        <v>1048059</v>
      </c>
      <c r="D803" s="182" t="str">
        <f t="shared" si="78"/>
        <v>-Trung tâm kiềm soát bệnh tật :ỉnh Kon Tum</v>
      </c>
      <c r="E803" s="206"/>
      <c r="F803" s="207"/>
      <c r="G803" s="207"/>
      <c r="H803" s="205"/>
      <c r="I803" s="167">
        <v>7711291000</v>
      </c>
      <c r="J803" s="166"/>
      <c r="K803" s="167">
        <v>6662000000</v>
      </c>
      <c r="L803" s="168">
        <v>1049291000</v>
      </c>
      <c r="M803" s="168">
        <f t="shared" si="79"/>
        <v>7711291000</v>
      </c>
      <c r="N803" s="168"/>
      <c r="O803" s="167">
        <v>6886885750</v>
      </c>
      <c r="P803" s="167">
        <f t="shared" si="80"/>
        <v>6886885750</v>
      </c>
      <c r="Q803" s="167"/>
      <c r="S803" s="201">
        <f t="shared" si="81"/>
        <v>7711.2910000000002</v>
      </c>
      <c r="T803" s="201">
        <f t="shared" si="82"/>
        <v>7711.2910000000002</v>
      </c>
      <c r="U803" s="201">
        <f t="shared" si="82"/>
        <v>0</v>
      </c>
      <c r="V803" s="201">
        <f t="shared" si="82"/>
        <v>6886.8857500000004</v>
      </c>
      <c r="W803" s="201">
        <f t="shared" si="82"/>
        <v>6886.8857500000004</v>
      </c>
      <c r="X803" s="201">
        <f t="shared" si="82"/>
        <v>0</v>
      </c>
    </row>
    <row r="804" spans="1:24" s="169" customFormat="1" ht="13.8">
      <c r="A804" s="192" t="s">
        <v>1029</v>
      </c>
      <c r="B804" s="170" t="s">
        <v>675</v>
      </c>
      <c r="C804" s="183" t="str">
        <f t="shared" si="77"/>
        <v/>
      </c>
      <c r="D804" s="182" t="str">
        <f t="shared" si="78"/>
        <v/>
      </c>
      <c r="E804" s="206"/>
      <c r="F804" s="207"/>
      <c r="G804" s="207"/>
      <c r="H804" s="205"/>
      <c r="I804" s="167">
        <v>6770491000</v>
      </c>
      <c r="J804" s="166"/>
      <c r="K804" s="167">
        <v>6662000000</v>
      </c>
      <c r="L804" s="168">
        <v>108491000</v>
      </c>
      <c r="M804" s="168">
        <f t="shared" si="79"/>
        <v>6770491000</v>
      </c>
      <c r="N804" s="168"/>
      <c r="O804" s="167">
        <v>6745946750</v>
      </c>
      <c r="P804" s="167">
        <f t="shared" si="80"/>
        <v>6745946750</v>
      </c>
      <c r="Q804" s="167"/>
      <c r="S804" s="201">
        <f t="shared" si="81"/>
        <v>6770.491</v>
      </c>
      <c r="T804" s="201">
        <f t="shared" si="82"/>
        <v>6770.491</v>
      </c>
      <c r="U804" s="201">
        <f t="shared" si="82"/>
        <v>0</v>
      </c>
      <c r="V804" s="201">
        <f t="shared" si="82"/>
        <v>6745.9467500000001</v>
      </c>
      <c r="W804" s="201">
        <f t="shared" si="82"/>
        <v>6745.9467500000001</v>
      </c>
      <c r="X804" s="201">
        <f t="shared" si="82"/>
        <v>0</v>
      </c>
    </row>
    <row r="805" spans="1:24" s="169" customFormat="1" ht="13.8">
      <c r="A805" s="192"/>
      <c r="B805" s="170" t="s">
        <v>676</v>
      </c>
      <c r="C805" s="183" t="str">
        <f t="shared" si="77"/>
        <v/>
      </c>
      <c r="D805" s="182" t="str">
        <f t="shared" si="78"/>
        <v/>
      </c>
      <c r="E805" s="206"/>
      <c r="F805" s="207"/>
      <c r="G805" s="207"/>
      <c r="H805" s="205"/>
      <c r="I805" s="167">
        <v>4701000000</v>
      </c>
      <c r="J805" s="166"/>
      <c r="K805" s="167">
        <v>4701000000</v>
      </c>
      <c r="L805" s="171"/>
      <c r="M805" s="168">
        <f t="shared" si="79"/>
        <v>4701000000</v>
      </c>
      <c r="N805" s="171"/>
      <c r="O805" s="167">
        <v>4701000000</v>
      </c>
      <c r="P805" s="167">
        <f t="shared" si="80"/>
        <v>4701000000</v>
      </c>
      <c r="Q805" s="167"/>
      <c r="S805" s="201">
        <f t="shared" si="81"/>
        <v>4701</v>
      </c>
      <c r="T805" s="201">
        <f t="shared" si="82"/>
        <v>4701</v>
      </c>
      <c r="U805" s="201">
        <f t="shared" si="82"/>
        <v>0</v>
      </c>
      <c r="V805" s="201">
        <f t="shared" si="82"/>
        <v>4701</v>
      </c>
      <c r="W805" s="201">
        <f t="shared" si="82"/>
        <v>4701</v>
      </c>
      <c r="X805" s="201">
        <f t="shared" si="82"/>
        <v>0</v>
      </c>
    </row>
    <row r="806" spans="1:24" s="169" customFormat="1" ht="13.8">
      <c r="A806" s="192"/>
      <c r="B806" s="164"/>
      <c r="C806" s="183" t="str">
        <f t="shared" si="77"/>
        <v/>
      </c>
      <c r="D806" s="182" t="str">
        <f t="shared" si="78"/>
        <v/>
      </c>
      <c r="E806" s="192" t="s">
        <v>666</v>
      </c>
      <c r="F806" s="192" t="s">
        <v>705</v>
      </c>
      <c r="G806" s="192" t="s">
        <v>775</v>
      </c>
      <c r="H806" s="210" t="s">
        <v>1440</v>
      </c>
      <c r="I806" s="167">
        <v>4701000000</v>
      </c>
      <c r="J806" s="166"/>
      <c r="K806" s="167">
        <v>4701000000</v>
      </c>
      <c r="L806" s="171"/>
      <c r="M806" s="168">
        <f t="shared" si="79"/>
        <v>4701000000</v>
      </c>
      <c r="N806" s="171"/>
      <c r="O806" s="167">
        <v>4701000000</v>
      </c>
      <c r="P806" s="167">
        <f t="shared" si="80"/>
        <v>4701000000</v>
      </c>
      <c r="Q806" s="167"/>
      <c r="S806" s="201">
        <f t="shared" si="81"/>
        <v>4701</v>
      </c>
      <c r="T806" s="201">
        <f t="shared" si="82"/>
        <v>4701</v>
      </c>
      <c r="U806" s="201">
        <f t="shared" si="82"/>
        <v>0</v>
      </c>
      <c r="V806" s="201">
        <f t="shared" si="82"/>
        <v>4701</v>
      </c>
      <c r="W806" s="201">
        <f t="shared" si="82"/>
        <v>4701</v>
      </c>
      <c r="X806" s="201">
        <f t="shared" si="82"/>
        <v>0</v>
      </c>
    </row>
    <row r="807" spans="1:24" s="169" customFormat="1" ht="13.8">
      <c r="A807" s="192"/>
      <c r="B807" s="170" t="s">
        <v>680</v>
      </c>
      <c r="C807" s="183" t="str">
        <f t="shared" si="77"/>
        <v/>
      </c>
      <c r="D807" s="182" t="str">
        <f t="shared" si="78"/>
        <v/>
      </c>
      <c r="E807" s="206"/>
      <c r="F807" s="207"/>
      <c r="G807" s="207"/>
      <c r="H807" s="205"/>
      <c r="I807" s="167">
        <v>2069491000</v>
      </c>
      <c r="J807" s="166"/>
      <c r="K807" s="167">
        <v>1961000000</v>
      </c>
      <c r="L807" s="168">
        <v>108491000</v>
      </c>
      <c r="M807" s="168">
        <f t="shared" si="79"/>
        <v>2069491000</v>
      </c>
      <c r="N807" s="168"/>
      <c r="O807" s="167">
        <v>2044946750</v>
      </c>
      <c r="P807" s="167">
        <f t="shared" si="80"/>
        <v>2044946750</v>
      </c>
      <c r="Q807" s="167"/>
      <c r="S807" s="201">
        <f t="shared" si="81"/>
        <v>2069.491</v>
      </c>
      <c r="T807" s="201">
        <f t="shared" si="82"/>
        <v>2069.491</v>
      </c>
      <c r="U807" s="201">
        <f t="shared" si="82"/>
        <v>0</v>
      </c>
      <c r="V807" s="201">
        <f t="shared" si="82"/>
        <v>2044.9467500000001</v>
      </c>
      <c r="W807" s="201">
        <f t="shared" si="82"/>
        <v>2044.9467500000001</v>
      </c>
      <c r="X807" s="201">
        <f t="shared" si="82"/>
        <v>0</v>
      </c>
    </row>
    <row r="808" spans="1:24" s="169" customFormat="1" ht="13.8">
      <c r="A808" s="192"/>
      <c r="B808" s="164"/>
      <c r="C808" s="183" t="str">
        <f t="shared" si="77"/>
        <v/>
      </c>
      <c r="D808" s="182" t="str">
        <f t="shared" si="78"/>
        <v/>
      </c>
      <c r="E808" s="192" t="s">
        <v>681</v>
      </c>
      <c r="F808" s="192" t="s">
        <v>705</v>
      </c>
      <c r="G808" s="192" t="s">
        <v>775</v>
      </c>
      <c r="H808" s="210" t="s">
        <v>1440</v>
      </c>
      <c r="I808" s="167">
        <v>2069491000</v>
      </c>
      <c r="J808" s="166"/>
      <c r="K808" s="167">
        <v>1961000000</v>
      </c>
      <c r="L808" s="168">
        <v>108491000</v>
      </c>
      <c r="M808" s="168">
        <f t="shared" si="79"/>
        <v>2069491000</v>
      </c>
      <c r="N808" s="168"/>
      <c r="O808" s="167">
        <v>2044946750</v>
      </c>
      <c r="P808" s="167">
        <f t="shared" si="80"/>
        <v>2044946750</v>
      </c>
      <c r="Q808" s="167"/>
      <c r="S808" s="201">
        <f t="shared" si="81"/>
        <v>2069.491</v>
      </c>
      <c r="T808" s="201">
        <f t="shared" si="82"/>
        <v>2069.491</v>
      </c>
      <c r="U808" s="201">
        <f t="shared" si="82"/>
        <v>0</v>
      </c>
      <c r="V808" s="201">
        <f t="shared" si="82"/>
        <v>2044.9467500000001</v>
      </c>
      <c r="W808" s="201">
        <f t="shared" si="82"/>
        <v>2044.9467500000001</v>
      </c>
      <c r="X808" s="201">
        <f t="shared" si="82"/>
        <v>0</v>
      </c>
    </row>
    <row r="809" spans="1:24" s="169" customFormat="1" ht="13.8">
      <c r="A809" s="192"/>
      <c r="B809" s="173"/>
      <c r="C809" s="183" t="str">
        <f t="shared" si="77"/>
        <v/>
      </c>
      <c r="D809" s="182" t="str">
        <f t="shared" si="78"/>
        <v/>
      </c>
      <c r="E809" s="192"/>
      <c r="F809" s="192"/>
      <c r="G809" s="192"/>
      <c r="H809" s="210"/>
      <c r="I809" s="174"/>
      <c r="J809" s="174"/>
      <c r="K809" s="174"/>
      <c r="L809" s="175"/>
      <c r="M809" s="168">
        <f t="shared" si="79"/>
        <v>0</v>
      </c>
      <c r="N809" s="175"/>
      <c r="O809" s="174"/>
      <c r="P809" s="167">
        <f t="shared" si="80"/>
        <v>0</v>
      </c>
      <c r="Q809" s="174"/>
      <c r="S809" s="201">
        <f t="shared" si="81"/>
        <v>0</v>
      </c>
      <c r="T809" s="201">
        <f t="shared" si="82"/>
        <v>0</v>
      </c>
      <c r="U809" s="201">
        <f t="shared" si="82"/>
        <v>0</v>
      </c>
      <c r="V809" s="201">
        <f t="shared" si="82"/>
        <v>0</v>
      </c>
      <c r="W809" s="201">
        <f t="shared" si="82"/>
        <v>0</v>
      </c>
      <c r="X809" s="201">
        <f t="shared" si="82"/>
        <v>0</v>
      </c>
    </row>
    <row r="810" spans="1:24" s="169" customFormat="1" ht="13.8">
      <c r="A810" s="192" t="s">
        <v>1030</v>
      </c>
      <c r="B810" s="170" t="s">
        <v>701</v>
      </c>
      <c r="C810" s="183" t="str">
        <f t="shared" si="77"/>
        <v/>
      </c>
      <c r="D810" s="182" t="str">
        <f t="shared" si="78"/>
        <v/>
      </c>
      <c r="E810" s="206"/>
      <c r="F810" s="207"/>
      <c r="G810" s="207"/>
      <c r="H810" s="205"/>
      <c r="I810" s="167">
        <v>940800000</v>
      </c>
      <c r="J810" s="166"/>
      <c r="K810" s="166"/>
      <c r="L810" s="168">
        <v>940800000</v>
      </c>
      <c r="M810" s="168">
        <f t="shared" si="79"/>
        <v>940800000</v>
      </c>
      <c r="N810" s="168"/>
      <c r="O810" s="167">
        <v>140939000</v>
      </c>
      <c r="P810" s="167">
        <f t="shared" si="80"/>
        <v>140939000</v>
      </c>
      <c r="Q810" s="167"/>
      <c r="S810" s="201">
        <f t="shared" si="81"/>
        <v>940.8</v>
      </c>
      <c r="T810" s="201">
        <f t="shared" si="82"/>
        <v>940.8</v>
      </c>
      <c r="U810" s="201">
        <f t="shared" si="82"/>
        <v>0</v>
      </c>
      <c r="V810" s="201">
        <f t="shared" si="82"/>
        <v>140.93899999999999</v>
      </c>
      <c r="W810" s="201">
        <f t="shared" si="82"/>
        <v>140.93899999999999</v>
      </c>
      <c r="X810" s="201">
        <f t="shared" si="82"/>
        <v>0</v>
      </c>
    </row>
    <row r="811" spans="1:24" s="169" customFormat="1" ht="13.8">
      <c r="A811" s="193"/>
      <c r="B811" s="187"/>
      <c r="C811" s="183" t="str">
        <f t="shared" si="77"/>
        <v/>
      </c>
      <c r="D811" s="182" t="str">
        <f t="shared" si="78"/>
        <v/>
      </c>
      <c r="E811" s="192" t="s">
        <v>667</v>
      </c>
      <c r="F811" s="192" t="s">
        <v>705</v>
      </c>
      <c r="G811" s="192" t="s">
        <v>775</v>
      </c>
      <c r="H811" s="210" t="s">
        <v>1455</v>
      </c>
      <c r="I811" s="167">
        <v>803000000</v>
      </c>
      <c r="J811" s="166"/>
      <c r="K811" s="166"/>
      <c r="L811" s="168">
        <v>803000000</v>
      </c>
      <c r="M811" s="168">
        <f t="shared" si="79"/>
        <v>803000000</v>
      </c>
      <c r="N811" s="168"/>
      <c r="O811" s="167">
        <v>140939000</v>
      </c>
      <c r="P811" s="167">
        <f t="shared" si="80"/>
        <v>140939000</v>
      </c>
      <c r="Q811" s="167"/>
      <c r="S811" s="201">
        <f t="shared" si="81"/>
        <v>803</v>
      </c>
      <c r="T811" s="201">
        <f t="shared" si="82"/>
        <v>803</v>
      </c>
      <c r="U811" s="201">
        <f t="shared" si="82"/>
        <v>0</v>
      </c>
      <c r="V811" s="201">
        <f t="shared" si="82"/>
        <v>140.93899999999999</v>
      </c>
      <c r="W811" s="201">
        <f t="shared" si="82"/>
        <v>140.93899999999999</v>
      </c>
      <c r="X811" s="201">
        <f t="shared" si="82"/>
        <v>0</v>
      </c>
    </row>
    <row r="812" spans="1:24" s="169" customFormat="1" ht="13.8">
      <c r="A812" s="195"/>
      <c r="B812" s="188"/>
      <c r="C812" s="183" t="str">
        <f t="shared" si="77"/>
        <v/>
      </c>
      <c r="D812" s="182" t="str">
        <f t="shared" si="78"/>
        <v/>
      </c>
      <c r="E812" s="192" t="s">
        <v>667</v>
      </c>
      <c r="F812" s="192" t="s">
        <v>705</v>
      </c>
      <c r="G812" s="192" t="s">
        <v>981</v>
      </c>
      <c r="H812" s="210" t="s">
        <v>1455</v>
      </c>
      <c r="I812" s="167">
        <v>137800000</v>
      </c>
      <c r="J812" s="166"/>
      <c r="K812" s="166"/>
      <c r="L812" s="168">
        <v>137800000</v>
      </c>
      <c r="M812" s="168">
        <f t="shared" si="79"/>
        <v>137800000</v>
      </c>
      <c r="N812" s="168"/>
      <c r="O812" s="166"/>
      <c r="P812" s="167">
        <f t="shared" si="80"/>
        <v>0</v>
      </c>
      <c r="Q812" s="166"/>
      <c r="S812" s="201">
        <f t="shared" si="81"/>
        <v>137.80000000000001</v>
      </c>
      <c r="T812" s="201">
        <f t="shared" si="82"/>
        <v>137.80000000000001</v>
      </c>
      <c r="U812" s="201">
        <f t="shared" si="82"/>
        <v>0</v>
      </c>
      <c r="V812" s="201">
        <f t="shared" si="82"/>
        <v>0</v>
      </c>
      <c r="W812" s="201">
        <f t="shared" si="82"/>
        <v>0</v>
      </c>
      <c r="X812" s="201">
        <f t="shared" si="82"/>
        <v>0</v>
      </c>
    </row>
    <row r="813" spans="1:24" s="169" customFormat="1" ht="26.4">
      <c r="A813" s="192" t="s">
        <v>1031</v>
      </c>
      <c r="B813" s="176" t="s">
        <v>1032</v>
      </c>
      <c r="C813" s="183" t="str">
        <f t="shared" si="77"/>
        <v>1048060</v>
      </c>
      <c r="D813" s="182" t="str">
        <f t="shared" si="78"/>
        <v>-Trung tâm Phòng chổng 3ệnh xã hội</v>
      </c>
      <c r="E813" s="206"/>
      <c r="F813" s="207"/>
      <c r="G813" s="207"/>
      <c r="H813" s="205"/>
      <c r="I813" s="167">
        <v>10352900000</v>
      </c>
      <c r="J813" s="166"/>
      <c r="K813" s="167">
        <v>9590530000</v>
      </c>
      <c r="L813" s="168">
        <v>762370000</v>
      </c>
      <c r="M813" s="168">
        <f t="shared" si="79"/>
        <v>10352900000</v>
      </c>
      <c r="N813" s="168"/>
      <c r="O813" s="167">
        <v>9844063383</v>
      </c>
      <c r="P813" s="167">
        <f t="shared" si="80"/>
        <v>9844063383</v>
      </c>
      <c r="Q813" s="167"/>
      <c r="S813" s="201">
        <f t="shared" si="81"/>
        <v>10352.9</v>
      </c>
      <c r="T813" s="201">
        <f t="shared" si="82"/>
        <v>10352.9</v>
      </c>
      <c r="U813" s="201">
        <f t="shared" si="82"/>
        <v>0</v>
      </c>
      <c r="V813" s="201">
        <f t="shared" si="82"/>
        <v>9844.0633830000006</v>
      </c>
      <c r="W813" s="201">
        <f t="shared" si="82"/>
        <v>9844.0633830000006</v>
      </c>
      <c r="X813" s="201">
        <f t="shared" si="82"/>
        <v>0</v>
      </c>
    </row>
    <row r="814" spans="1:24" s="169" customFormat="1" ht="13.8">
      <c r="A814" s="192" t="s">
        <v>1033</v>
      </c>
      <c r="B814" s="164" t="s">
        <v>689</v>
      </c>
      <c r="C814" s="183" t="str">
        <f t="shared" si="77"/>
        <v/>
      </c>
      <c r="D814" s="182" t="str">
        <f t="shared" si="78"/>
        <v/>
      </c>
      <c r="E814" s="206"/>
      <c r="F814" s="207"/>
      <c r="G814" s="207"/>
      <c r="H814" s="205"/>
      <c r="I814" s="167">
        <v>9590530000</v>
      </c>
      <c r="J814" s="166"/>
      <c r="K814" s="167">
        <v>9590530000</v>
      </c>
      <c r="L814" s="171"/>
      <c r="M814" s="168">
        <f t="shared" si="79"/>
        <v>9590530000</v>
      </c>
      <c r="N814" s="171"/>
      <c r="O814" s="167">
        <v>9399404605</v>
      </c>
      <c r="P814" s="167">
        <f t="shared" si="80"/>
        <v>9399404605</v>
      </c>
      <c r="Q814" s="167"/>
      <c r="S814" s="201">
        <f t="shared" si="81"/>
        <v>9590.5300000000007</v>
      </c>
      <c r="T814" s="201">
        <f t="shared" si="82"/>
        <v>9590.5300000000007</v>
      </c>
      <c r="U814" s="201">
        <f t="shared" si="82"/>
        <v>0</v>
      </c>
      <c r="V814" s="201">
        <f t="shared" si="82"/>
        <v>9399.4046049999997</v>
      </c>
      <c r="W814" s="201">
        <f t="shared" si="82"/>
        <v>9399.4046049999997</v>
      </c>
      <c r="X814" s="201">
        <f t="shared" si="82"/>
        <v>0</v>
      </c>
    </row>
    <row r="815" spans="1:24" s="169" customFormat="1" ht="13.8">
      <c r="A815" s="192"/>
      <c r="B815" s="164" t="s">
        <v>690</v>
      </c>
      <c r="C815" s="183" t="str">
        <f t="shared" si="77"/>
        <v/>
      </c>
      <c r="D815" s="182" t="str">
        <f t="shared" si="78"/>
        <v/>
      </c>
      <c r="E815" s="206"/>
      <c r="F815" s="207"/>
      <c r="G815" s="207"/>
      <c r="H815" s="205"/>
      <c r="I815" s="167">
        <v>7145530000</v>
      </c>
      <c r="J815" s="166"/>
      <c r="K815" s="167">
        <v>7145530000</v>
      </c>
      <c r="L815" s="171"/>
      <c r="M815" s="168">
        <f t="shared" si="79"/>
        <v>7145530000</v>
      </c>
      <c r="N815" s="171"/>
      <c r="O815" s="167">
        <v>7145530000</v>
      </c>
      <c r="P815" s="167">
        <f t="shared" si="80"/>
        <v>7145530000</v>
      </c>
      <c r="Q815" s="167"/>
      <c r="S815" s="201">
        <f t="shared" si="81"/>
        <v>7145.53</v>
      </c>
      <c r="T815" s="201">
        <f t="shared" si="82"/>
        <v>7145.53</v>
      </c>
      <c r="U815" s="201">
        <f t="shared" si="82"/>
        <v>0</v>
      </c>
      <c r="V815" s="201">
        <f t="shared" si="82"/>
        <v>7145.53</v>
      </c>
      <c r="W815" s="201">
        <f t="shared" si="82"/>
        <v>7145.53</v>
      </c>
      <c r="X815" s="201">
        <f t="shared" si="82"/>
        <v>0</v>
      </c>
    </row>
    <row r="816" spans="1:24" s="169" customFormat="1" ht="13.8">
      <c r="A816" s="192"/>
      <c r="B816" s="164"/>
      <c r="C816" s="183" t="str">
        <f t="shared" si="77"/>
        <v/>
      </c>
      <c r="D816" s="182" t="str">
        <f t="shared" si="78"/>
        <v/>
      </c>
      <c r="E816" s="192" t="s">
        <v>666</v>
      </c>
      <c r="F816" s="192" t="s">
        <v>705</v>
      </c>
      <c r="G816" s="192" t="s">
        <v>767</v>
      </c>
      <c r="H816" s="210" t="s">
        <v>1440</v>
      </c>
      <c r="I816" s="167">
        <v>7145530000</v>
      </c>
      <c r="J816" s="166"/>
      <c r="K816" s="167">
        <v>7145530000</v>
      </c>
      <c r="L816" s="171"/>
      <c r="M816" s="168">
        <f t="shared" si="79"/>
        <v>7145530000</v>
      </c>
      <c r="N816" s="171"/>
      <c r="O816" s="167">
        <v>7145530000</v>
      </c>
      <c r="P816" s="167">
        <f t="shared" si="80"/>
        <v>7145530000</v>
      </c>
      <c r="Q816" s="167"/>
      <c r="S816" s="201">
        <f t="shared" si="81"/>
        <v>7145.53</v>
      </c>
      <c r="T816" s="201">
        <f t="shared" si="82"/>
        <v>7145.53</v>
      </c>
      <c r="U816" s="201">
        <f t="shared" si="82"/>
        <v>0</v>
      </c>
      <c r="V816" s="201">
        <f t="shared" si="82"/>
        <v>7145.53</v>
      </c>
      <c r="W816" s="201">
        <f t="shared" si="82"/>
        <v>7145.53</v>
      </c>
      <c r="X816" s="201">
        <f t="shared" si="82"/>
        <v>0</v>
      </c>
    </row>
    <row r="817" spans="1:24" s="169" customFormat="1" ht="13.8">
      <c r="A817" s="192"/>
      <c r="B817" s="164" t="s">
        <v>686</v>
      </c>
      <c r="C817" s="183" t="str">
        <f t="shared" si="77"/>
        <v/>
      </c>
      <c r="D817" s="182" t="str">
        <f t="shared" si="78"/>
        <v/>
      </c>
      <c r="E817" s="206"/>
      <c r="F817" s="207"/>
      <c r="G817" s="207"/>
      <c r="H817" s="205"/>
      <c r="I817" s="167">
        <v>2445000000</v>
      </c>
      <c r="J817" s="166"/>
      <c r="K817" s="167">
        <v>2445000000</v>
      </c>
      <c r="L817" s="171"/>
      <c r="M817" s="168">
        <f t="shared" si="79"/>
        <v>2445000000</v>
      </c>
      <c r="N817" s="171"/>
      <c r="O817" s="167">
        <v>2253874605</v>
      </c>
      <c r="P817" s="167">
        <f t="shared" si="80"/>
        <v>2253874605</v>
      </c>
      <c r="Q817" s="167"/>
      <c r="S817" s="201">
        <f t="shared" si="81"/>
        <v>2445</v>
      </c>
      <c r="T817" s="201">
        <f t="shared" si="82"/>
        <v>2445</v>
      </c>
      <c r="U817" s="201">
        <f t="shared" si="82"/>
        <v>0</v>
      </c>
      <c r="V817" s="201">
        <f t="shared" si="82"/>
        <v>2253.874605</v>
      </c>
      <c r="W817" s="201">
        <f t="shared" si="82"/>
        <v>2253.874605</v>
      </c>
      <c r="X817" s="201">
        <f t="shared" si="82"/>
        <v>0</v>
      </c>
    </row>
    <row r="818" spans="1:24" s="169" customFormat="1" ht="13.8">
      <c r="A818" s="192"/>
      <c r="B818" s="164"/>
      <c r="C818" s="183" t="str">
        <f t="shared" si="77"/>
        <v/>
      </c>
      <c r="D818" s="182" t="str">
        <f t="shared" si="78"/>
        <v/>
      </c>
      <c r="E818" s="192" t="s">
        <v>681</v>
      </c>
      <c r="F818" s="192" t="s">
        <v>705</v>
      </c>
      <c r="G818" s="192" t="s">
        <v>767</v>
      </c>
      <c r="H818" s="210" t="s">
        <v>1440</v>
      </c>
      <c r="I818" s="167">
        <v>2445000000</v>
      </c>
      <c r="J818" s="166"/>
      <c r="K818" s="167">
        <v>2445000000</v>
      </c>
      <c r="L818" s="171"/>
      <c r="M818" s="168">
        <f t="shared" si="79"/>
        <v>2445000000</v>
      </c>
      <c r="N818" s="171"/>
      <c r="O818" s="167">
        <v>2253874605</v>
      </c>
      <c r="P818" s="167">
        <f t="shared" si="80"/>
        <v>2253874605</v>
      </c>
      <c r="Q818" s="167"/>
      <c r="S818" s="201">
        <f t="shared" si="81"/>
        <v>2445</v>
      </c>
      <c r="T818" s="201">
        <f t="shared" si="82"/>
        <v>2445</v>
      </c>
      <c r="U818" s="201">
        <f t="shared" si="82"/>
        <v>0</v>
      </c>
      <c r="V818" s="201">
        <f t="shared" si="82"/>
        <v>2253.874605</v>
      </c>
      <c r="W818" s="201">
        <f t="shared" si="82"/>
        <v>2253.874605</v>
      </c>
      <c r="X818" s="201">
        <f t="shared" si="82"/>
        <v>0</v>
      </c>
    </row>
    <row r="819" spans="1:24" s="169" customFormat="1" ht="13.8">
      <c r="A819" s="192" t="s">
        <v>1034</v>
      </c>
      <c r="B819" s="164" t="s">
        <v>701</v>
      </c>
      <c r="C819" s="183" t="str">
        <f t="shared" si="77"/>
        <v/>
      </c>
      <c r="D819" s="182" t="str">
        <f t="shared" si="78"/>
        <v/>
      </c>
      <c r="E819" s="206"/>
      <c r="F819" s="207"/>
      <c r="G819" s="207"/>
      <c r="H819" s="205"/>
      <c r="I819" s="167">
        <v>762370000</v>
      </c>
      <c r="J819" s="166"/>
      <c r="K819" s="166"/>
      <c r="L819" s="168">
        <v>762370000</v>
      </c>
      <c r="M819" s="168">
        <f t="shared" si="79"/>
        <v>762370000</v>
      </c>
      <c r="N819" s="168"/>
      <c r="O819" s="167">
        <v>444658778</v>
      </c>
      <c r="P819" s="167">
        <f t="shared" si="80"/>
        <v>444658778</v>
      </c>
      <c r="Q819" s="167"/>
      <c r="S819" s="201">
        <f t="shared" si="81"/>
        <v>762.37</v>
      </c>
      <c r="T819" s="201">
        <f t="shared" si="82"/>
        <v>762.37</v>
      </c>
      <c r="U819" s="201">
        <f t="shared" si="82"/>
        <v>0</v>
      </c>
      <c r="V819" s="201">
        <f t="shared" si="82"/>
        <v>444.65877799999998</v>
      </c>
      <c r="W819" s="201">
        <f t="shared" si="82"/>
        <v>444.65877799999998</v>
      </c>
      <c r="X819" s="201">
        <f t="shared" si="82"/>
        <v>0</v>
      </c>
    </row>
    <row r="820" spans="1:24" s="169" customFormat="1" ht="13.8">
      <c r="A820" s="192"/>
      <c r="B820" s="164"/>
      <c r="C820" s="183" t="str">
        <f t="shared" si="77"/>
        <v/>
      </c>
      <c r="D820" s="182" t="str">
        <f t="shared" si="78"/>
        <v/>
      </c>
      <c r="E820" s="192" t="s">
        <v>667</v>
      </c>
      <c r="F820" s="192" t="s">
        <v>705</v>
      </c>
      <c r="G820" s="192" t="s">
        <v>775</v>
      </c>
      <c r="H820" s="210" t="s">
        <v>1455</v>
      </c>
      <c r="I820" s="167">
        <v>762370000</v>
      </c>
      <c r="J820" s="166"/>
      <c r="K820" s="166"/>
      <c r="L820" s="168">
        <v>762370000</v>
      </c>
      <c r="M820" s="168">
        <f t="shared" si="79"/>
        <v>762370000</v>
      </c>
      <c r="N820" s="168"/>
      <c r="O820" s="167">
        <v>444658778</v>
      </c>
      <c r="P820" s="167">
        <f t="shared" si="80"/>
        <v>444658778</v>
      </c>
      <c r="Q820" s="167"/>
      <c r="S820" s="201">
        <f t="shared" si="81"/>
        <v>762.37</v>
      </c>
      <c r="T820" s="201">
        <f t="shared" si="82"/>
        <v>762.37</v>
      </c>
      <c r="U820" s="201">
        <f t="shared" si="82"/>
        <v>0</v>
      </c>
      <c r="V820" s="201">
        <f t="shared" si="82"/>
        <v>444.65877799999998</v>
      </c>
      <c r="W820" s="201">
        <f t="shared" si="82"/>
        <v>444.65877799999998</v>
      </c>
      <c r="X820" s="201">
        <f t="shared" si="82"/>
        <v>0</v>
      </c>
    </row>
    <row r="821" spans="1:24" s="169" customFormat="1" ht="26.4">
      <c r="A821" s="192" t="s">
        <v>1035</v>
      </c>
      <c r="B821" s="176" t="s">
        <v>1036</v>
      </c>
      <c r="C821" s="183" t="str">
        <f t="shared" si="77"/>
        <v>1048061</v>
      </c>
      <c r="D821" s="182" t="str">
        <f t="shared" si="78"/>
        <v>-Trung tâm y tẽ huyện Ngọc lồi</v>
      </c>
      <c r="E821" s="206"/>
      <c r="F821" s="207"/>
      <c r="G821" s="207"/>
      <c r="H821" s="205"/>
      <c r="I821" s="167">
        <v>11616508549</v>
      </c>
      <c r="J821" s="167">
        <v>31460376</v>
      </c>
      <c r="K821" s="167">
        <v>11166664173</v>
      </c>
      <c r="L821" s="168">
        <v>418384000</v>
      </c>
      <c r="M821" s="168">
        <f t="shared" si="79"/>
        <v>11616508549</v>
      </c>
      <c r="N821" s="168"/>
      <c r="O821" s="167">
        <v>11285947331</v>
      </c>
      <c r="P821" s="167">
        <f t="shared" si="80"/>
        <v>11285947331</v>
      </c>
      <c r="Q821" s="167"/>
      <c r="S821" s="201">
        <f t="shared" si="81"/>
        <v>11616.508549</v>
      </c>
      <c r="T821" s="201">
        <f t="shared" si="82"/>
        <v>11616.508549</v>
      </c>
      <c r="U821" s="201">
        <f t="shared" si="82"/>
        <v>0</v>
      </c>
      <c r="V821" s="201">
        <f t="shared" si="82"/>
        <v>11285.947330999999</v>
      </c>
      <c r="W821" s="201">
        <f t="shared" si="82"/>
        <v>11285.947330999999</v>
      </c>
      <c r="X821" s="201">
        <f t="shared" si="82"/>
        <v>0</v>
      </c>
    </row>
    <row r="822" spans="1:24" s="169" customFormat="1" ht="13.8">
      <c r="A822" s="192" t="s">
        <v>1037</v>
      </c>
      <c r="B822" s="164" t="s">
        <v>689</v>
      </c>
      <c r="C822" s="183" t="str">
        <f t="shared" si="77"/>
        <v/>
      </c>
      <c r="D822" s="182" t="str">
        <f t="shared" si="78"/>
        <v/>
      </c>
      <c r="E822" s="206"/>
      <c r="F822" s="207"/>
      <c r="G822" s="207"/>
      <c r="H822" s="205"/>
      <c r="I822" s="167">
        <v>11184018549</v>
      </c>
      <c r="J822" s="167">
        <v>31460376</v>
      </c>
      <c r="K822" s="167">
        <v>11166664173</v>
      </c>
      <c r="L822" s="168">
        <v>-14106000</v>
      </c>
      <c r="M822" s="168">
        <f t="shared" si="79"/>
        <v>11184018549</v>
      </c>
      <c r="N822" s="168"/>
      <c r="O822" s="167">
        <v>11125437331</v>
      </c>
      <c r="P822" s="167">
        <f t="shared" si="80"/>
        <v>11125437331</v>
      </c>
      <c r="Q822" s="167"/>
      <c r="S822" s="201">
        <f t="shared" si="81"/>
        <v>11184.018549</v>
      </c>
      <c r="T822" s="201">
        <f t="shared" si="82"/>
        <v>11184.018549</v>
      </c>
      <c r="U822" s="201">
        <f t="shared" si="82"/>
        <v>0</v>
      </c>
      <c r="V822" s="201">
        <f t="shared" si="82"/>
        <v>11125.437330999999</v>
      </c>
      <c r="W822" s="201">
        <f t="shared" si="82"/>
        <v>11125.437330999999</v>
      </c>
      <c r="X822" s="201">
        <f t="shared" si="82"/>
        <v>0</v>
      </c>
    </row>
    <row r="823" spans="1:24" s="169" customFormat="1" ht="13.8">
      <c r="A823" s="192"/>
      <c r="B823" s="164" t="s">
        <v>690</v>
      </c>
      <c r="C823" s="183" t="str">
        <f t="shared" si="77"/>
        <v/>
      </c>
      <c r="D823" s="182" t="str">
        <f t="shared" si="78"/>
        <v/>
      </c>
      <c r="E823" s="206"/>
      <c r="F823" s="207"/>
      <c r="G823" s="207"/>
      <c r="H823" s="205"/>
      <c r="I823" s="167">
        <v>8925854376</v>
      </c>
      <c r="J823" s="167">
        <v>31460376</v>
      </c>
      <c r="K823" s="167">
        <v>9253000000</v>
      </c>
      <c r="L823" s="168">
        <v>-358606000</v>
      </c>
      <c r="M823" s="168">
        <f t="shared" si="79"/>
        <v>8925854376</v>
      </c>
      <c r="N823" s="168"/>
      <c r="O823" s="167">
        <v>8893348376</v>
      </c>
      <c r="P823" s="167">
        <f t="shared" si="80"/>
        <v>8893348376</v>
      </c>
      <c r="Q823" s="167"/>
      <c r="S823" s="201">
        <f t="shared" si="81"/>
        <v>8925.8543759999993</v>
      </c>
      <c r="T823" s="201">
        <f t="shared" si="82"/>
        <v>8925.8543759999993</v>
      </c>
      <c r="U823" s="201">
        <f t="shared" si="82"/>
        <v>0</v>
      </c>
      <c r="V823" s="201">
        <f t="shared" si="82"/>
        <v>8893.3483759999999</v>
      </c>
      <c r="W823" s="201">
        <f t="shared" si="82"/>
        <v>8893.3483759999999</v>
      </c>
      <c r="X823" s="201">
        <f t="shared" si="82"/>
        <v>0</v>
      </c>
    </row>
    <row r="824" spans="1:24" s="169" customFormat="1" ht="13.8">
      <c r="A824" s="193"/>
      <c r="B824" s="187"/>
      <c r="C824" s="183" t="str">
        <f t="shared" si="77"/>
        <v/>
      </c>
      <c r="D824" s="182" t="str">
        <f t="shared" si="78"/>
        <v/>
      </c>
      <c r="E824" s="192" t="s">
        <v>666</v>
      </c>
      <c r="F824" s="192" t="s">
        <v>705</v>
      </c>
      <c r="G824" s="192" t="s">
        <v>976</v>
      </c>
      <c r="H824" s="210" t="s">
        <v>1440</v>
      </c>
      <c r="I824" s="167">
        <v>1232354000</v>
      </c>
      <c r="J824" s="166"/>
      <c r="K824" s="167">
        <v>1258000000</v>
      </c>
      <c r="L824" s="168">
        <v>-25646000</v>
      </c>
      <c r="M824" s="168">
        <f t="shared" si="79"/>
        <v>1232354000</v>
      </c>
      <c r="N824" s="168"/>
      <c r="O824" s="167">
        <v>1232354000</v>
      </c>
      <c r="P824" s="167">
        <f t="shared" si="80"/>
        <v>1232354000</v>
      </c>
      <c r="Q824" s="167"/>
      <c r="S824" s="201">
        <f t="shared" si="81"/>
        <v>1232.354</v>
      </c>
      <c r="T824" s="201">
        <f t="shared" si="82"/>
        <v>1232.354</v>
      </c>
      <c r="U824" s="201">
        <f t="shared" si="82"/>
        <v>0</v>
      </c>
      <c r="V824" s="201">
        <f t="shared" si="82"/>
        <v>1232.354</v>
      </c>
      <c r="W824" s="201">
        <f t="shared" si="82"/>
        <v>1232.354</v>
      </c>
      <c r="X824" s="201">
        <f t="shared" si="82"/>
        <v>0</v>
      </c>
    </row>
    <row r="825" spans="1:24" s="169" customFormat="1" ht="13.8">
      <c r="A825" s="194"/>
      <c r="B825" s="184"/>
      <c r="C825" s="183" t="str">
        <f t="shared" si="77"/>
        <v/>
      </c>
      <c r="D825" s="182" t="str">
        <f t="shared" si="78"/>
        <v/>
      </c>
      <c r="E825" s="192" t="s">
        <v>666</v>
      </c>
      <c r="F825" s="192" t="s">
        <v>705</v>
      </c>
      <c r="G825" s="192" t="s">
        <v>775</v>
      </c>
      <c r="H825" s="210" t="s">
        <v>1440</v>
      </c>
      <c r="I825" s="167">
        <v>7642040376</v>
      </c>
      <c r="J825" s="167" t="s">
        <v>1038</v>
      </c>
      <c r="K825" s="167">
        <v>7995000000</v>
      </c>
      <c r="L825" s="168">
        <v>-352960000</v>
      </c>
      <c r="M825" s="168">
        <f t="shared" si="79"/>
        <v>7642040376</v>
      </c>
      <c r="N825" s="168"/>
      <c r="O825" s="167">
        <v>7642040376</v>
      </c>
      <c r="P825" s="167">
        <f t="shared" si="80"/>
        <v>7642040376</v>
      </c>
      <c r="Q825" s="167"/>
      <c r="S825" s="201">
        <f t="shared" si="81"/>
        <v>7642.0403759999999</v>
      </c>
      <c r="T825" s="201">
        <f t="shared" si="82"/>
        <v>7642.0403759999999</v>
      </c>
      <c r="U825" s="201">
        <f t="shared" si="82"/>
        <v>0</v>
      </c>
      <c r="V825" s="201">
        <f t="shared" si="82"/>
        <v>7642.0403759999999</v>
      </c>
      <c r="W825" s="201">
        <f t="shared" si="82"/>
        <v>7642.0403759999999</v>
      </c>
      <c r="X825" s="201">
        <f t="shared" si="82"/>
        <v>0</v>
      </c>
    </row>
    <row r="826" spans="1:24" s="169" customFormat="1" ht="13.8">
      <c r="A826" s="195"/>
      <c r="B826" s="188"/>
      <c r="C826" s="183" t="str">
        <f t="shared" si="77"/>
        <v/>
      </c>
      <c r="D826" s="182" t="str">
        <f t="shared" si="78"/>
        <v/>
      </c>
      <c r="E826" s="192" t="s">
        <v>679</v>
      </c>
      <c r="F826" s="192" t="s">
        <v>705</v>
      </c>
      <c r="G826" s="192" t="s">
        <v>775</v>
      </c>
      <c r="H826" s="210" t="s">
        <v>1440</v>
      </c>
      <c r="I826" s="167">
        <v>51460000</v>
      </c>
      <c r="J826" s="167">
        <v>31460000</v>
      </c>
      <c r="K826" s="166"/>
      <c r="L826" s="168">
        <v>20000000</v>
      </c>
      <c r="M826" s="168">
        <f t="shared" si="79"/>
        <v>51460000</v>
      </c>
      <c r="N826" s="168"/>
      <c r="O826" s="167">
        <v>18954000</v>
      </c>
      <c r="P826" s="167">
        <f t="shared" si="80"/>
        <v>18954000</v>
      </c>
      <c r="Q826" s="167"/>
      <c r="S826" s="201">
        <f t="shared" si="81"/>
        <v>51.46</v>
      </c>
      <c r="T826" s="201">
        <f t="shared" si="82"/>
        <v>51.46</v>
      </c>
      <c r="U826" s="201">
        <f t="shared" si="82"/>
        <v>0</v>
      </c>
      <c r="V826" s="201">
        <f t="shared" si="82"/>
        <v>18.954000000000001</v>
      </c>
      <c r="W826" s="201">
        <f t="shared" si="82"/>
        <v>18.954000000000001</v>
      </c>
      <c r="X826" s="201">
        <f t="shared" si="82"/>
        <v>0</v>
      </c>
    </row>
    <row r="827" spans="1:24" s="169" customFormat="1" ht="13.8">
      <c r="A827" s="192"/>
      <c r="B827" s="164" t="s">
        <v>686</v>
      </c>
      <c r="C827" s="183" t="str">
        <f t="shared" si="77"/>
        <v/>
      </c>
      <c r="D827" s="182" t="str">
        <f t="shared" si="78"/>
        <v/>
      </c>
      <c r="E827" s="206"/>
      <c r="F827" s="207"/>
      <c r="G827" s="207"/>
      <c r="H827" s="205"/>
      <c r="I827" s="167">
        <v>2258164173</v>
      </c>
      <c r="J827" s="166"/>
      <c r="K827" s="167">
        <v>1913664173</v>
      </c>
      <c r="L827" s="168">
        <v>344500000</v>
      </c>
      <c r="M827" s="168">
        <f t="shared" si="79"/>
        <v>2258164173</v>
      </c>
      <c r="N827" s="168"/>
      <c r="O827" s="167">
        <v>2232088955</v>
      </c>
      <c r="P827" s="167">
        <f t="shared" si="80"/>
        <v>2232088955</v>
      </c>
      <c r="Q827" s="167"/>
      <c r="S827" s="201">
        <f t="shared" si="81"/>
        <v>2258.1641730000001</v>
      </c>
      <c r="T827" s="201">
        <f t="shared" si="82"/>
        <v>2258.1641730000001</v>
      </c>
      <c r="U827" s="201">
        <f t="shared" si="82"/>
        <v>0</v>
      </c>
      <c r="V827" s="201">
        <f t="shared" si="82"/>
        <v>2232.0889550000002</v>
      </c>
      <c r="W827" s="201">
        <f t="shared" si="82"/>
        <v>2232.0889550000002</v>
      </c>
      <c r="X827" s="201">
        <f t="shared" si="82"/>
        <v>0</v>
      </c>
    </row>
    <row r="828" spans="1:24" s="169" customFormat="1" ht="13.8">
      <c r="A828" s="193"/>
      <c r="B828" s="187"/>
      <c r="C828" s="183" t="str">
        <f t="shared" si="77"/>
        <v/>
      </c>
      <c r="D828" s="182" t="str">
        <f t="shared" si="78"/>
        <v/>
      </c>
      <c r="E828" s="192" t="s">
        <v>681</v>
      </c>
      <c r="F828" s="192" t="s">
        <v>705</v>
      </c>
      <c r="G828" s="192" t="s">
        <v>976</v>
      </c>
      <c r="H828" s="210" t="s">
        <v>1440</v>
      </c>
      <c r="I828" s="167">
        <v>25646000</v>
      </c>
      <c r="J828" s="166"/>
      <c r="K828" s="167">
        <v>25646000</v>
      </c>
      <c r="L828" s="171"/>
      <c r="M828" s="168">
        <f t="shared" si="79"/>
        <v>25646000</v>
      </c>
      <c r="N828" s="171"/>
      <c r="O828" s="167">
        <v>25646000</v>
      </c>
      <c r="P828" s="167">
        <f t="shared" si="80"/>
        <v>25646000</v>
      </c>
      <c r="Q828" s="167"/>
      <c r="S828" s="201">
        <f t="shared" si="81"/>
        <v>25.646000000000001</v>
      </c>
      <c r="T828" s="201">
        <f t="shared" si="82"/>
        <v>25.646000000000001</v>
      </c>
      <c r="U828" s="201">
        <f t="shared" si="82"/>
        <v>0</v>
      </c>
      <c r="V828" s="201">
        <f t="shared" si="82"/>
        <v>25.646000000000001</v>
      </c>
      <c r="W828" s="201">
        <f t="shared" si="82"/>
        <v>25.646000000000001</v>
      </c>
      <c r="X828" s="201">
        <f t="shared" si="82"/>
        <v>0</v>
      </c>
    </row>
    <row r="829" spans="1:24" s="169" customFormat="1" ht="13.8">
      <c r="A829" s="195"/>
      <c r="B829" s="188"/>
      <c r="C829" s="183" t="str">
        <f t="shared" si="77"/>
        <v/>
      </c>
      <c r="D829" s="182" t="str">
        <f t="shared" si="78"/>
        <v/>
      </c>
      <c r="E829" s="192" t="s">
        <v>681</v>
      </c>
      <c r="F829" s="192" t="s">
        <v>705</v>
      </c>
      <c r="G829" s="192" t="s">
        <v>775</v>
      </c>
      <c r="H829" s="210" t="s">
        <v>1440</v>
      </c>
      <c r="I829" s="167">
        <v>2232518173</v>
      </c>
      <c r="J829" s="166"/>
      <c r="K829" s="167">
        <v>1888018173</v>
      </c>
      <c r="L829" s="168">
        <v>344500000</v>
      </c>
      <c r="M829" s="168">
        <f t="shared" si="79"/>
        <v>2232518173</v>
      </c>
      <c r="N829" s="168"/>
      <c r="O829" s="167">
        <v>2206442955</v>
      </c>
      <c r="P829" s="167">
        <f t="shared" si="80"/>
        <v>2206442955</v>
      </c>
      <c r="Q829" s="167"/>
      <c r="S829" s="201">
        <f t="shared" si="81"/>
        <v>2232.5181729999999</v>
      </c>
      <c r="T829" s="201">
        <f t="shared" si="82"/>
        <v>2232.5181729999999</v>
      </c>
      <c r="U829" s="201">
        <f t="shared" si="82"/>
        <v>0</v>
      </c>
      <c r="V829" s="201">
        <f t="shared" si="82"/>
        <v>2206.442955</v>
      </c>
      <c r="W829" s="201">
        <f t="shared" si="82"/>
        <v>2206.442955</v>
      </c>
      <c r="X829" s="201">
        <f t="shared" si="82"/>
        <v>0</v>
      </c>
    </row>
    <row r="830" spans="1:24" s="169" customFormat="1" ht="13.8">
      <c r="A830" s="192" t="s">
        <v>1039</v>
      </c>
      <c r="B830" s="164" t="s">
        <v>701</v>
      </c>
      <c r="C830" s="183" t="str">
        <f t="shared" si="77"/>
        <v/>
      </c>
      <c r="D830" s="182" t="str">
        <f t="shared" si="78"/>
        <v/>
      </c>
      <c r="E830" s="206"/>
      <c r="F830" s="207"/>
      <c r="G830" s="207"/>
      <c r="H830" s="205"/>
      <c r="I830" s="167">
        <v>432490000</v>
      </c>
      <c r="J830" s="166"/>
      <c r="K830" s="166"/>
      <c r="L830" s="168">
        <v>432490000</v>
      </c>
      <c r="M830" s="168">
        <f t="shared" si="79"/>
        <v>432490000</v>
      </c>
      <c r="N830" s="168"/>
      <c r="O830" s="167">
        <v>160510000</v>
      </c>
      <c r="P830" s="167">
        <f t="shared" si="80"/>
        <v>160510000</v>
      </c>
      <c r="Q830" s="167"/>
      <c r="S830" s="201">
        <f t="shared" si="81"/>
        <v>432.49</v>
      </c>
      <c r="T830" s="201">
        <f t="shared" si="82"/>
        <v>432.49</v>
      </c>
      <c r="U830" s="201">
        <f t="shared" si="82"/>
        <v>0</v>
      </c>
      <c r="V830" s="201">
        <f t="shared" si="82"/>
        <v>160.51</v>
      </c>
      <c r="W830" s="201">
        <f t="shared" si="82"/>
        <v>160.51</v>
      </c>
      <c r="X830" s="201">
        <f t="shared" si="82"/>
        <v>0</v>
      </c>
    </row>
    <row r="831" spans="1:24" s="169" customFormat="1" ht="13.8">
      <c r="A831" s="193"/>
      <c r="B831" s="187"/>
      <c r="C831" s="183" t="str">
        <f t="shared" si="77"/>
        <v/>
      </c>
      <c r="D831" s="182" t="str">
        <f t="shared" si="78"/>
        <v/>
      </c>
      <c r="E831" s="192" t="s">
        <v>667</v>
      </c>
      <c r="F831" s="192" t="s">
        <v>705</v>
      </c>
      <c r="G831" s="192" t="s">
        <v>775</v>
      </c>
      <c r="H831" s="210" t="s">
        <v>1455</v>
      </c>
      <c r="I831" s="167">
        <v>403790000</v>
      </c>
      <c r="J831" s="166"/>
      <c r="K831" s="166"/>
      <c r="L831" s="168">
        <v>403790000</v>
      </c>
      <c r="M831" s="168">
        <f t="shared" si="79"/>
        <v>403790000</v>
      </c>
      <c r="N831" s="168"/>
      <c r="O831" s="167">
        <v>135810000</v>
      </c>
      <c r="P831" s="167">
        <f t="shared" si="80"/>
        <v>135810000</v>
      </c>
      <c r="Q831" s="167"/>
      <c r="S831" s="201">
        <f t="shared" si="81"/>
        <v>403.79</v>
      </c>
      <c r="T831" s="201">
        <f t="shared" si="82"/>
        <v>403.79</v>
      </c>
      <c r="U831" s="201">
        <f t="shared" si="82"/>
        <v>0</v>
      </c>
      <c r="V831" s="201">
        <f t="shared" si="82"/>
        <v>135.81</v>
      </c>
      <c r="W831" s="201">
        <f t="shared" si="82"/>
        <v>135.81</v>
      </c>
      <c r="X831" s="201">
        <f t="shared" si="82"/>
        <v>0</v>
      </c>
    </row>
    <row r="832" spans="1:24" s="169" customFormat="1" ht="13.8">
      <c r="A832" s="195"/>
      <c r="B832" s="188"/>
      <c r="C832" s="183" t="str">
        <f t="shared" si="77"/>
        <v/>
      </c>
      <c r="D832" s="182" t="str">
        <f t="shared" si="78"/>
        <v/>
      </c>
      <c r="E832" s="192" t="s">
        <v>667</v>
      </c>
      <c r="F832" s="192" t="s">
        <v>705</v>
      </c>
      <c r="G832" s="192" t="s">
        <v>981</v>
      </c>
      <c r="H832" s="210" t="s">
        <v>1455</v>
      </c>
      <c r="I832" s="167">
        <v>28700000</v>
      </c>
      <c r="J832" s="166"/>
      <c r="K832" s="166"/>
      <c r="L832" s="168">
        <v>28700000</v>
      </c>
      <c r="M832" s="168">
        <f t="shared" si="79"/>
        <v>28700000</v>
      </c>
      <c r="N832" s="168"/>
      <c r="O832" s="167">
        <v>24700000</v>
      </c>
      <c r="P832" s="167">
        <f t="shared" si="80"/>
        <v>24700000</v>
      </c>
      <c r="Q832" s="167"/>
      <c r="S832" s="201">
        <f t="shared" si="81"/>
        <v>28.7</v>
      </c>
      <c r="T832" s="201">
        <f t="shared" si="82"/>
        <v>28.7</v>
      </c>
      <c r="U832" s="201">
        <f t="shared" si="82"/>
        <v>0</v>
      </c>
      <c r="V832" s="201">
        <f t="shared" si="82"/>
        <v>24.7</v>
      </c>
      <c r="W832" s="201">
        <f t="shared" si="82"/>
        <v>24.7</v>
      </c>
      <c r="X832" s="201">
        <f t="shared" si="82"/>
        <v>0</v>
      </c>
    </row>
    <row r="833" spans="1:24" s="169" customFormat="1" ht="26.4">
      <c r="A833" s="192" t="s">
        <v>1040</v>
      </c>
      <c r="B833" s="176" t="s">
        <v>1041</v>
      </c>
      <c r="C833" s="183" t="str">
        <f t="shared" si="77"/>
        <v>1048063</v>
      </c>
      <c r="D833" s="182" t="str">
        <f t="shared" si="78"/>
        <v>-SỜ Giao thông Vận tải Tỉnh Kon Tum</v>
      </c>
      <c r="E833" s="206"/>
      <c r="F833" s="207"/>
      <c r="G833" s="207"/>
      <c r="H833" s="205"/>
      <c r="I833" s="167">
        <v>45299166900</v>
      </c>
      <c r="J833" s="167">
        <v>3816566900</v>
      </c>
      <c r="K833" s="167">
        <v>17495200000</v>
      </c>
      <c r="L833" s="168">
        <v>23987400000</v>
      </c>
      <c r="M833" s="168">
        <f t="shared" si="79"/>
        <v>45299166900</v>
      </c>
      <c r="N833" s="168"/>
      <c r="O833" s="167">
        <v>39071701564</v>
      </c>
      <c r="P833" s="167">
        <f t="shared" si="80"/>
        <v>39071701564</v>
      </c>
      <c r="Q833" s="167"/>
      <c r="S833" s="201">
        <f t="shared" si="81"/>
        <v>45299.166899999997</v>
      </c>
      <c r="T833" s="201">
        <f t="shared" si="82"/>
        <v>45299.166899999997</v>
      </c>
      <c r="U833" s="201">
        <f t="shared" si="82"/>
        <v>0</v>
      </c>
      <c r="V833" s="201">
        <f t="shared" si="82"/>
        <v>39071.701564000003</v>
      </c>
      <c r="W833" s="201">
        <f t="shared" si="82"/>
        <v>39071.701564000003</v>
      </c>
      <c r="X833" s="201">
        <f t="shared" si="82"/>
        <v>0</v>
      </c>
    </row>
    <row r="834" spans="1:24" s="169" customFormat="1" ht="13.8">
      <c r="A834" s="192" t="s">
        <v>1042</v>
      </c>
      <c r="B834" s="164" t="s">
        <v>689</v>
      </c>
      <c r="C834" s="183" t="str">
        <f t="shared" si="77"/>
        <v/>
      </c>
      <c r="D834" s="182" t="str">
        <f t="shared" si="78"/>
        <v/>
      </c>
      <c r="E834" s="206"/>
      <c r="F834" s="207"/>
      <c r="G834" s="207"/>
      <c r="H834" s="205"/>
      <c r="I834" s="167">
        <v>45299166900</v>
      </c>
      <c r="J834" s="167">
        <v>3816566900</v>
      </c>
      <c r="K834" s="167">
        <v>17495200000</v>
      </c>
      <c r="L834" s="168">
        <v>23987400000</v>
      </c>
      <c r="M834" s="168">
        <f t="shared" si="79"/>
        <v>45299166900</v>
      </c>
      <c r="N834" s="168"/>
      <c r="O834" s="167">
        <v>39071701564</v>
      </c>
      <c r="P834" s="167">
        <f t="shared" si="80"/>
        <v>39071701564</v>
      </c>
      <c r="Q834" s="167"/>
      <c r="S834" s="201">
        <f t="shared" si="81"/>
        <v>45299.166899999997</v>
      </c>
      <c r="T834" s="201">
        <f t="shared" si="82"/>
        <v>45299.166899999997</v>
      </c>
      <c r="U834" s="201">
        <f t="shared" si="82"/>
        <v>0</v>
      </c>
      <c r="V834" s="201">
        <f t="shared" si="82"/>
        <v>39071.701564000003</v>
      </c>
      <c r="W834" s="201">
        <f t="shared" si="82"/>
        <v>39071.701564000003</v>
      </c>
      <c r="X834" s="201">
        <f t="shared" si="82"/>
        <v>0</v>
      </c>
    </row>
    <row r="835" spans="1:24" s="169" customFormat="1" ht="13.8">
      <c r="A835" s="192"/>
      <c r="B835" s="164" t="s">
        <v>690</v>
      </c>
      <c r="C835" s="183" t="str">
        <f t="shared" si="77"/>
        <v/>
      </c>
      <c r="D835" s="182" t="str">
        <f t="shared" si="78"/>
        <v/>
      </c>
      <c r="E835" s="206"/>
      <c r="F835" s="207"/>
      <c r="G835" s="207"/>
      <c r="H835" s="205"/>
      <c r="I835" s="167">
        <v>3771766900</v>
      </c>
      <c r="J835" s="167">
        <v>816566900</v>
      </c>
      <c r="K835" s="167">
        <v>2811200000</v>
      </c>
      <c r="L835" s="168">
        <v>144000000</v>
      </c>
      <c r="M835" s="168">
        <f t="shared" si="79"/>
        <v>3771766900</v>
      </c>
      <c r="N835" s="168"/>
      <c r="O835" s="167">
        <v>2652230564</v>
      </c>
      <c r="P835" s="167">
        <f t="shared" si="80"/>
        <v>2652230564</v>
      </c>
      <c r="Q835" s="167"/>
      <c r="S835" s="201">
        <f t="shared" si="81"/>
        <v>3771.7669000000001</v>
      </c>
      <c r="T835" s="201">
        <f t="shared" si="82"/>
        <v>3771.7669000000001</v>
      </c>
      <c r="U835" s="201">
        <f t="shared" si="82"/>
        <v>0</v>
      </c>
      <c r="V835" s="201">
        <f t="shared" si="82"/>
        <v>2652.230564</v>
      </c>
      <c r="W835" s="201">
        <f t="shared" si="82"/>
        <v>2652.230564</v>
      </c>
      <c r="X835" s="201">
        <f t="shared" si="82"/>
        <v>0</v>
      </c>
    </row>
    <row r="836" spans="1:24" s="169" customFormat="1" ht="13.8">
      <c r="A836" s="192"/>
      <c r="B836" s="164"/>
      <c r="C836" s="183" t="str">
        <f t="shared" si="77"/>
        <v/>
      </c>
      <c r="D836" s="182" t="str">
        <f t="shared" si="78"/>
        <v/>
      </c>
      <c r="E836" s="192" t="s">
        <v>666</v>
      </c>
      <c r="F836" s="192" t="s">
        <v>955</v>
      </c>
      <c r="G836" s="192" t="s">
        <v>695</v>
      </c>
      <c r="H836" s="210" t="s">
        <v>1440</v>
      </c>
      <c r="I836" s="167">
        <v>3771766900</v>
      </c>
      <c r="J836" s="167">
        <v>816566900</v>
      </c>
      <c r="K836" s="167">
        <v>2811200000</v>
      </c>
      <c r="L836" s="168">
        <v>144000000</v>
      </c>
      <c r="M836" s="168">
        <f t="shared" si="79"/>
        <v>3771766900</v>
      </c>
      <c r="N836" s="168"/>
      <c r="O836" s="167">
        <v>2652230564</v>
      </c>
      <c r="P836" s="167">
        <f t="shared" si="80"/>
        <v>2652230564</v>
      </c>
      <c r="Q836" s="167"/>
      <c r="S836" s="201">
        <f t="shared" si="81"/>
        <v>3771.7669000000001</v>
      </c>
      <c r="T836" s="201">
        <f t="shared" si="82"/>
        <v>3771.7669000000001</v>
      </c>
      <c r="U836" s="201">
        <f t="shared" si="82"/>
        <v>0</v>
      </c>
      <c r="V836" s="201">
        <f t="shared" si="82"/>
        <v>2652.230564</v>
      </c>
      <c r="W836" s="201">
        <f t="shared" si="82"/>
        <v>2652.230564</v>
      </c>
      <c r="X836" s="201">
        <f t="shared" si="82"/>
        <v>0</v>
      </c>
    </row>
    <row r="837" spans="1:24" s="169" customFormat="1" ht="13.8">
      <c r="A837" s="192"/>
      <c r="B837" s="164" t="s">
        <v>686</v>
      </c>
      <c r="C837" s="183" t="str">
        <f t="shared" si="77"/>
        <v/>
      </c>
      <c r="D837" s="182" t="str">
        <f t="shared" si="78"/>
        <v/>
      </c>
      <c r="E837" s="206"/>
      <c r="F837" s="207"/>
      <c r="G837" s="207"/>
      <c r="H837" s="205"/>
      <c r="I837" s="167">
        <v>41527400000</v>
      </c>
      <c r="J837" s="167">
        <v>3000000000</v>
      </c>
      <c r="K837" s="167">
        <v>14684000000</v>
      </c>
      <c r="L837" s="168">
        <v>23843400000</v>
      </c>
      <c r="M837" s="168">
        <f t="shared" si="79"/>
        <v>41527400000</v>
      </c>
      <c r="N837" s="168"/>
      <c r="O837" s="167">
        <v>36419471000</v>
      </c>
      <c r="P837" s="167">
        <f t="shared" si="80"/>
        <v>36419471000</v>
      </c>
      <c r="Q837" s="167"/>
      <c r="S837" s="201">
        <f t="shared" si="81"/>
        <v>41527.4</v>
      </c>
      <c r="T837" s="201">
        <f t="shared" si="82"/>
        <v>41527.4</v>
      </c>
      <c r="U837" s="201">
        <f t="shared" si="82"/>
        <v>0</v>
      </c>
      <c r="V837" s="201">
        <f t="shared" si="82"/>
        <v>36419.470999999998</v>
      </c>
      <c r="W837" s="201">
        <f t="shared" si="82"/>
        <v>36419.470999999998</v>
      </c>
      <c r="X837" s="201">
        <f t="shared" si="82"/>
        <v>0</v>
      </c>
    </row>
    <row r="838" spans="1:24" s="169" customFormat="1" ht="13.8">
      <c r="A838" s="193"/>
      <c r="B838" s="187"/>
      <c r="C838" s="183" t="str">
        <f t="shared" si="77"/>
        <v/>
      </c>
      <c r="D838" s="182" t="str">
        <f t="shared" si="78"/>
        <v/>
      </c>
      <c r="E838" s="192" t="s">
        <v>681</v>
      </c>
      <c r="F838" s="192" t="s">
        <v>955</v>
      </c>
      <c r="G838" s="192" t="s">
        <v>956</v>
      </c>
      <c r="H838" s="210" t="s">
        <v>1440</v>
      </c>
      <c r="I838" s="167">
        <v>38800000000</v>
      </c>
      <c r="J838" s="167">
        <v>3000000000</v>
      </c>
      <c r="K838" s="167">
        <v>14368000000</v>
      </c>
      <c r="L838" s="168">
        <v>21432000000</v>
      </c>
      <c r="M838" s="168">
        <f t="shared" si="79"/>
        <v>38800000000</v>
      </c>
      <c r="N838" s="168"/>
      <c r="O838" s="167">
        <v>35800000000</v>
      </c>
      <c r="P838" s="167">
        <f t="shared" si="80"/>
        <v>35800000000</v>
      </c>
      <c r="Q838" s="167"/>
      <c r="S838" s="201">
        <f t="shared" si="81"/>
        <v>38800</v>
      </c>
      <c r="T838" s="201">
        <f t="shared" si="82"/>
        <v>38800</v>
      </c>
      <c r="U838" s="201">
        <f t="shared" si="82"/>
        <v>0</v>
      </c>
      <c r="V838" s="201">
        <f t="shared" si="82"/>
        <v>35800</v>
      </c>
      <c r="W838" s="201">
        <f t="shared" si="82"/>
        <v>35800</v>
      </c>
      <c r="X838" s="201">
        <f t="shared" si="82"/>
        <v>0</v>
      </c>
    </row>
    <row r="839" spans="1:24" s="169" customFormat="1" ht="13.8">
      <c r="A839" s="195"/>
      <c r="B839" s="188"/>
      <c r="C839" s="183" t="str">
        <f t="shared" si="77"/>
        <v/>
      </c>
      <c r="D839" s="182" t="str">
        <f t="shared" si="78"/>
        <v/>
      </c>
      <c r="E839" s="192" t="s">
        <v>667</v>
      </c>
      <c r="F839" s="192" t="s">
        <v>955</v>
      </c>
      <c r="G839" s="192" t="s">
        <v>956</v>
      </c>
      <c r="H839" s="210" t="s">
        <v>1440</v>
      </c>
      <c r="I839" s="167">
        <v>2091400000</v>
      </c>
      <c r="J839" s="166"/>
      <c r="K839" s="166"/>
      <c r="L839" s="168">
        <v>2091400000</v>
      </c>
      <c r="M839" s="168">
        <f t="shared" si="79"/>
        <v>2091400000</v>
      </c>
      <c r="N839" s="168"/>
      <c r="O839" s="166"/>
      <c r="P839" s="167">
        <f t="shared" si="80"/>
        <v>0</v>
      </c>
      <c r="Q839" s="166"/>
      <c r="S839" s="201">
        <f t="shared" si="81"/>
        <v>2091.4</v>
      </c>
      <c r="T839" s="201">
        <f t="shared" si="82"/>
        <v>2091.4</v>
      </c>
      <c r="U839" s="201">
        <f t="shared" si="82"/>
        <v>0</v>
      </c>
      <c r="V839" s="201">
        <f t="shared" si="82"/>
        <v>0</v>
      </c>
      <c r="W839" s="201">
        <f t="shared" si="82"/>
        <v>0</v>
      </c>
      <c r="X839" s="201">
        <f t="shared" si="82"/>
        <v>0</v>
      </c>
    </row>
    <row r="840" spans="1:24" s="169" customFormat="1" ht="13.8">
      <c r="A840" s="192"/>
      <c r="B840" s="173"/>
      <c r="C840" s="183" t="str">
        <f t="shared" si="77"/>
        <v/>
      </c>
      <c r="D840" s="182" t="str">
        <f t="shared" si="78"/>
        <v/>
      </c>
      <c r="E840" s="192"/>
      <c r="F840" s="192"/>
      <c r="G840" s="192"/>
      <c r="H840" s="210"/>
      <c r="I840" s="174"/>
      <c r="J840" s="174"/>
      <c r="K840" s="174"/>
      <c r="L840" s="175"/>
      <c r="M840" s="168">
        <f t="shared" si="79"/>
        <v>0</v>
      </c>
      <c r="N840" s="175"/>
      <c r="O840" s="174"/>
      <c r="P840" s="167">
        <f t="shared" si="80"/>
        <v>0</v>
      </c>
      <c r="Q840" s="174"/>
      <c r="S840" s="201">
        <f t="shared" si="81"/>
        <v>0</v>
      </c>
      <c r="T840" s="201">
        <f t="shared" si="82"/>
        <v>0</v>
      </c>
      <c r="U840" s="201">
        <f t="shared" si="82"/>
        <v>0</v>
      </c>
      <c r="V840" s="201">
        <f t="shared" si="82"/>
        <v>0</v>
      </c>
      <c r="W840" s="201">
        <f t="shared" si="82"/>
        <v>0</v>
      </c>
      <c r="X840" s="201">
        <f t="shared" si="82"/>
        <v>0</v>
      </c>
    </row>
    <row r="841" spans="1:24" s="169" customFormat="1" ht="13.8">
      <c r="A841" s="192"/>
      <c r="B841" s="164"/>
      <c r="C841" s="183" t="str">
        <f t="shared" si="77"/>
        <v/>
      </c>
      <c r="D841" s="182" t="str">
        <f t="shared" si="78"/>
        <v/>
      </c>
      <c r="E841" s="192" t="s">
        <v>681</v>
      </c>
      <c r="F841" s="192" t="s">
        <v>955</v>
      </c>
      <c r="G841" s="192" t="s">
        <v>695</v>
      </c>
      <c r="H841" s="210" t="s">
        <v>1440</v>
      </c>
      <c r="I841" s="167">
        <v>636000000</v>
      </c>
      <c r="J841" s="166"/>
      <c r="K841" s="167">
        <v>316000000</v>
      </c>
      <c r="L841" s="168">
        <v>320000000</v>
      </c>
      <c r="M841" s="168">
        <f t="shared" si="79"/>
        <v>636000000</v>
      </c>
      <c r="N841" s="168"/>
      <c r="O841" s="167">
        <v>619471000</v>
      </c>
      <c r="P841" s="167">
        <f t="shared" si="80"/>
        <v>619471000</v>
      </c>
      <c r="Q841" s="167"/>
      <c r="S841" s="201">
        <f t="shared" si="81"/>
        <v>636</v>
      </c>
      <c r="T841" s="201">
        <f t="shared" si="82"/>
        <v>636</v>
      </c>
      <c r="U841" s="201">
        <f t="shared" si="82"/>
        <v>0</v>
      </c>
      <c r="V841" s="201">
        <f t="shared" si="82"/>
        <v>619.471</v>
      </c>
      <c r="W841" s="201">
        <f t="shared" si="82"/>
        <v>619.471</v>
      </c>
      <c r="X841" s="201">
        <f t="shared" si="82"/>
        <v>0</v>
      </c>
    </row>
    <row r="842" spans="1:24" s="169" customFormat="1" ht="13.8">
      <c r="A842" s="192" t="s">
        <v>1043</v>
      </c>
      <c r="B842" s="164" t="s">
        <v>1044</v>
      </c>
      <c r="C842" s="183" t="str">
        <f t="shared" si="77"/>
        <v>1048179</v>
      </c>
      <c r="D842" s="182" t="str">
        <f t="shared" si="78"/>
        <v>-Ban an toàn Giao thông</v>
      </c>
      <c r="E842" s="206"/>
      <c r="F842" s="207"/>
      <c r="G842" s="207"/>
      <c r="H842" s="205"/>
      <c r="I842" s="167">
        <v>814390476</v>
      </c>
      <c r="J842" s="167">
        <v>51390476</v>
      </c>
      <c r="K842" s="167">
        <v>343000000</v>
      </c>
      <c r="L842" s="168">
        <v>420000000</v>
      </c>
      <c r="M842" s="168">
        <f t="shared" si="79"/>
        <v>814390476</v>
      </c>
      <c r="N842" s="168"/>
      <c r="O842" s="167">
        <v>662961630</v>
      </c>
      <c r="P842" s="167">
        <f t="shared" si="80"/>
        <v>662961630</v>
      </c>
      <c r="Q842" s="167"/>
      <c r="S842" s="201">
        <f t="shared" si="81"/>
        <v>814.39047600000004</v>
      </c>
      <c r="T842" s="201">
        <f t="shared" si="82"/>
        <v>814.39047600000004</v>
      </c>
      <c r="U842" s="201">
        <f t="shared" si="82"/>
        <v>0</v>
      </c>
      <c r="V842" s="201">
        <f t="shared" si="82"/>
        <v>662.96163000000001</v>
      </c>
      <c r="W842" s="201">
        <f t="shared" si="82"/>
        <v>662.96163000000001</v>
      </c>
      <c r="X842" s="201">
        <f t="shared" si="82"/>
        <v>0</v>
      </c>
    </row>
    <row r="843" spans="1:24" s="169" customFormat="1" ht="13.8">
      <c r="A843" s="192" t="s">
        <v>1045</v>
      </c>
      <c r="B843" s="164" t="s">
        <v>675</v>
      </c>
      <c r="C843" s="183" t="str">
        <f t="shared" si="77"/>
        <v/>
      </c>
      <c r="D843" s="182" t="str">
        <f t="shared" si="78"/>
        <v/>
      </c>
      <c r="E843" s="206"/>
      <c r="F843" s="207"/>
      <c r="G843" s="207"/>
      <c r="H843" s="205"/>
      <c r="I843" s="167">
        <v>814390476</v>
      </c>
      <c r="J843" s="167">
        <v>51390476</v>
      </c>
      <c r="K843" s="167">
        <v>343000000</v>
      </c>
      <c r="L843" s="168">
        <v>420000000</v>
      </c>
      <c r="M843" s="168">
        <f t="shared" si="79"/>
        <v>814390476</v>
      </c>
      <c r="N843" s="168"/>
      <c r="O843" s="167">
        <v>662961630</v>
      </c>
      <c r="P843" s="167">
        <f t="shared" si="80"/>
        <v>662961630</v>
      </c>
      <c r="Q843" s="167"/>
      <c r="S843" s="201">
        <f t="shared" si="81"/>
        <v>814.39047600000004</v>
      </c>
      <c r="T843" s="201">
        <f t="shared" si="82"/>
        <v>814.39047600000004</v>
      </c>
      <c r="U843" s="201">
        <f t="shared" si="82"/>
        <v>0</v>
      </c>
      <c r="V843" s="201">
        <f t="shared" si="82"/>
        <v>662.96163000000001</v>
      </c>
      <c r="W843" s="201">
        <f t="shared" si="82"/>
        <v>662.96163000000001</v>
      </c>
      <c r="X843" s="201">
        <f t="shared" si="82"/>
        <v>0</v>
      </c>
    </row>
    <row r="844" spans="1:24" s="169" customFormat="1" ht="13.8">
      <c r="A844" s="192"/>
      <c r="B844" s="164" t="s">
        <v>680</v>
      </c>
      <c r="C844" s="183" t="str">
        <f t="shared" si="77"/>
        <v/>
      </c>
      <c r="D844" s="182" t="str">
        <f t="shared" si="78"/>
        <v/>
      </c>
      <c r="E844" s="206"/>
      <c r="F844" s="207"/>
      <c r="G844" s="207"/>
      <c r="H844" s="205"/>
      <c r="I844" s="167">
        <v>814390476</v>
      </c>
      <c r="J844" s="167">
        <v>51390476</v>
      </c>
      <c r="K844" s="167">
        <v>343000000</v>
      </c>
      <c r="L844" s="168">
        <v>420000000</v>
      </c>
      <c r="M844" s="168">
        <f t="shared" si="79"/>
        <v>814390476</v>
      </c>
      <c r="N844" s="168"/>
      <c r="O844" s="167">
        <v>662961630</v>
      </c>
      <c r="P844" s="167">
        <f t="shared" si="80"/>
        <v>662961630</v>
      </c>
      <c r="Q844" s="167"/>
      <c r="S844" s="201">
        <f t="shared" si="81"/>
        <v>814.39047600000004</v>
      </c>
      <c r="T844" s="201">
        <f t="shared" si="82"/>
        <v>814.39047600000004</v>
      </c>
      <c r="U844" s="201">
        <f t="shared" si="82"/>
        <v>0</v>
      </c>
      <c r="V844" s="201">
        <f t="shared" si="82"/>
        <v>662.96163000000001</v>
      </c>
      <c r="W844" s="201">
        <f t="shared" si="82"/>
        <v>662.96163000000001</v>
      </c>
      <c r="X844" s="201">
        <f t="shared" si="82"/>
        <v>0</v>
      </c>
    </row>
    <row r="845" spans="1:24" s="169" customFormat="1" ht="13.8">
      <c r="A845" s="192"/>
      <c r="B845" s="164"/>
      <c r="C845" s="183" t="str">
        <f t="shared" si="77"/>
        <v/>
      </c>
      <c r="D845" s="182" t="str">
        <f t="shared" si="78"/>
        <v/>
      </c>
      <c r="E845" s="192" t="s">
        <v>681</v>
      </c>
      <c r="F845" s="192" t="s">
        <v>955</v>
      </c>
      <c r="G845" s="192" t="s">
        <v>695</v>
      </c>
      <c r="H845" s="210" t="s">
        <v>1440</v>
      </c>
      <c r="I845" s="167">
        <v>814390476</v>
      </c>
      <c r="J845" s="167">
        <v>51390476</v>
      </c>
      <c r="K845" s="167">
        <v>343000000</v>
      </c>
      <c r="L845" s="168">
        <v>420000000</v>
      </c>
      <c r="M845" s="168">
        <f t="shared" si="79"/>
        <v>814390476</v>
      </c>
      <c r="N845" s="168"/>
      <c r="O845" s="167">
        <v>662961630</v>
      </c>
      <c r="P845" s="167">
        <f t="shared" si="80"/>
        <v>662961630</v>
      </c>
      <c r="Q845" s="167"/>
      <c r="S845" s="201">
        <f t="shared" si="81"/>
        <v>814.39047600000004</v>
      </c>
      <c r="T845" s="201">
        <f t="shared" ref="T845:X895" si="83">M845/1000000</f>
        <v>814.39047600000004</v>
      </c>
      <c r="U845" s="201">
        <f t="shared" si="83"/>
        <v>0</v>
      </c>
      <c r="V845" s="201">
        <f t="shared" si="83"/>
        <v>662.96163000000001</v>
      </c>
      <c r="W845" s="201">
        <f t="shared" si="83"/>
        <v>662.96163000000001</v>
      </c>
      <c r="X845" s="201">
        <f t="shared" si="83"/>
        <v>0</v>
      </c>
    </row>
    <row r="846" spans="1:24" s="169" customFormat="1" ht="13.8">
      <c r="A846" s="192" t="s">
        <v>1046</v>
      </c>
      <c r="B846" s="164" t="s">
        <v>1047</v>
      </c>
      <c r="C846" s="183" t="str">
        <f t="shared" si="77"/>
        <v>1048180</v>
      </c>
      <c r="D846" s="182" t="str">
        <f t="shared" si="78"/>
        <v>-SỜ Xây dựng</v>
      </c>
      <c r="E846" s="206"/>
      <c r="F846" s="207"/>
      <c r="G846" s="207"/>
      <c r="H846" s="205"/>
      <c r="I846" s="167">
        <v>9583131000</v>
      </c>
      <c r="J846" s="167">
        <v>782631000</v>
      </c>
      <c r="K846" s="167">
        <v>6698500000</v>
      </c>
      <c r="L846" s="168">
        <v>2102000000</v>
      </c>
      <c r="M846" s="168">
        <f t="shared" si="79"/>
        <v>9583131000</v>
      </c>
      <c r="N846" s="168"/>
      <c r="O846" s="167">
        <v>8010677000</v>
      </c>
      <c r="P846" s="167">
        <f t="shared" si="80"/>
        <v>8010677000</v>
      </c>
      <c r="Q846" s="167"/>
      <c r="S846" s="201">
        <f t="shared" si="81"/>
        <v>9583.1309999999994</v>
      </c>
      <c r="T846" s="201">
        <f t="shared" si="83"/>
        <v>9583.1309999999994</v>
      </c>
      <c r="U846" s="201">
        <f t="shared" si="83"/>
        <v>0</v>
      </c>
      <c r="V846" s="201">
        <f t="shared" si="83"/>
        <v>8010.6769999999997</v>
      </c>
      <c r="W846" s="201">
        <f t="shared" si="83"/>
        <v>8010.6769999999997</v>
      </c>
      <c r="X846" s="201">
        <f t="shared" si="83"/>
        <v>0</v>
      </c>
    </row>
    <row r="847" spans="1:24" s="169" customFormat="1" ht="13.8">
      <c r="A847" s="192" t="s">
        <v>1048</v>
      </c>
      <c r="B847" s="164" t="s">
        <v>675</v>
      </c>
      <c r="C847" s="183" t="str">
        <f t="shared" si="77"/>
        <v/>
      </c>
      <c r="D847" s="182" t="str">
        <f t="shared" si="78"/>
        <v/>
      </c>
      <c r="E847" s="206"/>
      <c r="F847" s="207"/>
      <c r="G847" s="207"/>
      <c r="H847" s="205"/>
      <c r="I847" s="167">
        <v>9583131000</v>
      </c>
      <c r="J847" s="167">
        <v>782631000</v>
      </c>
      <c r="K847" s="167">
        <v>6698500000</v>
      </c>
      <c r="L847" s="168">
        <v>2102000000</v>
      </c>
      <c r="M847" s="168">
        <f t="shared" si="79"/>
        <v>9583131000</v>
      </c>
      <c r="N847" s="168"/>
      <c r="O847" s="167">
        <v>8010677000</v>
      </c>
      <c r="P847" s="167">
        <f t="shared" si="80"/>
        <v>8010677000</v>
      </c>
      <c r="Q847" s="167"/>
      <c r="S847" s="201">
        <f t="shared" si="81"/>
        <v>9583.1309999999994</v>
      </c>
      <c r="T847" s="201">
        <f t="shared" si="83"/>
        <v>9583.1309999999994</v>
      </c>
      <c r="U847" s="201">
        <f t="shared" si="83"/>
        <v>0</v>
      </c>
      <c r="V847" s="201">
        <f t="shared" si="83"/>
        <v>8010.6769999999997</v>
      </c>
      <c r="W847" s="201">
        <f t="shared" si="83"/>
        <v>8010.6769999999997</v>
      </c>
      <c r="X847" s="201">
        <f t="shared" si="83"/>
        <v>0</v>
      </c>
    </row>
    <row r="848" spans="1:24" s="169" customFormat="1" ht="13.8">
      <c r="A848" s="192"/>
      <c r="B848" s="164" t="s">
        <v>676</v>
      </c>
      <c r="C848" s="183" t="str">
        <f t="shared" si="77"/>
        <v/>
      </c>
      <c r="D848" s="182" t="str">
        <f t="shared" si="78"/>
        <v/>
      </c>
      <c r="E848" s="206"/>
      <c r="F848" s="207"/>
      <c r="G848" s="207"/>
      <c r="H848" s="205"/>
      <c r="I848" s="167">
        <v>3522500000</v>
      </c>
      <c r="J848" s="166"/>
      <c r="K848" s="167">
        <v>3522500000</v>
      </c>
      <c r="L848" s="171"/>
      <c r="M848" s="168">
        <f t="shared" si="79"/>
        <v>3522500000</v>
      </c>
      <c r="N848" s="171"/>
      <c r="O848" s="167">
        <v>3522500000</v>
      </c>
      <c r="P848" s="167">
        <f t="shared" si="80"/>
        <v>3522500000</v>
      </c>
      <c r="Q848" s="167"/>
      <c r="S848" s="201">
        <f t="shared" si="81"/>
        <v>3522.5</v>
      </c>
      <c r="T848" s="201">
        <f t="shared" si="83"/>
        <v>3522.5</v>
      </c>
      <c r="U848" s="201">
        <f t="shared" si="83"/>
        <v>0</v>
      </c>
      <c r="V848" s="201">
        <f t="shared" si="83"/>
        <v>3522.5</v>
      </c>
      <c r="W848" s="201">
        <f t="shared" si="83"/>
        <v>3522.5</v>
      </c>
      <c r="X848" s="201">
        <f t="shared" si="83"/>
        <v>0</v>
      </c>
    </row>
    <row r="849" spans="1:24" s="169" customFormat="1" ht="13.8">
      <c r="A849" s="192"/>
      <c r="B849" s="164"/>
      <c r="C849" s="183" t="str">
        <f t="shared" si="77"/>
        <v/>
      </c>
      <c r="D849" s="182" t="str">
        <f t="shared" si="78"/>
        <v/>
      </c>
      <c r="E849" s="192" t="s">
        <v>666</v>
      </c>
      <c r="F849" s="192" t="s">
        <v>1049</v>
      </c>
      <c r="G849" s="192" t="s">
        <v>695</v>
      </c>
      <c r="H849" s="210" t="s">
        <v>1440</v>
      </c>
      <c r="I849" s="167">
        <v>3522500000</v>
      </c>
      <c r="J849" s="166"/>
      <c r="K849" s="167">
        <v>3522500000</v>
      </c>
      <c r="L849" s="171"/>
      <c r="M849" s="168">
        <f t="shared" si="79"/>
        <v>3522500000</v>
      </c>
      <c r="N849" s="171"/>
      <c r="O849" s="167">
        <v>3522500000</v>
      </c>
      <c r="P849" s="167">
        <f t="shared" si="80"/>
        <v>3522500000</v>
      </c>
      <c r="Q849" s="167"/>
      <c r="S849" s="201">
        <f t="shared" si="81"/>
        <v>3522.5</v>
      </c>
      <c r="T849" s="201">
        <f t="shared" si="83"/>
        <v>3522.5</v>
      </c>
      <c r="U849" s="201">
        <f t="shared" si="83"/>
        <v>0</v>
      </c>
      <c r="V849" s="201">
        <f t="shared" si="83"/>
        <v>3522.5</v>
      </c>
      <c r="W849" s="201">
        <f t="shared" si="83"/>
        <v>3522.5</v>
      </c>
      <c r="X849" s="201">
        <f t="shared" si="83"/>
        <v>0</v>
      </c>
    </row>
    <row r="850" spans="1:24" s="169" customFormat="1" ht="13.8">
      <c r="A850" s="192"/>
      <c r="B850" s="164" t="s">
        <v>680</v>
      </c>
      <c r="C850" s="183" t="str">
        <f t="shared" si="77"/>
        <v/>
      </c>
      <c r="D850" s="182" t="str">
        <f t="shared" si="78"/>
        <v/>
      </c>
      <c r="E850" s="206"/>
      <c r="F850" s="207"/>
      <c r="G850" s="207"/>
      <c r="H850" s="205"/>
      <c r="I850" s="167">
        <v>6060631000</v>
      </c>
      <c r="J850" s="167">
        <v>782631000</v>
      </c>
      <c r="K850" s="167">
        <v>3176000000</v>
      </c>
      <c r="L850" s="168">
        <v>2102000000</v>
      </c>
      <c r="M850" s="168">
        <f t="shared" si="79"/>
        <v>6060631000</v>
      </c>
      <c r="N850" s="168"/>
      <c r="O850" s="167">
        <v>4488177000</v>
      </c>
      <c r="P850" s="167">
        <f t="shared" si="80"/>
        <v>4488177000</v>
      </c>
      <c r="Q850" s="167"/>
      <c r="S850" s="201">
        <f t="shared" si="81"/>
        <v>6060.6310000000003</v>
      </c>
      <c r="T850" s="201">
        <f t="shared" si="83"/>
        <v>6060.6310000000003</v>
      </c>
      <c r="U850" s="201">
        <f t="shared" si="83"/>
        <v>0</v>
      </c>
      <c r="V850" s="201">
        <f t="shared" si="83"/>
        <v>4488.1769999999997</v>
      </c>
      <c r="W850" s="201">
        <f t="shared" si="83"/>
        <v>4488.1769999999997</v>
      </c>
      <c r="X850" s="201">
        <f t="shared" si="83"/>
        <v>0</v>
      </c>
    </row>
    <row r="851" spans="1:24" s="169" customFormat="1" ht="13.8">
      <c r="A851" s="193"/>
      <c r="B851" s="187"/>
      <c r="C851" s="183" t="str">
        <f t="shared" si="77"/>
        <v/>
      </c>
      <c r="D851" s="182" t="str">
        <f t="shared" si="78"/>
        <v/>
      </c>
      <c r="E851" s="192" t="s">
        <v>681</v>
      </c>
      <c r="F851" s="192" t="s">
        <v>1049</v>
      </c>
      <c r="G851" s="192" t="s">
        <v>1050</v>
      </c>
      <c r="H851" s="210" t="s">
        <v>1440</v>
      </c>
      <c r="I851" s="167">
        <v>5752631000</v>
      </c>
      <c r="J851" s="167">
        <v>782631000</v>
      </c>
      <c r="K851" s="167">
        <v>3120000000</v>
      </c>
      <c r="L851" s="168">
        <v>1850000000</v>
      </c>
      <c r="M851" s="168">
        <f t="shared" si="79"/>
        <v>5752631000</v>
      </c>
      <c r="N851" s="168"/>
      <c r="O851" s="167">
        <v>4180177000</v>
      </c>
      <c r="P851" s="167">
        <f t="shared" si="80"/>
        <v>4180177000</v>
      </c>
      <c r="Q851" s="167"/>
      <c r="S851" s="201">
        <f t="shared" si="81"/>
        <v>5752.6310000000003</v>
      </c>
      <c r="T851" s="201">
        <f t="shared" si="83"/>
        <v>5752.6310000000003</v>
      </c>
      <c r="U851" s="201">
        <f t="shared" si="83"/>
        <v>0</v>
      </c>
      <c r="V851" s="201">
        <f t="shared" si="83"/>
        <v>4180.1769999999997</v>
      </c>
      <c r="W851" s="201">
        <f t="shared" si="83"/>
        <v>4180.1769999999997</v>
      </c>
      <c r="X851" s="201">
        <f t="shared" si="83"/>
        <v>0</v>
      </c>
    </row>
    <row r="852" spans="1:24" s="169" customFormat="1" ht="13.8">
      <c r="A852" s="194"/>
      <c r="B852" s="184"/>
      <c r="C852" s="183" t="str">
        <f t="shared" si="77"/>
        <v/>
      </c>
      <c r="D852" s="182" t="str">
        <f t="shared" si="78"/>
        <v/>
      </c>
      <c r="E852" s="192" t="s">
        <v>681</v>
      </c>
      <c r="F852" s="192" t="s">
        <v>1049</v>
      </c>
      <c r="G852" s="192" t="s">
        <v>695</v>
      </c>
      <c r="H852" s="210" t="s">
        <v>1440</v>
      </c>
      <c r="I852" s="167">
        <v>285000000</v>
      </c>
      <c r="J852" s="166"/>
      <c r="K852" s="167">
        <v>56000000</v>
      </c>
      <c r="L852" s="168">
        <v>229000000</v>
      </c>
      <c r="M852" s="168">
        <f t="shared" si="79"/>
        <v>285000000</v>
      </c>
      <c r="N852" s="168"/>
      <c r="O852" s="167">
        <v>285000000</v>
      </c>
      <c r="P852" s="167">
        <f t="shared" si="80"/>
        <v>285000000</v>
      </c>
      <c r="Q852" s="167"/>
      <c r="S852" s="201">
        <f t="shared" si="81"/>
        <v>285</v>
      </c>
      <c r="T852" s="201">
        <f t="shared" si="83"/>
        <v>285</v>
      </c>
      <c r="U852" s="201">
        <f t="shared" si="83"/>
        <v>0</v>
      </c>
      <c r="V852" s="201">
        <f t="shared" si="83"/>
        <v>285</v>
      </c>
      <c r="W852" s="201">
        <f t="shared" si="83"/>
        <v>285</v>
      </c>
      <c r="X852" s="201">
        <f t="shared" si="83"/>
        <v>0</v>
      </c>
    </row>
    <row r="853" spans="1:24" s="169" customFormat="1" ht="13.8">
      <c r="A853" s="195"/>
      <c r="B853" s="188"/>
      <c r="C853" s="183" t="str">
        <f t="shared" si="77"/>
        <v/>
      </c>
      <c r="D853" s="182" t="str">
        <f t="shared" si="78"/>
        <v/>
      </c>
      <c r="E853" s="192" t="s">
        <v>667</v>
      </c>
      <c r="F853" s="192" t="s">
        <v>1049</v>
      </c>
      <c r="G853" s="192" t="s">
        <v>695</v>
      </c>
      <c r="H853" s="210" t="s">
        <v>1440</v>
      </c>
      <c r="I853" s="167">
        <v>23000000</v>
      </c>
      <c r="J853" s="166"/>
      <c r="K853" s="166"/>
      <c r="L853" s="168">
        <v>23000000</v>
      </c>
      <c r="M853" s="168">
        <f t="shared" si="79"/>
        <v>23000000</v>
      </c>
      <c r="N853" s="168"/>
      <c r="O853" s="167">
        <v>23000000</v>
      </c>
      <c r="P853" s="167">
        <f t="shared" si="80"/>
        <v>23000000</v>
      </c>
      <c r="Q853" s="167"/>
      <c r="S853" s="201">
        <f t="shared" si="81"/>
        <v>23</v>
      </c>
      <c r="T853" s="201">
        <f t="shared" si="83"/>
        <v>23</v>
      </c>
      <c r="U853" s="201">
        <f t="shared" si="83"/>
        <v>0</v>
      </c>
      <c r="V853" s="201">
        <f t="shared" si="83"/>
        <v>23</v>
      </c>
      <c r="W853" s="201">
        <f t="shared" si="83"/>
        <v>23</v>
      </c>
      <c r="X853" s="201">
        <f t="shared" si="83"/>
        <v>0</v>
      </c>
    </row>
    <row r="854" spans="1:24" s="169" customFormat="1" ht="26.4">
      <c r="A854" s="192" t="s">
        <v>1051</v>
      </c>
      <c r="B854" s="176" t="s">
        <v>1052</v>
      </c>
      <c r="C854" s="183" t="str">
        <f t="shared" ref="C854:C917" si="84">IF(B854&lt;&gt;"",IF(AND(LEFT(B854,1)&gt;="0",LEFT(B854,1)&lt;="9"),LEFT(B854,7),""),"")</f>
        <v>1048181</v>
      </c>
      <c r="D854" s="182" t="str">
        <f t="shared" si="78"/>
        <v>-Hội Liên hiệp Phụ nữ tỉnh &lt;ontum</v>
      </c>
      <c r="E854" s="206"/>
      <c r="F854" s="207"/>
      <c r="G854" s="207"/>
      <c r="H854" s="205"/>
      <c r="I854" s="167">
        <v>5088199000</v>
      </c>
      <c r="J854" s="166"/>
      <c r="K854" s="167">
        <v>4278000000</v>
      </c>
      <c r="L854" s="168">
        <v>810199000</v>
      </c>
      <c r="M854" s="168">
        <f t="shared" si="79"/>
        <v>5088199000</v>
      </c>
      <c r="N854" s="168"/>
      <c r="O854" s="167">
        <v>5088199000</v>
      </c>
      <c r="P854" s="167">
        <f t="shared" si="80"/>
        <v>5088199000</v>
      </c>
      <c r="Q854" s="167"/>
      <c r="S854" s="201">
        <f t="shared" si="81"/>
        <v>5088.1989999999996</v>
      </c>
      <c r="T854" s="201">
        <f t="shared" si="83"/>
        <v>5088.1989999999996</v>
      </c>
      <c r="U854" s="201">
        <f t="shared" si="83"/>
        <v>0</v>
      </c>
      <c r="V854" s="201">
        <f t="shared" si="83"/>
        <v>5088.1989999999996</v>
      </c>
      <c r="W854" s="201">
        <f t="shared" si="83"/>
        <v>5088.1989999999996</v>
      </c>
      <c r="X854" s="201">
        <f t="shared" si="83"/>
        <v>0</v>
      </c>
    </row>
    <row r="855" spans="1:24" s="169" customFormat="1" ht="13.8">
      <c r="A855" s="192" t="s">
        <v>1053</v>
      </c>
      <c r="B855" s="164" t="s">
        <v>675</v>
      </c>
      <c r="C855" s="183" t="str">
        <f t="shared" si="84"/>
        <v/>
      </c>
      <c r="D855" s="182" t="str">
        <f t="shared" ref="D855:D918" si="85">IF(C855&lt;&gt;"",RIGHT(B855,LEN(B855)-7),"")</f>
        <v/>
      </c>
      <c r="E855" s="206"/>
      <c r="F855" s="207"/>
      <c r="G855" s="207"/>
      <c r="H855" s="205"/>
      <c r="I855" s="167">
        <v>5088199000</v>
      </c>
      <c r="J855" s="166"/>
      <c r="K855" s="167">
        <v>4278000000</v>
      </c>
      <c r="L855" s="168">
        <v>810199000</v>
      </c>
      <c r="M855" s="168">
        <f t="shared" ref="M855:M918" si="86">I855-N855</f>
        <v>5088199000</v>
      </c>
      <c r="N855" s="168"/>
      <c r="O855" s="167">
        <v>5088199000</v>
      </c>
      <c r="P855" s="167">
        <f t="shared" ref="P855:P918" si="87">O855-Q855</f>
        <v>5088199000</v>
      </c>
      <c r="Q855" s="167"/>
      <c r="S855" s="201">
        <f t="shared" ref="S855:S918" si="88">I855/1000000</f>
        <v>5088.1989999999996</v>
      </c>
      <c r="T855" s="201">
        <f t="shared" si="83"/>
        <v>5088.1989999999996</v>
      </c>
      <c r="U855" s="201">
        <f t="shared" si="83"/>
        <v>0</v>
      </c>
      <c r="V855" s="201">
        <f t="shared" si="83"/>
        <v>5088.1989999999996</v>
      </c>
      <c r="W855" s="201">
        <f t="shared" si="83"/>
        <v>5088.1989999999996</v>
      </c>
      <c r="X855" s="201">
        <f t="shared" si="83"/>
        <v>0</v>
      </c>
    </row>
    <row r="856" spans="1:24" s="169" customFormat="1" ht="13.8">
      <c r="A856" s="192"/>
      <c r="B856" s="164" t="s">
        <v>676</v>
      </c>
      <c r="C856" s="183" t="str">
        <f t="shared" si="84"/>
        <v/>
      </c>
      <c r="D856" s="182" t="str">
        <f t="shared" si="85"/>
        <v/>
      </c>
      <c r="E856" s="206"/>
      <c r="F856" s="207"/>
      <c r="G856" s="207"/>
      <c r="H856" s="205"/>
      <c r="I856" s="167">
        <v>3323843000</v>
      </c>
      <c r="J856" s="166"/>
      <c r="K856" s="167">
        <v>3102000000</v>
      </c>
      <c r="L856" s="168">
        <v>221843000</v>
      </c>
      <c r="M856" s="168">
        <f t="shared" si="86"/>
        <v>3323843000</v>
      </c>
      <c r="N856" s="168"/>
      <c r="O856" s="167">
        <v>3323843000</v>
      </c>
      <c r="P856" s="167">
        <f t="shared" si="87"/>
        <v>3323843000</v>
      </c>
      <c r="Q856" s="167"/>
      <c r="S856" s="201">
        <f t="shared" si="88"/>
        <v>3323.8429999999998</v>
      </c>
      <c r="T856" s="201">
        <f t="shared" si="83"/>
        <v>3323.8429999999998</v>
      </c>
      <c r="U856" s="201">
        <f t="shared" si="83"/>
        <v>0</v>
      </c>
      <c r="V856" s="201">
        <f t="shared" si="83"/>
        <v>3323.8429999999998</v>
      </c>
      <c r="W856" s="201">
        <f t="shared" si="83"/>
        <v>3323.8429999999998</v>
      </c>
      <c r="X856" s="201">
        <f t="shared" si="83"/>
        <v>0</v>
      </c>
    </row>
    <row r="857" spans="1:24" s="169" customFormat="1" ht="13.8">
      <c r="A857" s="193"/>
      <c r="B857" s="187"/>
      <c r="C857" s="183" t="str">
        <f t="shared" si="84"/>
        <v/>
      </c>
      <c r="D857" s="182" t="str">
        <f t="shared" si="85"/>
        <v/>
      </c>
      <c r="E857" s="192" t="s">
        <v>666</v>
      </c>
      <c r="F857" s="192" t="s">
        <v>1054</v>
      </c>
      <c r="G857" s="192" t="s">
        <v>786</v>
      </c>
      <c r="H857" s="210" t="s">
        <v>1440</v>
      </c>
      <c r="I857" s="167">
        <v>3247943000</v>
      </c>
      <c r="J857" s="166"/>
      <c r="K857" s="167">
        <v>3102000000</v>
      </c>
      <c r="L857" s="168">
        <v>145943000</v>
      </c>
      <c r="M857" s="168">
        <f t="shared" si="86"/>
        <v>3247943000</v>
      </c>
      <c r="N857" s="168"/>
      <c r="O857" s="167">
        <v>3247943000</v>
      </c>
      <c r="P857" s="167">
        <f t="shared" si="87"/>
        <v>3247943000</v>
      </c>
      <c r="Q857" s="167"/>
      <c r="S857" s="201">
        <f t="shared" si="88"/>
        <v>3247.9430000000002</v>
      </c>
      <c r="T857" s="201">
        <f t="shared" si="83"/>
        <v>3247.9430000000002</v>
      </c>
      <c r="U857" s="201">
        <f t="shared" si="83"/>
        <v>0</v>
      </c>
      <c r="V857" s="201">
        <f t="shared" si="83"/>
        <v>3247.9430000000002</v>
      </c>
      <c r="W857" s="201">
        <f t="shared" si="83"/>
        <v>3247.9430000000002</v>
      </c>
      <c r="X857" s="201">
        <f t="shared" si="83"/>
        <v>0</v>
      </c>
    </row>
    <row r="858" spans="1:24" s="169" customFormat="1" ht="13.8">
      <c r="A858" s="195"/>
      <c r="B858" s="188"/>
      <c r="C858" s="183" t="str">
        <f t="shared" si="84"/>
        <v/>
      </c>
      <c r="D858" s="182" t="str">
        <f t="shared" si="85"/>
        <v/>
      </c>
      <c r="E858" s="192" t="s">
        <v>679</v>
      </c>
      <c r="F858" s="192" t="s">
        <v>1054</v>
      </c>
      <c r="G858" s="192" t="s">
        <v>786</v>
      </c>
      <c r="H858" s="210" t="s">
        <v>1440</v>
      </c>
      <c r="I858" s="167">
        <v>75900000</v>
      </c>
      <c r="J858" s="166"/>
      <c r="K858" s="166"/>
      <c r="L858" s="168">
        <v>75900000</v>
      </c>
      <c r="M858" s="168">
        <f t="shared" si="86"/>
        <v>75900000</v>
      </c>
      <c r="N858" s="168"/>
      <c r="O858" s="167">
        <v>75900000</v>
      </c>
      <c r="P858" s="167">
        <f t="shared" si="87"/>
        <v>75900000</v>
      </c>
      <c r="Q858" s="167"/>
      <c r="S858" s="201">
        <f t="shared" si="88"/>
        <v>75.900000000000006</v>
      </c>
      <c r="T858" s="201">
        <f t="shared" si="83"/>
        <v>75.900000000000006</v>
      </c>
      <c r="U858" s="201">
        <f t="shared" si="83"/>
        <v>0</v>
      </c>
      <c r="V858" s="201">
        <f t="shared" si="83"/>
        <v>75.900000000000006</v>
      </c>
      <c r="W858" s="201">
        <f t="shared" si="83"/>
        <v>75.900000000000006</v>
      </c>
      <c r="X858" s="201">
        <f t="shared" si="83"/>
        <v>0</v>
      </c>
    </row>
    <row r="859" spans="1:24" s="169" customFormat="1" ht="13.8">
      <c r="A859" s="192"/>
      <c r="B859" s="164" t="s">
        <v>680</v>
      </c>
      <c r="C859" s="183" t="str">
        <f t="shared" si="84"/>
        <v/>
      </c>
      <c r="D859" s="182" t="str">
        <f t="shared" si="85"/>
        <v/>
      </c>
      <c r="E859" s="206"/>
      <c r="F859" s="207"/>
      <c r="G859" s="207"/>
      <c r="H859" s="205"/>
      <c r="I859" s="167">
        <v>1764356000</v>
      </c>
      <c r="J859" s="166"/>
      <c r="K859" s="167">
        <v>1176000000</v>
      </c>
      <c r="L859" s="168">
        <v>588356000</v>
      </c>
      <c r="M859" s="168">
        <f t="shared" si="86"/>
        <v>1764356000</v>
      </c>
      <c r="N859" s="168"/>
      <c r="O859" s="167">
        <v>1764356000</v>
      </c>
      <c r="P859" s="167">
        <f t="shared" si="87"/>
        <v>1764356000</v>
      </c>
      <c r="Q859" s="167"/>
      <c r="S859" s="201">
        <f t="shared" si="88"/>
        <v>1764.356</v>
      </c>
      <c r="T859" s="201">
        <f t="shared" si="83"/>
        <v>1764.356</v>
      </c>
      <c r="U859" s="201">
        <f t="shared" si="83"/>
        <v>0</v>
      </c>
      <c r="V859" s="201">
        <f t="shared" si="83"/>
        <v>1764.356</v>
      </c>
      <c r="W859" s="201">
        <f t="shared" si="83"/>
        <v>1764.356</v>
      </c>
      <c r="X859" s="201">
        <f t="shared" si="83"/>
        <v>0</v>
      </c>
    </row>
    <row r="860" spans="1:24" s="169" customFormat="1" ht="13.8">
      <c r="A860" s="193"/>
      <c r="B860" s="187"/>
      <c r="C860" s="183" t="str">
        <f t="shared" si="84"/>
        <v/>
      </c>
      <c r="D860" s="182" t="str">
        <f t="shared" si="85"/>
        <v/>
      </c>
      <c r="E860" s="192" t="s">
        <v>681</v>
      </c>
      <c r="F860" s="192" t="s">
        <v>1054</v>
      </c>
      <c r="G860" s="192" t="s">
        <v>786</v>
      </c>
      <c r="H860" s="210" t="s">
        <v>1440</v>
      </c>
      <c r="I860" s="167">
        <v>1206400000</v>
      </c>
      <c r="J860" s="166"/>
      <c r="K860" s="167">
        <v>1176000000</v>
      </c>
      <c r="L860" s="168">
        <v>30400000</v>
      </c>
      <c r="M860" s="168">
        <f t="shared" si="86"/>
        <v>1206400000</v>
      </c>
      <c r="N860" s="168"/>
      <c r="O860" s="167">
        <v>1206400000</v>
      </c>
      <c r="P860" s="167">
        <f t="shared" si="87"/>
        <v>1206400000</v>
      </c>
      <c r="Q860" s="167"/>
      <c r="S860" s="201">
        <f t="shared" si="88"/>
        <v>1206.4000000000001</v>
      </c>
      <c r="T860" s="201">
        <f t="shared" si="83"/>
        <v>1206.4000000000001</v>
      </c>
      <c r="U860" s="201">
        <f t="shared" si="83"/>
        <v>0</v>
      </c>
      <c r="V860" s="201">
        <f t="shared" si="83"/>
        <v>1206.4000000000001</v>
      </c>
      <c r="W860" s="201">
        <f t="shared" si="83"/>
        <v>1206.4000000000001</v>
      </c>
      <c r="X860" s="201">
        <f t="shared" si="83"/>
        <v>0</v>
      </c>
    </row>
    <row r="861" spans="1:24" s="169" customFormat="1" ht="13.8">
      <c r="A861" s="195"/>
      <c r="B861" s="188"/>
      <c r="C861" s="183" t="str">
        <f t="shared" si="84"/>
        <v/>
      </c>
      <c r="D861" s="182" t="str">
        <f t="shared" si="85"/>
        <v/>
      </c>
      <c r="E861" s="192" t="s">
        <v>681</v>
      </c>
      <c r="F861" s="192" t="s">
        <v>1054</v>
      </c>
      <c r="G861" s="192" t="s">
        <v>915</v>
      </c>
      <c r="H861" s="210" t="s">
        <v>1440</v>
      </c>
      <c r="I861" s="167">
        <v>557956000</v>
      </c>
      <c r="J861" s="166"/>
      <c r="K861" s="166"/>
      <c r="L861" s="168">
        <v>557956000</v>
      </c>
      <c r="M861" s="168">
        <f t="shared" si="86"/>
        <v>557956000</v>
      </c>
      <c r="N861" s="168"/>
      <c r="O861" s="167">
        <v>557956000</v>
      </c>
      <c r="P861" s="167">
        <f t="shared" si="87"/>
        <v>557956000</v>
      </c>
      <c r="Q861" s="167"/>
      <c r="S861" s="201">
        <f t="shared" si="88"/>
        <v>557.95600000000002</v>
      </c>
      <c r="T861" s="201">
        <f t="shared" si="83"/>
        <v>557.95600000000002</v>
      </c>
      <c r="U861" s="201">
        <f t="shared" si="83"/>
        <v>0</v>
      </c>
      <c r="V861" s="201">
        <f t="shared" si="83"/>
        <v>557.95600000000002</v>
      </c>
      <c r="W861" s="201">
        <f t="shared" si="83"/>
        <v>557.95600000000002</v>
      </c>
      <c r="X861" s="201">
        <f t="shared" si="83"/>
        <v>0</v>
      </c>
    </row>
    <row r="862" spans="1:24" s="169" customFormat="1" ht="26.4">
      <c r="A862" s="192" t="s">
        <v>1055</v>
      </c>
      <c r="B862" s="176" t="s">
        <v>1056</v>
      </c>
      <c r="C862" s="183" t="str">
        <f t="shared" si="84"/>
        <v>1048182</v>
      </c>
      <c r="D862" s="182" t="str">
        <f t="shared" si="85"/>
        <v>-Văn phòng sờ Công Thương ■ tỉnh Kontum</v>
      </c>
      <c r="E862" s="206"/>
      <c r="F862" s="207"/>
      <c r="G862" s="207"/>
      <c r="H862" s="205"/>
      <c r="I862" s="167">
        <v>5384000000</v>
      </c>
      <c r="J862" s="167">
        <v>104000000</v>
      </c>
      <c r="K862" s="167">
        <v>4643400000</v>
      </c>
      <c r="L862" s="168">
        <v>636600000</v>
      </c>
      <c r="M862" s="168">
        <f t="shared" si="86"/>
        <v>5384000000</v>
      </c>
      <c r="N862" s="168"/>
      <c r="O862" s="167">
        <v>5383965000</v>
      </c>
      <c r="P862" s="167">
        <f t="shared" si="87"/>
        <v>5383965000</v>
      </c>
      <c r="Q862" s="167"/>
      <c r="S862" s="201">
        <f t="shared" si="88"/>
        <v>5384</v>
      </c>
      <c r="T862" s="201">
        <f t="shared" si="83"/>
        <v>5384</v>
      </c>
      <c r="U862" s="201">
        <f t="shared" si="83"/>
        <v>0</v>
      </c>
      <c r="V862" s="201">
        <f t="shared" si="83"/>
        <v>5383.9650000000001</v>
      </c>
      <c r="W862" s="201">
        <f t="shared" si="83"/>
        <v>5383.9650000000001</v>
      </c>
      <c r="X862" s="201">
        <f t="shared" si="83"/>
        <v>0</v>
      </c>
    </row>
    <row r="863" spans="1:24" s="169" customFormat="1" ht="13.8">
      <c r="A863" s="192" t="s">
        <v>1057</v>
      </c>
      <c r="B863" s="164" t="s">
        <v>675</v>
      </c>
      <c r="C863" s="183" t="str">
        <f t="shared" si="84"/>
        <v/>
      </c>
      <c r="D863" s="182" t="str">
        <f t="shared" si="85"/>
        <v/>
      </c>
      <c r="E863" s="206"/>
      <c r="F863" s="207"/>
      <c r="G863" s="207"/>
      <c r="H863" s="205"/>
      <c r="I863" s="167">
        <v>5384000000</v>
      </c>
      <c r="J863" s="167">
        <v>104000000</v>
      </c>
      <c r="K863" s="167">
        <v>4643400000</v>
      </c>
      <c r="L863" s="168">
        <v>636600000</v>
      </c>
      <c r="M863" s="168">
        <f t="shared" si="86"/>
        <v>5384000000</v>
      </c>
      <c r="N863" s="168"/>
      <c r="O863" s="167">
        <v>5383965000</v>
      </c>
      <c r="P863" s="167">
        <f t="shared" si="87"/>
        <v>5383965000</v>
      </c>
      <c r="Q863" s="167"/>
      <c r="S863" s="201">
        <f t="shared" si="88"/>
        <v>5384</v>
      </c>
      <c r="T863" s="201">
        <f t="shared" si="83"/>
        <v>5384</v>
      </c>
      <c r="U863" s="201">
        <f t="shared" si="83"/>
        <v>0</v>
      </c>
      <c r="V863" s="201">
        <f t="shared" si="83"/>
        <v>5383.9650000000001</v>
      </c>
      <c r="W863" s="201">
        <f t="shared" si="83"/>
        <v>5383.9650000000001</v>
      </c>
      <c r="X863" s="201">
        <f t="shared" si="83"/>
        <v>0</v>
      </c>
    </row>
    <row r="864" spans="1:24" s="169" customFormat="1" ht="13.8">
      <c r="A864" s="192"/>
      <c r="B864" s="164" t="s">
        <v>676</v>
      </c>
      <c r="C864" s="183" t="str">
        <f t="shared" si="84"/>
        <v/>
      </c>
      <c r="D864" s="182" t="str">
        <f t="shared" si="85"/>
        <v/>
      </c>
      <c r="E864" s="206"/>
      <c r="F864" s="207"/>
      <c r="G864" s="207"/>
      <c r="H864" s="205"/>
      <c r="I864" s="167">
        <v>4479400000</v>
      </c>
      <c r="J864" s="167">
        <v>104000000</v>
      </c>
      <c r="K864" s="167">
        <v>4375400000</v>
      </c>
      <c r="L864" s="171"/>
      <c r="M864" s="168">
        <f t="shared" si="86"/>
        <v>4479400000</v>
      </c>
      <c r="N864" s="171"/>
      <c r="O864" s="167">
        <v>4479400000</v>
      </c>
      <c r="P864" s="167">
        <f t="shared" si="87"/>
        <v>4479400000</v>
      </c>
      <c r="Q864" s="167"/>
      <c r="S864" s="201">
        <f t="shared" si="88"/>
        <v>4479.3999999999996</v>
      </c>
      <c r="T864" s="201">
        <f t="shared" si="83"/>
        <v>4479.3999999999996</v>
      </c>
      <c r="U864" s="201">
        <f t="shared" si="83"/>
        <v>0</v>
      </c>
      <c r="V864" s="201">
        <f t="shared" si="83"/>
        <v>4479.3999999999996</v>
      </c>
      <c r="W864" s="201">
        <f t="shared" si="83"/>
        <v>4479.3999999999996</v>
      </c>
      <c r="X864" s="201">
        <f t="shared" si="83"/>
        <v>0</v>
      </c>
    </row>
    <row r="865" spans="1:24" s="169" customFormat="1" ht="13.8">
      <c r="A865" s="192"/>
      <c r="B865" s="164"/>
      <c r="C865" s="183" t="str">
        <f t="shared" si="84"/>
        <v/>
      </c>
      <c r="D865" s="182" t="str">
        <f t="shared" si="85"/>
        <v/>
      </c>
      <c r="E865" s="192" t="s">
        <v>666</v>
      </c>
      <c r="F865" s="192" t="s">
        <v>943</v>
      </c>
      <c r="G865" s="192" t="s">
        <v>695</v>
      </c>
      <c r="H865" s="210" t="s">
        <v>1440</v>
      </c>
      <c r="I865" s="167">
        <v>4479400000</v>
      </c>
      <c r="J865" s="167">
        <v>104000000</v>
      </c>
      <c r="K865" s="167">
        <v>4375400000</v>
      </c>
      <c r="L865" s="171"/>
      <c r="M865" s="168">
        <f t="shared" si="86"/>
        <v>4479400000</v>
      </c>
      <c r="N865" s="171"/>
      <c r="O865" s="167">
        <v>4479400000</v>
      </c>
      <c r="P865" s="167">
        <f t="shared" si="87"/>
        <v>4479400000</v>
      </c>
      <c r="Q865" s="167"/>
      <c r="S865" s="201">
        <f t="shared" si="88"/>
        <v>4479.3999999999996</v>
      </c>
      <c r="T865" s="201">
        <f t="shared" si="83"/>
        <v>4479.3999999999996</v>
      </c>
      <c r="U865" s="201">
        <f t="shared" si="83"/>
        <v>0</v>
      </c>
      <c r="V865" s="201">
        <f t="shared" si="83"/>
        <v>4479.3999999999996</v>
      </c>
      <c r="W865" s="201">
        <f t="shared" si="83"/>
        <v>4479.3999999999996</v>
      </c>
      <c r="X865" s="201">
        <f t="shared" si="83"/>
        <v>0</v>
      </c>
    </row>
    <row r="866" spans="1:24" s="169" customFormat="1" ht="13.8">
      <c r="A866" s="192"/>
      <c r="B866" s="164" t="s">
        <v>680</v>
      </c>
      <c r="C866" s="183" t="str">
        <f t="shared" si="84"/>
        <v/>
      </c>
      <c r="D866" s="182" t="str">
        <f t="shared" si="85"/>
        <v/>
      </c>
      <c r="E866" s="206"/>
      <c r="F866" s="207"/>
      <c r="G866" s="207"/>
      <c r="H866" s="205"/>
      <c r="I866" s="167">
        <v>904600000</v>
      </c>
      <c r="J866" s="166"/>
      <c r="K866" s="167">
        <v>268000000</v>
      </c>
      <c r="L866" s="168">
        <v>636600000</v>
      </c>
      <c r="M866" s="168">
        <f t="shared" si="86"/>
        <v>904600000</v>
      </c>
      <c r="N866" s="168"/>
      <c r="O866" s="167">
        <v>904565000</v>
      </c>
      <c r="P866" s="167">
        <f t="shared" si="87"/>
        <v>904565000</v>
      </c>
      <c r="Q866" s="167"/>
      <c r="S866" s="201">
        <f t="shared" si="88"/>
        <v>904.6</v>
      </c>
      <c r="T866" s="201">
        <f t="shared" si="83"/>
        <v>904.6</v>
      </c>
      <c r="U866" s="201">
        <f t="shared" si="83"/>
        <v>0</v>
      </c>
      <c r="V866" s="201">
        <f t="shared" si="83"/>
        <v>904.56500000000005</v>
      </c>
      <c r="W866" s="201">
        <f t="shared" si="83"/>
        <v>904.56500000000005</v>
      </c>
      <c r="X866" s="201">
        <f t="shared" si="83"/>
        <v>0</v>
      </c>
    </row>
    <row r="867" spans="1:24" s="169" customFormat="1" ht="13.8">
      <c r="A867" s="193"/>
      <c r="B867" s="187"/>
      <c r="C867" s="183" t="str">
        <f t="shared" si="84"/>
        <v/>
      </c>
      <c r="D867" s="182" t="str">
        <f t="shared" si="85"/>
        <v/>
      </c>
      <c r="E867" s="192" t="s">
        <v>681</v>
      </c>
      <c r="F867" s="192" t="s">
        <v>943</v>
      </c>
      <c r="G867" s="192" t="s">
        <v>695</v>
      </c>
      <c r="H867" s="210" t="s">
        <v>1440</v>
      </c>
      <c r="I867" s="167">
        <v>899600000</v>
      </c>
      <c r="J867" s="166"/>
      <c r="K867" s="167">
        <v>268000000</v>
      </c>
      <c r="L867" s="168">
        <v>631600000</v>
      </c>
      <c r="M867" s="168">
        <f t="shared" si="86"/>
        <v>899600000</v>
      </c>
      <c r="N867" s="168"/>
      <c r="O867" s="167">
        <v>899565000</v>
      </c>
      <c r="P867" s="167">
        <f t="shared" si="87"/>
        <v>899565000</v>
      </c>
      <c r="Q867" s="167"/>
      <c r="S867" s="201">
        <f t="shared" si="88"/>
        <v>899.6</v>
      </c>
      <c r="T867" s="201">
        <f t="shared" si="83"/>
        <v>899.6</v>
      </c>
      <c r="U867" s="201">
        <f t="shared" si="83"/>
        <v>0</v>
      </c>
      <c r="V867" s="201">
        <f t="shared" si="83"/>
        <v>899.56500000000005</v>
      </c>
      <c r="W867" s="201">
        <f t="shared" si="83"/>
        <v>899.56500000000005</v>
      </c>
      <c r="X867" s="201">
        <f t="shared" si="83"/>
        <v>0</v>
      </c>
    </row>
    <row r="868" spans="1:24" s="169" customFormat="1" ht="13.8">
      <c r="A868" s="195"/>
      <c r="B868" s="188"/>
      <c r="C868" s="183" t="str">
        <f t="shared" si="84"/>
        <v/>
      </c>
      <c r="D868" s="182" t="str">
        <f t="shared" si="85"/>
        <v/>
      </c>
      <c r="E868" s="192" t="s">
        <v>667</v>
      </c>
      <c r="F868" s="192" t="s">
        <v>943</v>
      </c>
      <c r="G868" s="192" t="s">
        <v>695</v>
      </c>
      <c r="H868" s="210" t="s">
        <v>1440</v>
      </c>
      <c r="I868" s="167">
        <v>5000000</v>
      </c>
      <c r="J868" s="166"/>
      <c r="K868" s="166"/>
      <c r="L868" s="168">
        <v>5000000</v>
      </c>
      <c r="M868" s="168">
        <f t="shared" si="86"/>
        <v>5000000</v>
      </c>
      <c r="N868" s="168"/>
      <c r="O868" s="167">
        <v>5000000</v>
      </c>
      <c r="P868" s="167">
        <f t="shared" si="87"/>
        <v>5000000</v>
      </c>
      <c r="Q868" s="167"/>
      <c r="S868" s="201">
        <f t="shared" si="88"/>
        <v>5</v>
      </c>
      <c r="T868" s="201">
        <f t="shared" si="83"/>
        <v>5</v>
      </c>
      <c r="U868" s="201">
        <f t="shared" si="83"/>
        <v>0</v>
      </c>
      <c r="V868" s="201">
        <f t="shared" si="83"/>
        <v>5</v>
      </c>
      <c r="W868" s="201">
        <f t="shared" si="83"/>
        <v>5</v>
      </c>
      <c r="X868" s="201">
        <f t="shared" si="83"/>
        <v>0</v>
      </c>
    </row>
    <row r="869" spans="1:24" s="169" customFormat="1" ht="26.4">
      <c r="A869" s="192" t="s">
        <v>1058</v>
      </c>
      <c r="B869" s="176" t="s">
        <v>1059</v>
      </c>
      <c r="C869" s="183" t="str">
        <f t="shared" si="84"/>
        <v>1048277</v>
      </c>
      <c r="D869" s="182" t="str">
        <f t="shared" si="85"/>
        <v>-Liên minh Hợp tác xã tỉnh &lt;on Tum</v>
      </c>
      <c r="E869" s="206"/>
      <c r="F869" s="207"/>
      <c r="G869" s="207"/>
      <c r="H869" s="205"/>
      <c r="I869" s="167">
        <v>2237800000</v>
      </c>
      <c r="J869" s="167">
        <v>238000000</v>
      </c>
      <c r="K869" s="167">
        <v>1823000000</v>
      </c>
      <c r="L869" s="168">
        <v>176800000</v>
      </c>
      <c r="M869" s="168">
        <f t="shared" si="86"/>
        <v>2237800000</v>
      </c>
      <c r="N869" s="168"/>
      <c r="O869" s="167">
        <v>1952382379</v>
      </c>
      <c r="P869" s="167">
        <f t="shared" si="87"/>
        <v>1952382379</v>
      </c>
      <c r="Q869" s="167"/>
      <c r="S869" s="201">
        <f t="shared" si="88"/>
        <v>2237.8000000000002</v>
      </c>
      <c r="T869" s="201">
        <f t="shared" si="83"/>
        <v>2237.8000000000002</v>
      </c>
      <c r="U869" s="201">
        <f t="shared" si="83"/>
        <v>0</v>
      </c>
      <c r="V869" s="201">
        <f t="shared" si="83"/>
        <v>1952.3823789999999</v>
      </c>
      <c r="W869" s="201">
        <f t="shared" si="83"/>
        <v>1952.3823789999999</v>
      </c>
      <c r="X869" s="201">
        <f t="shared" si="83"/>
        <v>0</v>
      </c>
    </row>
    <row r="870" spans="1:24" s="169" customFormat="1" ht="13.8">
      <c r="A870" s="192" t="s">
        <v>1060</v>
      </c>
      <c r="B870" s="164" t="s">
        <v>675</v>
      </c>
      <c r="C870" s="183" t="str">
        <f t="shared" si="84"/>
        <v/>
      </c>
      <c r="D870" s="182" t="str">
        <f t="shared" si="85"/>
        <v/>
      </c>
      <c r="E870" s="206"/>
      <c r="F870" s="207"/>
      <c r="G870" s="207"/>
      <c r="H870" s="205"/>
      <c r="I870" s="167">
        <v>2237800000</v>
      </c>
      <c r="J870" s="167">
        <v>238000000</v>
      </c>
      <c r="K870" s="167">
        <v>1823000000</v>
      </c>
      <c r="L870" s="168">
        <v>176800000</v>
      </c>
      <c r="M870" s="168">
        <f t="shared" si="86"/>
        <v>2237800000</v>
      </c>
      <c r="N870" s="168"/>
      <c r="O870" s="167">
        <v>1952382379</v>
      </c>
      <c r="P870" s="167">
        <f t="shared" si="87"/>
        <v>1952382379</v>
      </c>
      <c r="Q870" s="167"/>
      <c r="S870" s="201">
        <f t="shared" si="88"/>
        <v>2237.8000000000002</v>
      </c>
      <c r="T870" s="201">
        <f t="shared" si="83"/>
        <v>2237.8000000000002</v>
      </c>
      <c r="U870" s="201">
        <f t="shared" si="83"/>
        <v>0</v>
      </c>
      <c r="V870" s="201">
        <f t="shared" si="83"/>
        <v>1952.3823789999999</v>
      </c>
      <c r="W870" s="201">
        <f t="shared" si="83"/>
        <v>1952.3823789999999</v>
      </c>
      <c r="X870" s="201">
        <f t="shared" si="83"/>
        <v>0</v>
      </c>
    </row>
    <row r="871" spans="1:24" s="169" customFormat="1" ht="13.8">
      <c r="A871" s="192"/>
      <c r="B871" s="173"/>
      <c r="C871" s="183" t="str">
        <f t="shared" si="84"/>
        <v/>
      </c>
      <c r="D871" s="182" t="str">
        <f t="shared" si="85"/>
        <v/>
      </c>
      <c r="E871" s="192"/>
      <c r="F871" s="192"/>
      <c r="G871" s="192"/>
      <c r="H871" s="210"/>
      <c r="I871" s="174"/>
      <c r="J871" s="174"/>
      <c r="K871" s="174"/>
      <c r="L871" s="175"/>
      <c r="M871" s="168">
        <f t="shared" si="86"/>
        <v>0</v>
      </c>
      <c r="N871" s="175"/>
      <c r="O871" s="174"/>
      <c r="P871" s="167">
        <f t="shared" si="87"/>
        <v>0</v>
      </c>
      <c r="Q871" s="174"/>
      <c r="S871" s="201">
        <f t="shared" si="88"/>
        <v>0</v>
      </c>
      <c r="T871" s="201">
        <f t="shared" si="83"/>
        <v>0</v>
      </c>
      <c r="U871" s="201">
        <f t="shared" si="83"/>
        <v>0</v>
      </c>
      <c r="V871" s="201">
        <f t="shared" si="83"/>
        <v>0</v>
      </c>
      <c r="W871" s="201">
        <f t="shared" si="83"/>
        <v>0</v>
      </c>
      <c r="X871" s="201">
        <f t="shared" si="83"/>
        <v>0</v>
      </c>
    </row>
    <row r="872" spans="1:24" s="169" customFormat="1" ht="13.8">
      <c r="A872" s="192"/>
      <c r="B872" s="170" t="s">
        <v>686</v>
      </c>
      <c r="C872" s="183" t="str">
        <f t="shared" si="84"/>
        <v/>
      </c>
      <c r="D872" s="182" t="str">
        <f t="shared" si="85"/>
        <v/>
      </c>
      <c r="E872" s="206"/>
      <c r="F872" s="207"/>
      <c r="G872" s="207"/>
      <c r="H872" s="205"/>
      <c r="I872" s="167">
        <v>2237800000</v>
      </c>
      <c r="J872" s="167">
        <v>238000000</v>
      </c>
      <c r="K872" s="167">
        <v>1823000000</v>
      </c>
      <c r="L872" s="168">
        <v>176800000</v>
      </c>
      <c r="M872" s="168">
        <f t="shared" si="86"/>
        <v>2237800000</v>
      </c>
      <c r="N872" s="168"/>
      <c r="O872" s="167">
        <v>1952382379</v>
      </c>
      <c r="P872" s="167">
        <f t="shared" si="87"/>
        <v>1952382379</v>
      </c>
      <c r="Q872" s="167"/>
      <c r="S872" s="201">
        <f t="shared" si="88"/>
        <v>2237.8000000000002</v>
      </c>
      <c r="T872" s="201">
        <f t="shared" si="83"/>
        <v>2237.8000000000002</v>
      </c>
      <c r="U872" s="201">
        <f t="shared" si="83"/>
        <v>0</v>
      </c>
      <c r="V872" s="201">
        <f t="shared" si="83"/>
        <v>1952.3823789999999</v>
      </c>
      <c r="W872" s="201">
        <f t="shared" si="83"/>
        <v>1952.3823789999999</v>
      </c>
      <c r="X872" s="201">
        <f t="shared" si="83"/>
        <v>0</v>
      </c>
    </row>
    <row r="873" spans="1:24" s="169" customFormat="1" ht="13.8">
      <c r="A873" s="193"/>
      <c r="B873" s="187"/>
      <c r="C873" s="183" t="str">
        <f t="shared" si="84"/>
        <v/>
      </c>
      <c r="D873" s="182" t="str">
        <f t="shared" si="85"/>
        <v/>
      </c>
      <c r="E873" s="192" t="s">
        <v>681</v>
      </c>
      <c r="F873" s="192" t="s">
        <v>1061</v>
      </c>
      <c r="G873" s="192" t="s">
        <v>786</v>
      </c>
      <c r="H873" s="210" t="s">
        <v>1440</v>
      </c>
      <c r="I873" s="167">
        <v>1973900000</v>
      </c>
      <c r="J873" s="166"/>
      <c r="K873" s="167">
        <v>1823000000</v>
      </c>
      <c r="L873" s="168">
        <v>150900000</v>
      </c>
      <c r="M873" s="168">
        <f t="shared" si="86"/>
        <v>1973900000</v>
      </c>
      <c r="N873" s="168"/>
      <c r="O873" s="167">
        <v>1881078379</v>
      </c>
      <c r="P873" s="167">
        <f t="shared" si="87"/>
        <v>1881078379</v>
      </c>
      <c r="Q873" s="167"/>
      <c r="S873" s="201">
        <f t="shared" si="88"/>
        <v>1973.9</v>
      </c>
      <c r="T873" s="201">
        <f t="shared" si="83"/>
        <v>1973.9</v>
      </c>
      <c r="U873" s="201">
        <f t="shared" si="83"/>
        <v>0</v>
      </c>
      <c r="V873" s="201">
        <f t="shared" si="83"/>
        <v>1881.078379</v>
      </c>
      <c r="W873" s="201">
        <f t="shared" si="83"/>
        <v>1881.078379</v>
      </c>
      <c r="X873" s="201">
        <f t="shared" si="83"/>
        <v>0</v>
      </c>
    </row>
    <row r="874" spans="1:24" s="169" customFormat="1" ht="13.8">
      <c r="A874" s="194"/>
      <c r="B874" s="184"/>
      <c r="C874" s="183" t="str">
        <f t="shared" si="84"/>
        <v/>
      </c>
      <c r="D874" s="182" t="str">
        <f t="shared" si="85"/>
        <v/>
      </c>
      <c r="E874" s="192" t="s">
        <v>679</v>
      </c>
      <c r="F874" s="192" t="s">
        <v>1061</v>
      </c>
      <c r="G874" s="192" t="s">
        <v>786</v>
      </c>
      <c r="H874" s="210" t="s">
        <v>1440</v>
      </c>
      <c r="I874" s="167">
        <v>25900000</v>
      </c>
      <c r="J874" s="166"/>
      <c r="K874" s="166"/>
      <c r="L874" s="168">
        <v>25900000</v>
      </c>
      <c r="M874" s="168">
        <f t="shared" si="86"/>
        <v>25900000</v>
      </c>
      <c r="N874" s="168"/>
      <c r="O874" s="167">
        <v>25900000</v>
      </c>
      <c r="P874" s="167">
        <f t="shared" si="87"/>
        <v>25900000</v>
      </c>
      <c r="Q874" s="167"/>
      <c r="S874" s="201">
        <f t="shared" si="88"/>
        <v>25.9</v>
      </c>
      <c r="T874" s="201">
        <f t="shared" si="83"/>
        <v>25.9</v>
      </c>
      <c r="U874" s="201">
        <f t="shared" si="83"/>
        <v>0</v>
      </c>
      <c r="V874" s="201">
        <f t="shared" si="83"/>
        <v>25.9</v>
      </c>
      <c r="W874" s="201">
        <f t="shared" si="83"/>
        <v>25.9</v>
      </c>
      <c r="X874" s="201">
        <f t="shared" si="83"/>
        <v>0</v>
      </c>
    </row>
    <row r="875" spans="1:24" s="169" customFormat="1" ht="13.8">
      <c r="A875" s="195"/>
      <c r="B875" s="188"/>
      <c r="C875" s="183" t="str">
        <f t="shared" si="84"/>
        <v/>
      </c>
      <c r="D875" s="182" t="str">
        <f t="shared" si="85"/>
        <v/>
      </c>
      <c r="E875" s="192" t="s">
        <v>681</v>
      </c>
      <c r="F875" s="192" t="s">
        <v>1061</v>
      </c>
      <c r="G875" s="192" t="s">
        <v>850</v>
      </c>
      <c r="H875" s="210" t="s">
        <v>1440</v>
      </c>
      <c r="I875" s="167">
        <v>238000000</v>
      </c>
      <c r="J875" s="167">
        <v>238000000</v>
      </c>
      <c r="K875" s="166"/>
      <c r="L875" s="171"/>
      <c r="M875" s="168">
        <f t="shared" si="86"/>
        <v>238000000</v>
      </c>
      <c r="N875" s="171"/>
      <c r="O875" s="167">
        <v>45404000</v>
      </c>
      <c r="P875" s="167">
        <f t="shared" si="87"/>
        <v>45404000</v>
      </c>
      <c r="Q875" s="167"/>
      <c r="S875" s="201">
        <f t="shared" si="88"/>
        <v>238</v>
      </c>
      <c r="T875" s="201">
        <f t="shared" si="83"/>
        <v>238</v>
      </c>
      <c r="U875" s="201">
        <f t="shared" si="83"/>
        <v>0</v>
      </c>
      <c r="V875" s="201">
        <f t="shared" si="83"/>
        <v>45.404000000000003</v>
      </c>
      <c r="W875" s="201">
        <f t="shared" si="83"/>
        <v>45.404000000000003</v>
      </c>
      <c r="X875" s="201">
        <f t="shared" si="83"/>
        <v>0</v>
      </c>
    </row>
    <row r="876" spans="1:24" s="169" customFormat="1" ht="26.4">
      <c r="A876" s="192" t="s">
        <v>1062</v>
      </c>
      <c r="B876" s="165" t="s">
        <v>1063</v>
      </c>
      <c r="C876" s="183" t="str">
        <f t="shared" si="84"/>
        <v>1048278</v>
      </c>
      <c r="D876" s="182" t="str">
        <f t="shared" si="85"/>
        <v>-Uỷ ban Mặt trận Tồ quốc Việt nam tỉnh Kontum</v>
      </c>
      <c r="E876" s="206"/>
      <c r="F876" s="207"/>
      <c r="G876" s="207"/>
      <c r="H876" s="205"/>
      <c r="I876" s="167">
        <v>6481200000</v>
      </c>
      <c r="J876" s="166"/>
      <c r="K876" s="167">
        <v>6201000000</v>
      </c>
      <c r="L876" s="168">
        <v>280200000</v>
      </c>
      <c r="M876" s="168">
        <f t="shared" si="86"/>
        <v>6481200000</v>
      </c>
      <c r="N876" s="168"/>
      <c r="O876" s="167">
        <v>6292113575</v>
      </c>
      <c r="P876" s="167">
        <f t="shared" si="87"/>
        <v>6292113575</v>
      </c>
      <c r="Q876" s="167"/>
      <c r="S876" s="201">
        <f t="shared" si="88"/>
        <v>6481.2</v>
      </c>
      <c r="T876" s="201">
        <f t="shared" si="83"/>
        <v>6481.2</v>
      </c>
      <c r="U876" s="201">
        <f t="shared" si="83"/>
        <v>0</v>
      </c>
      <c r="V876" s="201">
        <f t="shared" si="83"/>
        <v>6292.1135750000003</v>
      </c>
      <c r="W876" s="201">
        <f t="shared" si="83"/>
        <v>6292.1135750000003</v>
      </c>
      <c r="X876" s="201">
        <f t="shared" si="83"/>
        <v>0</v>
      </c>
    </row>
    <row r="877" spans="1:24" s="169" customFormat="1" ht="13.8">
      <c r="A877" s="192" t="s">
        <v>1064</v>
      </c>
      <c r="B877" s="170" t="s">
        <v>689</v>
      </c>
      <c r="C877" s="183" t="str">
        <f t="shared" si="84"/>
        <v/>
      </c>
      <c r="D877" s="182" t="str">
        <f t="shared" si="85"/>
        <v/>
      </c>
      <c r="E877" s="206"/>
      <c r="F877" s="207"/>
      <c r="G877" s="207"/>
      <c r="H877" s="205"/>
      <c r="I877" s="167">
        <v>6481200000</v>
      </c>
      <c r="J877" s="166"/>
      <c r="K877" s="167">
        <v>6201000000</v>
      </c>
      <c r="L877" s="168">
        <v>280200000</v>
      </c>
      <c r="M877" s="168">
        <f t="shared" si="86"/>
        <v>6481200000</v>
      </c>
      <c r="N877" s="168"/>
      <c r="O877" s="167">
        <v>6292113575</v>
      </c>
      <c r="P877" s="167">
        <f t="shared" si="87"/>
        <v>6292113575</v>
      </c>
      <c r="Q877" s="167"/>
      <c r="S877" s="201">
        <f t="shared" si="88"/>
        <v>6481.2</v>
      </c>
      <c r="T877" s="201">
        <f t="shared" si="83"/>
        <v>6481.2</v>
      </c>
      <c r="U877" s="201">
        <f t="shared" si="83"/>
        <v>0</v>
      </c>
      <c r="V877" s="201">
        <f t="shared" si="83"/>
        <v>6292.1135750000003</v>
      </c>
      <c r="W877" s="201">
        <f t="shared" si="83"/>
        <v>6292.1135750000003</v>
      </c>
      <c r="X877" s="201">
        <f t="shared" si="83"/>
        <v>0</v>
      </c>
    </row>
    <row r="878" spans="1:24" s="169" customFormat="1" ht="13.8">
      <c r="A878" s="192"/>
      <c r="B878" s="170" t="s">
        <v>690</v>
      </c>
      <c r="C878" s="183" t="str">
        <f t="shared" si="84"/>
        <v/>
      </c>
      <c r="D878" s="182" t="str">
        <f t="shared" si="85"/>
        <v/>
      </c>
      <c r="E878" s="206"/>
      <c r="F878" s="207"/>
      <c r="G878" s="207"/>
      <c r="H878" s="205"/>
      <c r="I878" s="167">
        <v>4081000000</v>
      </c>
      <c r="J878" s="166"/>
      <c r="K878" s="167">
        <v>3984000000</v>
      </c>
      <c r="L878" s="168">
        <v>97000000</v>
      </c>
      <c r="M878" s="168">
        <f t="shared" si="86"/>
        <v>4081000000</v>
      </c>
      <c r="N878" s="168"/>
      <c r="O878" s="167">
        <v>4081000000</v>
      </c>
      <c r="P878" s="167">
        <f t="shared" si="87"/>
        <v>4081000000</v>
      </c>
      <c r="Q878" s="167"/>
      <c r="S878" s="201">
        <f t="shared" si="88"/>
        <v>4081</v>
      </c>
      <c r="T878" s="201">
        <f t="shared" si="83"/>
        <v>4081</v>
      </c>
      <c r="U878" s="201">
        <f t="shared" si="83"/>
        <v>0</v>
      </c>
      <c r="V878" s="201">
        <f t="shared" si="83"/>
        <v>4081</v>
      </c>
      <c r="W878" s="201">
        <f t="shared" si="83"/>
        <v>4081</v>
      </c>
      <c r="X878" s="201">
        <f t="shared" si="83"/>
        <v>0</v>
      </c>
    </row>
    <row r="879" spans="1:24" s="169" customFormat="1" ht="13.8">
      <c r="A879" s="193"/>
      <c r="B879" s="187"/>
      <c r="C879" s="183" t="str">
        <f t="shared" si="84"/>
        <v/>
      </c>
      <c r="D879" s="182" t="str">
        <f t="shared" si="85"/>
        <v/>
      </c>
      <c r="E879" s="192" t="s">
        <v>666</v>
      </c>
      <c r="F879" s="192" t="s">
        <v>1065</v>
      </c>
      <c r="G879" s="192" t="s">
        <v>786</v>
      </c>
      <c r="H879" s="210" t="s">
        <v>1440</v>
      </c>
      <c r="I879" s="167">
        <v>3984000000</v>
      </c>
      <c r="J879" s="166"/>
      <c r="K879" s="167">
        <v>3984000000</v>
      </c>
      <c r="L879" s="171"/>
      <c r="M879" s="168">
        <f t="shared" si="86"/>
        <v>3984000000</v>
      </c>
      <c r="N879" s="171"/>
      <c r="O879" s="167">
        <v>3984000000</v>
      </c>
      <c r="P879" s="167">
        <f t="shared" si="87"/>
        <v>3984000000</v>
      </c>
      <c r="Q879" s="167"/>
      <c r="S879" s="201">
        <f t="shared" si="88"/>
        <v>3984</v>
      </c>
      <c r="T879" s="201">
        <f t="shared" si="83"/>
        <v>3984</v>
      </c>
      <c r="U879" s="201">
        <f t="shared" si="83"/>
        <v>0</v>
      </c>
      <c r="V879" s="201">
        <f t="shared" si="83"/>
        <v>3984</v>
      </c>
      <c r="W879" s="201">
        <f t="shared" si="83"/>
        <v>3984</v>
      </c>
      <c r="X879" s="201">
        <f t="shared" si="83"/>
        <v>0</v>
      </c>
    </row>
    <row r="880" spans="1:24" s="169" customFormat="1" ht="13.8">
      <c r="A880" s="195"/>
      <c r="B880" s="188"/>
      <c r="C880" s="183" t="str">
        <f t="shared" si="84"/>
        <v/>
      </c>
      <c r="D880" s="182" t="str">
        <f t="shared" si="85"/>
        <v/>
      </c>
      <c r="E880" s="192" t="s">
        <v>679</v>
      </c>
      <c r="F880" s="192" t="s">
        <v>1065</v>
      </c>
      <c r="G880" s="192" t="s">
        <v>786</v>
      </c>
      <c r="H880" s="210" t="s">
        <v>1440</v>
      </c>
      <c r="I880" s="167">
        <v>97000000</v>
      </c>
      <c r="J880" s="166"/>
      <c r="K880" s="166"/>
      <c r="L880" s="168">
        <v>97000000</v>
      </c>
      <c r="M880" s="168">
        <f t="shared" si="86"/>
        <v>97000000</v>
      </c>
      <c r="N880" s="168"/>
      <c r="O880" s="167">
        <v>97000000</v>
      </c>
      <c r="P880" s="167">
        <f t="shared" si="87"/>
        <v>97000000</v>
      </c>
      <c r="Q880" s="167"/>
      <c r="S880" s="201">
        <f t="shared" si="88"/>
        <v>97</v>
      </c>
      <c r="T880" s="201">
        <f t="shared" si="83"/>
        <v>97</v>
      </c>
      <c r="U880" s="201">
        <f t="shared" si="83"/>
        <v>0</v>
      </c>
      <c r="V880" s="201">
        <f t="shared" si="83"/>
        <v>97</v>
      </c>
      <c r="W880" s="201">
        <f t="shared" si="83"/>
        <v>97</v>
      </c>
      <c r="X880" s="201">
        <f t="shared" si="83"/>
        <v>0</v>
      </c>
    </row>
    <row r="881" spans="1:24" s="169" customFormat="1" ht="13.8">
      <c r="A881" s="192"/>
      <c r="B881" s="170" t="s">
        <v>686</v>
      </c>
      <c r="C881" s="183" t="str">
        <f t="shared" si="84"/>
        <v/>
      </c>
      <c r="D881" s="182" t="str">
        <f t="shared" si="85"/>
        <v/>
      </c>
      <c r="E881" s="206"/>
      <c r="F881" s="207"/>
      <c r="G881" s="207"/>
      <c r="H881" s="205"/>
      <c r="I881" s="167">
        <v>2400200000</v>
      </c>
      <c r="J881" s="166"/>
      <c r="K881" s="167">
        <v>2217000000</v>
      </c>
      <c r="L881" s="168">
        <v>183200000</v>
      </c>
      <c r="M881" s="168">
        <f t="shared" si="86"/>
        <v>2400200000</v>
      </c>
      <c r="N881" s="168"/>
      <c r="O881" s="167">
        <v>2211113575</v>
      </c>
      <c r="P881" s="167">
        <f t="shared" si="87"/>
        <v>2211113575</v>
      </c>
      <c r="Q881" s="167"/>
      <c r="S881" s="201">
        <f t="shared" si="88"/>
        <v>2400.1999999999998</v>
      </c>
      <c r="T881" s="201">
        <f t="shared" si="83"/>
        <v>2400.1999999999998</v>
      </c>
      <c r="U881" s="201">
        <f t="shared" si="83"/>
        <v>0</v>
      </c>
      <c r="V881" s="201">
        <f t="shared" si="83"/>
        <v>2211.1135749999999</v>
      </c>
      <c r="W881" s="201">
        <f t="shared" si="83"/>
        <v>2211.1135749999999</v>
      </c>
      <c r="X881" s="201">
        <f t="shared" si="83"/>
        <v>0</v>
      </c>
    </row>
    <row r="882" spans="1:24" s="169" customFormat="1" ht="13.8">
      <c r="A882" s="193"/>
      <c r="B882" s="187"/>
      <c r="C882" s="183" t="str">
        <f t="shared" si="84"/>
        <v/>
      </c>
      <c r="D882" s="182" t="str">
        <f t="shared" si="85"/>
        <v/>
      </c>
      <c r="E882" s="192" t="s">
        <v>681</v>
      </c>
      <c r="F882" s="192" t="s">
        <v>1065</v>
      </c>
      <c r="G882" s="192" t="s">
        <v>786</v>
      </c>
      <c r="H882" s="210" t="s">
        <v>1440</v>
      </c>
      <c r="I882" s="167">
        <v>2327000000</v>
      </c>
      <c r="J882" s="166"/>
      <c r="K882" s="167">
        <v>2217000000</v>
      </c>
      <c r="L882" s="168">
        <v>110000000</v>
      </c>
      <c r="M882" s="168">
        <f t="shared" si="86"/>
        <v>2327000000</v>
      </c>
      <c r="N882" s="168"/>
      <c r="O882" s="167">
        <v>2137913575</v>
      </c>
      <c r="P882" s="167">
        <f t="shared" si="87"/>
        <v>2137913575</v>
      </c>
      <c r="Q882" s="167"/>
      <c r="S882" s="201">
        <f t="shared" si="88"/>
        <v>2327</v>
      </c>
      <c r="T882" s="201">
        <f t="shared" si="83"/>
        <v>2327</v>
      </c>
      <c r="U882" s="201">
        <f t="shared" si="83"/>
        <v>0</v>
      </c>
      <c r="V882" s="201">
        <f t="shared" si="83"/>
        <v>2137.913575</v>
      </c>
      <c r="W882" s="201">
        <f t="shared" si="83"/>
        <v>2137.913575</v>
      </c>
      <c r="X882" s="201">
        <f t="shared" si="83"/>
        <v>0</v>
      </c>
    </row>
    <row r="883" spans="1:24" s="169" customFormat="1" ht="13.8">
      <c r="A883" s="195"/>
      <c r="B883" s="188"/>
      <c r="C883" s="183" t="str">
        <f t="shared" si="84"/>
        <v/>
      </c>
      <c r="D883" s="182" t="str">
        <f t="shared" si="85"/>
        <v/>
      </c>
      <c r="E883" s="192" t="s">
        <v>667</v>
      </c>
      <c r="F883" s="192" t="s">
        <v>1065</v>
      </c>
      <c r="G883" s="192" t="s">
        <v>786</v>
      </c>
      <c r="H883" s="210" t="s">
        <v>1440</v>
      </c>
      <c r="I883" s="167">
        <v>73200000</v>
      </c>
      <c r="J883" s="166"/>
      <c r="K883" s="166"/>
      <c r="L883" s="168">
        <v>73200000</v>
      </c>
      <c r="M883" s="168">
        <f t="shared" si="86"/>
        <v>73200000</v>
      </c>
      <c r="N883" s="168"/>
      <c r="O883" s="167">
        <v>73200000</v>
      </c>
      <c r="P883" s="167">
        <f t="shared" si="87"/>
        <v>73200000</v>
      </c>
      <c r="Q883" s="167"/>
      <c r="S883" s="201">
        <f t="shared" si="88"/>
        <v>73.2</v>
      </c>
      <c r="T883" s="201">
        <f t="shared" si="83"/>
        <v>73.2</v>
      </c>
      <c r="U883" s="201">
        <f t="shared" si="83"/>
        <v>0</v>
      </c>
      <c r="V883" s="201">
        <f t="shared" si="83"/>
        <v>73.2</v>
      </c>
      <c r="W883" s="201">
        <f t="shared" si="83"/>
        <v>73.2</v>
      </c>
      <c r="X883" s="201">
        <f t="shared" si="83"/>
        <v>0</v>
      </c>
    </row>
    <row r="884" spans="1:24" s="169" customFormat="1" ht="13.8">
      <c r="A884" s="192" t="s">
        <v>1066</v>
      </c>
      <c r="B884" s="170" t="s">
        <v>1067</v>
      </c>
      <c r="C884" s="183" t="str">
        <f t="shared" si="84"/>
        <v>1048279</v>
      </c>
      <c r="D884" s="182" t="str">
        <f t="shared" si="85"/>
        <v>-Thanh tra tỉnh</v>
      </c>
      <c r="E884" s="206"/>
      <c r="F884" s="207"/>
      <c r="G884" s="207"/>
      <c r="H884" s="205"/>
      <c r="I884" s="167">
        <v>6006184000</v>
      </c>
      <c r="J884" s="167">
        <v>173000000</v>
      </c>
      <c r="K884" s="167">
        <v>5532000000</v>
      </c>
      <c r="L884" s="168">
        <v>301184000</v>
      </c>
      <c r="M884" s="168">
        <f t="shared" si="86"/>
        <v>6006184000</v>
      </c>
      <c r="N884" s="168"/>
      <c r="O884" s="167">
        <v>6006184000</v>
      </c>
      <c r="P884" s="167">
        <f t="shared" si="87"/>
        <v>6006184000</v>
      </c>
      <c r="Q884" s="167"/>
      <c r="S884" s="201">
        <f t="shared" si="88"/>
        <v>6006.1840000000002</v>
      </c>
      <c r="T884" s="201">
        <f t="shared" si="83"/>
        <v>6006.1840000000002</v>
      </c>
      <c r="U884" s="201">
        <f t="shared" si="83"/>
        <v>0</v>
      </c>
      <c r="V884" s="201">
        <f t="shared" si="83"/>
        <v>6006.1840000000002</v>
      </c>
      <c r="W884" s="201">
        <f t="shared" si="83"/>
        <v>6006.1840000000002</v>
      </c>
      <c r="X884" s="201">
        <f t="shared" si="83"/>
        <v>0</v>
      </c>
    </row>
    <row r="885" spans="1:24" s="169" customFormat="1" ht="13.8">
      <c r="A885" s="192" t="s">
        <v>1068</v>
      </c>
      <c r="B885" s="170" t="s">
        <v>689</v>
      </c>
      <c r="C885" s="183" t="str">
        <f t="shared" si="84"/>
        <v/>
      </c>
      <c r="D885" s="182" t="str">
        <f t="shared" si="85"/>
        <v/>
      </c>
      <c r="E885" s="206"/>
      <c r="F885" s="207"/>
      <c r="G885" s="207"/>
      <c r="H885" s="205"/>
      <c r="I885" s="167">
        <v>6006184000</v>
      </c>
      <c r="J885" s="167">
        <v>173000000</v>
      </c>
      <c r="K885" s="167">
        <v>5532000000</v>
      </c>
      <c r="L885" s="168">
        <v>301184000</v>
      </c>
      <c r="M885" s="168">
        <f t="shared" si="86"/>
        <v>6006184000</v>
      </c>
      <c r="N885" s="168"/>
      <c r="O885" s="167">
        <v>6006184000</v>
      </c>
      <c r="P885" s="167">
        <f t="shared" si="87"/>
        <v>6006184000</v>
      </c>
      <c r="Q885" s="167"/>
      <c r="S885" s="201">
        <f t="shared" si="88"/>
        <v>6006.1840000000002</v>
      </c>
      <c r="T885" s="201">
        <f t="shared" si="83"/>
        <v>6006.1840000000002</v>
      </c>
      <c r="U885" s="201">
        <f t="shared" si="83"/>
        <v>0</v>
      </c>
      <c r="V885" s="201">
        <f t="shared" si="83"/>
        <v>6006.1840000000002</v>
      </c>
      <c r="W885" s="201">
        <f t="shared" si="83"/>
        <v>6006.1840000000002</v>
      </c>
      <c r="X885" s="201">
        <f t="shared" si="83"/>
        <v>0</v>
      </c>
    </row>
    <row r="886" spans="1:24" s="169" customFormat="1" ht="13.8">
      <c r="A886" s="192"/>
      <c r="B886" s="170" t="s">
        <v>690</v>
      </c>
      <c r="C886" s="183" t="str">
        <f t="shared" si="84"/>
        <v/>
      </c>
      <c r="D886" s="182" t="str">
        <f t="shared" si="85"/>
        <v/>
      </c>
      <c r="E886" s="206"/>
      <c r="F886" s="207"/>
      <c r="G886" s="207"/>
      <c r="H886" s="205"/>
      <c r="I886" s="167">
        <v>5706900000</v>
      </c>
      <c r="J886" s="167">
        <v>173000000</v>
      </c>
      <c r="K886" s="167">
        <v>5393000000</v>
      </c>
      <c r="L886" s="168">
        <v>140900000</v>
      </c>
      <c r="M886" s="168">
        <f t="shared" si="86"/>
        <v>5706900000</v>
      </c>
      <c r="N886" s="168"/>
      <c r="O886" s="167">
        <v>5706900000</v>
      </c>
      <c r="P886" s="167">
        <f t="shared" si="87"/>
        <v>5706900000</v>
      </c>
      <c r="Q886" s="167"/>
      <c r="S886" s="201">
        <f t="shared" si="88"/>
        <v>5706.9</v>
      </c>
      <c r="T886" s="201">
        <f t="shared" si="83"/>
        <v>5706.9</v>
      </c>
      <c r="U886" s="201">
        <f t="shared" si="83"/>
        <v>0</v>
      </c>
      <c r="V886" s="201">
        <f t="shared" si="83"/>
        <v>5706.9</v>
      </c>
      <c r="W886" s="201">
        <f t="shared" si="83"/>
        <v>5706.9</v>
      </c>
      <c r="X886" s="201">
        <f t="shared" si="83"/>
        <v>0</v>
      </c>
    </row>
    <row r="887" spans="1:24" s="169" customFormat="1" ht="13.8">
      <c r="A887" s="193"/>
      <c r="B887" s="187"/>
      <c r="C887" s="183" t="str">
        <f t="shared" si="84"/>
        <v/>
      </c>
      <c r="D887" s="182" t="str">
        <f t="shared" si="85"/>
        <v/>
      </c>
      <c r="E887" s="192" t="s">
        <v>666</v>
      </c>
      <c r="F887" s="192" t="s">
        <v>1069</v>
      </c>
      <c r="G887" s="192" t="s">
        <v>695</v>
      </c>
      <c r="H887" s="210" t="s">
        <v>1440</v>
      </c>
      <c r="I887" s="167">
        <v>5566000000</v>
      </c>
      <c r="J887" s="167">
        <v>173000000</v>
      </c>
      <c r="K887" s="167">
        <v>5393000000</v>
      </c>
      <c r="L887" s="171"/>
      <c r="M887" s="168">
        <f t="shared" si="86"/>
        <v>5566000000</v>
      </c>
      <c r="N887" s="171"/>
      <c r="O887" s="167">
        <v>5566000000</v>
      </c>
      <c r="P887" s="167">
        <f t="shared" si="87"/>
        <v>5566000000</v>
      </c>
      <c r="Q887" s="167"/>
      <c r="S887" s="201">
        <f t="shared" si="88"/>
        <v>5566</v>
      </c>
      <c r="T887" s="201">
        <f t="shared" si="83"/>
        <v>5566</v>
      </c>
      <c r="U887" s="201">
        <f t="shared" si="83"/>
        <v>0</v>
      </c>
      <c r="V887" s="201">
        <f t="shared" si="83"/>
        <v>5566</v>
      </c>
      <c r="W887" s="201">
        <f t="shared" si="83"/>
        <v>5566</v>
      </c>
      <c r="X887" s="201">
        <f t="shared" si="83"/>
        <v>0</v>
      </c>
    </row>
    <row r="888" spans="1:24" s="169" customFormat="1" ht="13.8">
      <c r="A888" s="195"/>
      <c r="B888" s="188"/>
      <c r="C888" s="183" t="str">
        <f t="shared" si="84"/>
        <v/>
      </c>
      <c r="D888" s="182" t="str">
        <f t="shared" si="85"/>
        <v/>
      </c>
      <c r="E888" s="192" t="s">
        <v>679</v>
      </c>
      <c r="F888" s="192" t="s">
        <v>1069</v>
      </c>
      <c r="G888" s="192" t="s">
        <v>695</v>
      </c>
      <c r="H888" s="210" t="s">
        <v>1440</v>
      </c>
      <c r="I888" s="167">
        <v>140900000</v>
      </c>
      <c r="J888" s="166"/>
      <c r="K888" s="166"/>
      <c r="L888" s="168">
        <v>140900000</v>
      </c>
      <c r="M888" s="168">
        <f t="shared" si="86"/>
        <v>140900000</v>
      </c>
      <c r="N888" s="168"/>
      <c r="O888" s="167">
        <v>140900000</v>
      </c>
      <c r="P888" s="167">
        <f t="shared" si="87"/>
        <v>140900000</v>
      </c>
      <c r="Q888" s="167"/>
      <c r="S888" s="201">
        <f t="shared" si="88"/>
        <v>140.9</v>
      </c>
      <c r="T888" s="201">
        <f t="shared" si="83"/>
        <v>140.9</v>
      </c>
      <c r="U888" s="201">
        <f t="shared" si="83"/>
        <v>0</v>
      </c>
      <c r="V888" s="201">
        <f t="shared" si="83"/>
        <v>140.9</v>
      </c>
      <c r="W888" s="201">
        <f t="shared" si="83"/>
        <v>140.9</v>
      </c>
      <c r="X888" s="201">
        <f t="shared" si="83"/>
        <v>0</v>
      </c>
    </row>
    <row r="889" spans="1:24" s="169" customFormat="1" ht="13.8">
      <c r="A889" s="192"/>
      <c r="B889" s="170" t="s">
        <v>686</v>
      </c>
      <c r="C889" s="183" t="str">
        <f t="shared" si="84"/>
        <v/>
      </c>
      <c r="D889" s="182" t="str">
        <f t="shared" si="85"/>
        <v/>
      </c>
      <c r="E889" s="206"/>
      <c r="F889" s="207"/>
      <c r="G889" s="207"/>
      <c r="H889" s="205"/>
      <c r="I889" s="167">
        <v>299284000</v>
      </c>
      <c r="J889" s="166"/>
      <c r="K889" s="167">
        <v>139000000</v>
      </c>
      <c r="L889" s="168">
        <v>160284000</v>
      </c>
      <c r="M889" s="168">
        <f t="shared" si="86"/>
        <v>299284000</v>
      </c>
      <c r="N889" s="168"/>
      <c r="O889" s="167">
        <v>299284000</v>
      </c>
      <c r="P889" s="167">
        <f t="shared" si="87"/>
        <v>299284000</v>
      </c>
      <c r="Q889" s="167"/>
      <c r="S889" s="201">
        <f t="shared" si="88"/>
        <v>299.28399999999999</v>
      </c>
      <c r="T889" s="201">
        <f t="shared" si="83"/>
        <v>299.28399999999999</v>
      </c>
      <c r="U889" s="201">
        <f t="shared" si="83"/>
        <v>0</v>
      </c>
      <c r="V889" s="201">
        <f t="shared" si="83"/>
        <v>299.28399999999999</v>
      </c>
      <c r="W889" s="201">
        <f t="shared" si="83"/>
        <v>299.28399999999999</v>
      </c>
      <c r="X889" s="201">
        <f t="shared" si="83"/>
        <v>0</v>
      </c>
    </row>
    <row r="890" spans="1:24" s="169" customFormat="1" ht="13.8">
      <c r="A890" s="192"/>
      <c r="B890" s="164"/>
      <c r="C890" s="183" t="str">
        <f t="shared" si="84"/>
        <v/>
      </c>
      <c r="D890" s="182" t="str">
        <f t="shared" si="85"/>
        <v/>
      </c>
      <c r="E890" s="192" t="s">
        <v>681</v>
      </c>
      <c r="F890" s="192" t="s">
        <v>1069</v>
      </c>
      <c r="G890" s="192" t="s">
        <v>695</v>
      </c>
      <c r="H890" s="210" t="s">
        <v>1440</v>
      </c>
      <c r="I890" s="167">
        <v>299284000</v>
      </c>
      <c r="J890" s="166"/>
      <c r="K890" s="167">
        <v>139000000</v>
      </c>
      <c r="L890" s="168">
        <v>160284000</v>
      </c>
      <c r="M890" s="168">
        <f t="shared" si="86"/>
        <v>299284000</v>
      </c>
      <c r="N890" s="168"/>
      <c r="O890" s="167">
        <v>299284000</v>
      </c>
      <c r="P890" s="167">
        <f t="shared" si="87"/>
        <v>299284000</v>
      </c>
      <c r="Q890" s="167"/>
      <c r="S890" s="201">
        <f t="shared" si="88"/>
        <v>299.28399999999999</v>
      </c>
      <c r="T890" s="201">
        <f t="shared" si="83"/>
        <v>299.28399999999999</v>
      </c>
      <c r="U890" s="201">
        <f t="shared" si="83"/>
        <v>0</v>
      </c>
      <c r="V890" s="201">
        <f t="shared" si="83"/>
        <v>299.28399999999999</v>
      </c>
      <c r="W890" s="201">
        <f t="shared" si="83"/>
        <v>299.28399999999999</v>
      </c>
      <c r="X890" s="201">
        <f t="shared" si="83"/>
        <v>0</v>
      </c>
    </row>
    <row r="891" spans="1:24" s="169" customFormat="1" ht="26.4">
      <c r="A891" s="192" t="s">
        <v>1070</v>
      </c>
      <c r="B891" s="165" t="s">
        <v>1071</v>
      </c>
      <c r="C891" s="183" t="str">
        <f t="shared" si="84"/>
        <v>1049264</v>
      </c>
      <c r="D891" s="182" t="str">
        <f t="shared" si="85"/>
        <v>-Trường Cao đẳng cộng đồng Kon Tum</v>
      </c>
      <c r="E891" s="206"/>
      <c r="F891" s="207"/>
      <c r="G891" s="207"/>
      <c r="H891" s="205"/>
      <c r="I891" s="167">
        <v>10129019042</v>
      </c>
      <c r="J891" s="167">
        <v>100314042</v>
      </c>
      <c r="K891" s="167">
        <v>8529958000</v>
      </c>
      <c r="L891" s="168">
        <v>1498747000</v>
      </c>
      <c r="M891" s="168">
        <f t="shared" si="86"/>
        <v>10129019042</v>
      </c>
      <c r="N891" s="168"/>
      <c r="O891" s="167">
        <v>9375340472</v>
      </c>
      <c r="P891" s="167">
        <f t="shared" si="87"/>
        <v>9375340472</v>
      </c>
      <c r="Q891" s="167"/>
      <c r="S891" s="201">
        <f t="shared" si="88"/>
        <v>10129.019042</v>
      </c>
      <c r="T891" s="201">
        <f t="shared" si="83"/>
        <v>10129.019042</v>
      </c>
      <c r="U891" s="201">
        <f t="shared" si="83"/>
        <v>0</v>
      </c>
      <c r="V891" s="201">
        <f t="shared" si="83"/>
        <v>9375.3404719999999</v>
      </c>
      <c r="W891" s="201">
        <f t="shared" si="83"/>
        <v>9375.3404719999999</v>
      </c>
      <c r="X891" s="201">
        <f t="shared" si="83"/>
        <v>0</v>
      </c>
    </row>
    <row r="892" spans="1:24" s="169" customFormat="1" ht="13.8">
      <c r="A892" s="192" t="s">
        <v>1072</v>
      </c>
      <c r="B892" s="170" t="s">
        <v>689</v>
      </c>
      <c r="C892" s="183" t="str">
        <f t="shared" si="84"/>
        <v/>
      </c>
      <c r="D892" s="182" t="str">
        <f t="shared" si="85"/>
        <v/>
      </c>
      <c r="E892" s="206"/>
      <c r="F892" s="207"/>
      <c r="G892" s="207"/>
      <c r="H892" s="205"/>
      <c r="I892" s="167">
        <v>9959019042</v>
      </c>
      <c r="J892" s="167">
        <v>100314042</v>
      </c>
      <c r="K892" s="167">
        <v>8359958000</v>
      </c>
      <c r="L892" s="168">
        <v>1498747000</v>
      </c>
      <c r="M892" s="168">
        <f t="shared" si="86"/>
        <v>9959019042</v>
      </c>
      <c r="N892" s="168"/>
      <c r="O892" s="167">
        <v>9344740472</v>
      </c>
      <c r="P892" s="167">
        <f t="shared" si="87"/>
        <v>9344740472</v>
      </c>
      <c r="Q892" s="167"/>
      <c r="S892" s="201">
        <f t="shared" si="88"/>
        <v>9959.0190419999999</v>
      </c>
      <c r="T892" s="201">
        <f t="shared" si="83"/>
        <v>9959.0190419999999</v>
      </c>
      <c r="U892" s="201">
        <f t="shared" si="83"/>
        <v>0</v>
      </c>
      <c r="V892" s="201">
        <f t="shared" si="83"/>
        <v>9344.7404719999995</v>
      </c>
      <c r="W892" s="201">
        <f t="shared" si="83"/>
        <v>9344.7404719999995</v>
      </c>
      <c r="X892" s="201">
        <f t="shared" si="83"/>
        <v>0</v>
      </c>
    </row>
    <row r="893" spans="1:24" s="169" customFormat="1" ht="13.8">
      <c r="A893" s="192"/>
      <c r="B893" s="170" t="s">
        <v>690</v>
      </c>
      <c r="C893" s="183" t="str">
        <f t="shared" si="84"/>
        <v/>
      </c>
      <c r="D893" s="182" t="str">
        <f t="shared" si="85"/>
        <v/>
      </c>
      <c r="E893" s="206"/>
      <c r="F893" s="207"/>
      <c r="G893" s="207"/>
      <c r="H893" s="205"/>
      <c r="I893" s="167">
        <v>8693418592</v>
      </c>
      <c r="J893" s="167">
        <v>49718592</v>
      </c>
      <c r="K893" s="167">
        <v>8127000000</v>
      </c>
      <c r="L893" s="168">
        <v>516700000</v>
      </c>
      <c r="M893" s="168">
        <f t="shared" si="86"/>
        <v>8693418592</v>
      </c>
      <c r="N893" s="168"/>
      <c r="O893" s="167">
        <v>8693418592</v>
      </c>
      <c r="P893" s="167">
        <f t="shared" si="87"/>
        <v>8693418592</v>
      </c>
      <c r="Q893" s="167"/>
      <c r="S893" s="201">
        <f t="shared" si="88"/>
        <v>8693.418592</v>
      </c>
      <c r="T893" s="201">
        <f t="shared" si="83"/>
        <v>8693.418592</v>
      </c>
      <c r="U893" s="201">
        <f t="shared" si="83"/>
        <v>0</v>
      </c>
      <c r="V893" s="201">
        <f t="shared" si="83"/>
        <v>8693.418592</v>
      </c>
      <c r="W893" s="201">
        <f t="shared" si="83"/>
        <v>8693.418592</v>
      </c>
      <c r="X893" s="201">
        <f t="shared" si="83"/>
        <v>0</v>
      </c>
    </row>
    <row r="894" spans="1:24" s="169" customFormat="1" ht="13.8">
      <c r="A894" s="193"/>
      <c r="B894" s="187"/>
      <c r="C894" s="183" t="str">
        <f t="shared" si="84"/>
        <v/>
      </c>
      <c r="D894" s="182" t="str">
        <f t="shared" si="85"/>
        <v/>
      </c>
      <c r="E894" s="192" t="s">
        <v>666</v>
      </c>
      <c r="F894" s="192" t="s">
        <v>677</v>
      </c>
      <c r="G894" s="192" t="s">
        <v>898</v>
      </c>
      <c r="H894" s="210" t="s">
        <v>1440</v>
      </c>
      <c r="I894" s="167">
        <v>8467000000</v>
      </c>
      <c r="J894" s="166"/>
      <c r="K894" s="167">
        <v>8127000000</v>
      </c>
      <c r="L894" s="168">
        <v>340000000</v>
      </c>
      <c r="M894" s="168">
        <f t="shared" si="86"/>
        <v>8467000000</v>
      </c>
      <c r="N894" s="168"/>
      <c r="O894" s="167">
        <v>8467000000</v>
      </c>
      <c r="P894" s="167">
        <f t="shared" si="87"/>
        <v>8467000000</v>
      </c>
      <c r="Q894" s="167"/>
      <c r="S894" s="201">
        <f t="shared" si="88"/>
        <v>8467</v>
      </c>
      <c r="T894" s="201">
        <f t="shared" si="83"/>
        <v>8467</v>
      </c>
      <c r="U894" s="201">
        <f t="shared" si="83"/>
        <v>0</v>
      </c>
      <c r="V894" s="201">
        <f t="shared" si="83"/>
        <v>8467</v>
      </c>
      <c r="W894" s="201">
        <f t="shared" si="83"/>
        <v>8467</v>
      </c>
      <c r="X894" s="201">
        <f t="shared" si="83"/>
        <v>0</v>
      </c>
    </row>
    <row r="895" spans="1:24" s="169" customFormat="1" ht="13.8">
      <c r="A895" s="195"/>
      <c r="B895" s="188"/>
      <c r="C895" s="183" t="str">
        <f t="shared" si="84"/>
        <v/>
      </c>
      <c r="D895" s="182" t="str">
        <f t="shared" si="85"/>
        <v/>
      </c>
      <c r="E895" s="192" t="s">
        <v>669</v>
      </c>
      <c r="F895" s="192" t="s">
        <v>677</v>
      </c>
      <c r="G895" s="192" t="s">
        <v>898</v>
      </c>
      <c r="H895" s="210" t="s">
        <v>1440</v>
      </c>
      <c r="I895" s="167">
        <v>226418592</v>
      </c>
      <c r="J895" s="167">
        <v>49718592</v>
      </c>
      <c r="K895" s="166"/>
      <c r="L895" s="168">
        <v>176700000</v>
      </c>
      <c r="M895" s="168">
        <f t="shared" si="86"/>
        <v>226418592</v>
      </c>
      <c r="N895" s="168"/>
      <c r="O895" s="167">
        <v>226418592</v>
      </c>
      <c r="P895" s="167">
        <f t="shared" si="87"/>
        <v>226418592</v>
      </c>
      <c r="Q895" s="167"/>
      <c r="S895" s="201">
        <f t="shared" si="88"/>
        <v>226.41859199999999</v>
      </c>
      <c r="T895" s="201">
        <f t="shared" si="83"/>
        <v>226.41859199999999</v>
      </c>
      <c r="U895" s="201">
        <f t="shared" si="83"/>
        <v>0</v>
      </c>
      <c r="V895" s="201">
        <f t="shared" si="83"/>
        <v>226.41859199999999</v>
      </c>
      <c r="W895" s="201">
        <f t="shared" si="83"/>
        <v>226.41859199999999</v>
      </c>
      <c r="X895" s="201">
        <f t="shared" si="83"/>
        <v>0</v>
      </c>
    </row>
    <row r="896" spans="1:24" s="169" customFormat="1" ht="13.8">
      <c r="A896" s="192"/>
      <c r="B896" s="170" t="s">
        <v>686</v>
      </c>
      <c r="C896" s="183" t="str">
        <f t="shared" si="84"/>
        <v/>
      </c>
      <c r="D896" s="182" t="str">
        <f t="shared" si="85"/>
        <v/>
      </c>
      <c r="E896" s="206"/>
      <c r="F896" s="207"/>
      <c r="G896" s="207"/>
      <c r="H896" s="205"/>
      <c r="I896" s="167">
        <v>1265600450</v>
      </c>
      <c r="J896" s="167">
        <v>50595450</v>
      </c>
      <c r="K896" s="167">
        <v>232958000</v>
      </c>
      <c r="L896" s="168">
        <v>982047000</v>
      </c>
      <c r="M896" s="168">
        <f t="shared" si="86"/>
        <v>1265600450</v>
      </c>
      <c r="N896" s="168"/>
      <c r="O896" s="167">
        <v>651321880</v>
      </c>
      <c r="P896" s="167">
        <f t="shared" si="87"/>
        <v>651321880</v>
      </c>
      <c r="Q896" s="167"/>
      <c r="S896" s="201">
        <f t="shared" si="88"/>
        <v>1265.6004499999999</v>
      </c>
      <c r="T896" s="201">
        <f t="shared" ref="T896:X946" si="89">M896/1000000</f>
        <v>1265.6004499999999</v>
      </c>
      <c r="U896" s="201">
        <f t="shared" si="89"/>
        <v>0</v>
      </c>
      <c r="V896" s="201">
        <f t="shared" si="89"/>
        <v>651.32187999999996</v>
      </c>
      <c r="W896" s="201">
        <f t="shared" si="89"/>
        <v>651.32187999999996</v>
      </c>
      <c r="X896" s="201">
        <f t="shared" si="89"/>
        <v>0</v>
      </c>
    </row>
    <row r="897" spans="1:24" s="169" customFormat="1" ht="13.8">
      <c r="A897" s="193"/>
      <c r="B897" s="187"/>
      <c r="C897" s="183" t="str">
        <f t="shared" si="84"/>
        <v/>
      </c>
      <c r="D897" s="182" t="str">
        <f t="shared" si="85"/>
        <v/>
      </c>
      <c r="E897" s="192" t="s">
        <v>681</v>
      </c>
      <c r="F897" s="192" t="s">
        <v>677</v>
      </c>
      <c r="G897" s="192" t="s">
        <v>898</v>
      </c>
      <c r="H897" s="210" t="s">
        <v>1440</v>
      </c>
      <c r="I897" s="167">
        <v>604924450</v>
      </c>
      <c r="J897" s="167">
        <v>9697450</v>
      </c>
      <c r="K897" s="167">
        <v>226000000</v>
      </c>
      <c r="L897" s="168">
        <v>369227000</v>
      </c>
      <c r="M897" s="168">
        <f t="shared" si="86"/>
        <v>604924450</v>
      </c>
      <c r="N897" s="168"/>
      <c r="O897" s="167">
        <v>603465880</v>
      </c>
      <c r="P897" s="167">
        <f t="shared" si="87"/>
        <v>603465880</v>
      </c>
      <c r="Q897" s="167"/>
      <c r="S897" s="201">
        <f t="shared" si="88"/>
        <v>604.92444999999998</v>
      </c>
      <c r="T897" s="201">
        <f t="shared" si="89"/>
        <v>604.92444999999998</v>
      </c>
      <c r="U897" s="201">
        <f t="shared" si="89"/>
        <v>0</v>
      </c>
      <c r="V897" s="201">
        <f t="shared" si="89"/>
        <v>603.46587999999997</v>
      </c>
      <c r="W897" s="201">
        <f t="shared" si="89"/>
        <v>603.46587999999997</v>
      </c>
      <c r="X897" s="201">
        <f t="shared" si="89"/>
        <v>0</v>
      </c>
    </row>
    <row r="898" spans="1:24" s="169" customFormat="1" ht="13.8">
      <c r="A898" s="194"/>
      <c r="B898" s="184"/>
      <c r="C898" s="183" t="str">
        <f t="shared" si="84"/>
        <v/>
      </c>
      <c r="D898" s="182" t="str">
        <f t="shared" si="85"/>
        <v/>
      </c>
      <c r="E898" s="192" t="s">
        <v>679</v>
      </c>
      <c r="F898" s="192" t="s">
        <v>677</v>
      </c>
      <c r="G898" s="192" t="s">
        <v>898</v>
      </c>
      <c r="H898" s="210" t="s">
        <v>1440</v>
      </c>
      <c r="I898" s="167">
        <v>8652000</v>
      </c>
      <c r="J898" s="166"/>
      <c r="K898" s="167">
        <v>8652000</v>
      </c>
      <c r="L898" s="171"/>
      <c r="M898" s="168">
        <f t="shared" si="86"/>
        <v>8652000</v>
      </c>
      <c r="N898" s="171"/>
      <c r="O898" s="167">
        <v>8652000</v>
      </c>
      <c r="P898" s="167">
        <f t="shared" si="87"/>
        <v>8652000</v>
      </c>
      <c r="Q898" s="167"/>
      <c r="S898" s="201">
        <f t="shared" si="88"/>
        <v>8.6519999999999992</v>
      </c>
      <c r="T898" s="201">
        <f t="shared" si="89"/>
        <v>8.6519999999999992</v>
      </c>
      <c r="U898" s="201">
        <f t="shared" si="89"/>
        <v>0</v>
      </c>
      <c r="V898" s="201">
        <f t="shared" si="89"/>
        <v>8.6519999999999992</v>
      </c>
      <c r="W898" s="201">
        <f t="shared" si="89"/>
        <v>8.6519999999999992</v>
      </c>
      <c r="X898" s="201">
        <f t="shared" si="89"/>
        <v>0</v>
      </c>
    </row>
    <row r="899" spans="1:24" s="169" customFormat="1" ht="13.8">
      <c r="A899" s="194"/>
      <c r="B899" s="184"/>
      <c r="C899" s="183" t="str">
        <f t="shared" si="84"/>
        <v/>
      </c>
      <c r="D899" s="182" t="str">
        <f t="shared" si="85"/>
        <v/>
      </c>
      <c r="E899" s="192" t="s">
        <v>667</v>
      </c>
      <c r="F899" s="192" t="s">
        <v>677</v>
      </c>
      <c r="G899" s="192" t="s">
        <v>898</v>
      </c>
      <c r="H899" s="210" t="s">
        <v>1440</v>
      </c>
      <c r="I899" s="167">
        <v>612820000</v>
      </c>
      <c r="J899" s="166"/>
      <c r="K899" s="166"/>
      <c r="L899" s="168">
        <v>612820000</v>
      </c>
      <c r="M899" s="168">
        <f t="shared" si="86"/>
        <v>612820000</v>
      </c>
      <c r="N899" s="168"/>
      <c r="O899" s="166"/>
      <c r="P899" s="167">
        <f t="shared" si="87"/>
        <v>0</v>
      </c>
      <c r="Q899" s="166"/>
      <c r="S899" s="201">
        <f t="shared" si="88"/>
        <v>612.82000000000005</v>
      </c>
      <c r="T899" s="201">
        <f t="shared" si="89"/>
        <v>612.82000000000005</v>
      </c>
      <c r="U899" s="201">
        <f t="shared" si="89"/>
        <v>0</v>
      </c>
      <c r="V899" s="201">
        <f t="shared" si="89"/>
        <v>0</v>
      </c>
      <c r="W899" s="201">
        <f t="shared" si="89"/>
        <v>0</v>
      </c>
      <c r="X899" s="201">
        <f t="shared" si="89"/>
        <v>0</v>
      </c>
    </row>
    <row r="900" spans="1:24" s="169" customFormat="1" ht="13.8">
      <c r="A900" s="195"/>
      <c r="B900" s="188"/>
      <c r="C900" s="183" t="str">
        <f t="shared" si="84"/>
        <v/>
      </c>
      <c r="D900" s="182" t="str">
        <f t="shared" si="85"/>
        <v/>
      </c>
      <c r="E900" s="192" t="s">
        <v>669</v>
      </c>
      <c r="F900" s="192" t="s">
        <v>677</v>
      </c>
      <c r="G900" s="192" t="s">
        <v>898</v>
      </c>
      <c r="H900" s="210" t="s">
        <v>1440</v>
      </c>
      <c r="I900" s="167">
        <v>39204000</v>
      </c>
      <c r="J900" s="167">
        <v>40898000</v>
      </c>
      <c r="K900" s="167">
        <v>-1694000</v>
      </c>
      <c r="L900" s="171"/>
      <c r="M900" s="168">
        <f t="shared" si="86"/>
        <v>39204000</v>
      </c>
      <c r="N900" s="171"/>
      <c r="O900" s="167">
        <v>39204000</v>
      </c>
      <c r="P900" s="167">
        <f t="shared" si="87"/>
        <v>39204000</v>
      </c>
      <c r="Q900" s="167"/>
      <c r="S900" s="201">
        <f t="shared" si="88"/>
        <v>39.204000000000001</v>
      </c>
      <c r="T900" s="201">
        <f t="shared" si="89"/>
        <v>39.204000000000001</v>
      </c>
      <c r="U900" s="201">
        <f t="shared" si="89"/>
        <v>0</v>
      </c>
      <c r="V900" s="201">
        <f t="shared" si="89"/>
        <v>39.204000000000001</v>
      </c>
      <c r="W900" s="201">
        <f t="shared" si="89"/>
        <v>39.204000000000001</v>
      </c>
      <c r="X900" s="201">
        <f t="shared" si="89"/>
        <v>0</v>
      </c>
    </row>
    <row r="901" spans="1:24" s="169" customFormat="1" ht="13.8">
      <c r="A901" s="192" t="s">
        <v>1073</v>
      </c>
      <c r="B901" s="170" t="s">
        <v>701</v>
      </c>
      <c r="C901" s="183" t="str">
        <f t="shared" si="84"/>
        <v/>
      </c>
      <c r="D901" s="182" t="str">
        <f t="shared" si="85"/>
        <v/>
      </c>
      <c r="E901" s="206"/>
      <c r="F901" s="207"/>
      <c r="G901" s="207"/>
      <c r="H901" s="205"/>
      <c r="I901" s="167">
        <v>170000000</v>
      </c>
      <c r="J901" s="166"/>
      <c r="K901" s="167">
        <v>170000000</v>
      </c>
      <c r="L901" s="171"/>
      <c r="M901" s="168">
        <f t="shared" si="86"/>
        <v>170000000</v>
      </c>
      <c r="N901" s="171"/>
      <c r="O901" s="167">
        <v>30600000</v>
      </c>
      <c r="P901" s="167">
        <f t="shared" si="87"/>
        <v>30600000</v>
      </c>
      <c r="Q901" s="167"/>
      <c r="S901" s="201">
        <f t="shared" si="88"/>
        <v>170</v>
      </c>
      <c r="T901" s="201">
        <f t="shared" si="89"/>
        <v>170</v>
      </c>
      <c r="U901" s="201">
        <f t="shared" si="89"/>
        <v>0</v>
      </c>
      <c r="V901" s="201">
        <f t="shared" si="89"/>
        <v>30.6</v>
      </c>
      <c r="W901" s="201">
        <f t="shared" si="89"/>
        <v>30.6</v>
      </c>
      <c r="X901" s="201">
        <f t="shared" si="89"/>
        <v>0</v>
      </c>
    </row>
    <row r="902" spans="1:24" s="169" customFormat="1" ht="13.8">
      <c r="A902" s="192"/>
      <c r="B902" s="173"/>
      <c r="C902" s="183" t="str">
        <f t="shared" si="84"/>
        <v/>
      </c>
      <c r="D902" s="182" t="str">
        <f t="shared" si="85"/>
        <v/>
      </c>
      <c r="E902" s="192"/>
      <c r="F902" s="192"/>
      <c r="G902" s="192"/>
      <c r="H902" s="210"/>
      <c r="I902" s="174"/>
      <c r="J902" s="174"/>
      <c r="K902" s="174"/>
      <c r="L902" s="175"/>
      <c r="M902" s="168">
        <f t="shared" si="86"/>
        <v>0</v>
      </c>
      <c r="N902" s="175"/>
      <c r="O902" s="174"/>
      <c r="P902" s="167">
        <f t="shared" si="87"/>
        <v>0</v>
      </c>
      <c r="Q902" s="174"/>
      <c r="S902" s="201">
        <f t="shared" si="88"/>
        <v>0</v>
      </c>
      <c r="T902" s="201">
        <f t="shared" si="89"/>
        <v>0</v>
      </c>
      <c r="U902" s="201">
        <f t="shared" si="89"/>
        <v>0</v>
      </c>
      <c r="V902" s="201">
        <f t="shared" si="89"/>
        <v>0</v>
      </c>
      <c r="W902" s="201">
        <f t="shared" si="89"/>
        <v>0</v>
      </c>
      <c r="X902" s="201">
        <f t="shared" si="89"/>
        <v>0</v>
      </c>
    </row>
    <row r="903" spans="1:24" s="169" customFormat="1" ht="13.8">
      <c r="A903" s="192"/>
      <c r="B903" s="164"/>
      <c r="C903" s="183" t="str">
        <f t="shared" si="84"/>
        <v/>
      </c>
      <c r="D903" s="182" t="str">
        <f t="shared" si="85"/>
        <v/>
      </c>
      <c r="E903" s="192" t="s">
        <v>681</v>
      </c>
      <c r="F903" s="192" t="s">
        <v>677</v>
      </c>
      <c r="G903" s="192" t="s">
        <v>761</v>
      </c>
      <c r="H903" s="210" t="s">
        <v>1448</v>
      </c>
      <c r="I903" s="167">
        <v>170000000</v>
      </c>
      <c r="J903" s="166"/>
      <c r="K903" s="167">
        <v>170000000</v>
      </c>
      <c r="L903" s="171"/>
      <c r="M903" s="168">
        <f t="shared" si="86"/>
        <v>170000000</v>
      </c>
      <c r="N903" s="171"/>
      <c r="O903" s="167">
        <v>30600000</v>
      </c>
      <c r="P903" s="167">
        <f t="shared" si="87"/>
        <v>30600000</v>
      </c>
      <c r="Q903" s="167"/>
      <c r="S903" s="201">
        <f t="shared" si="88"/>
        <v>170</v>
      </c>
      <c r="T903" s="201">
        <f t="shared" si="89"/>
        <v>170</v>
      </c>
      <c r="U903" s="201">
        <f t="shared" si="89"/>
        <v>0</v>
      </c>
      <c r="V903" s="201">
        <f t="shared" si="89"/>
        <v>30.6</v>
      </c>
      <c r="W903" s="201">
        <f t="shared" si="89"/>
        <v>30.6</v>
      </c>
      <c r="X903" s="201">
        <f t="shared" si="89"/>
        <v>0</v>
      </c>
    </row>
    <row r="904" spans="1:24" s="169" customFormat="1" ht="26.4">
      <c r="A904" s="192" t="s">
        <v>1074</v>
      </c>
      <c r="B904" s="165" t="s">
        <v>1075</v>
      </c>
      <c r="C904" s="183" t="str">
        <f t="shared" si="84"/>
        <v>1049265</v>
      </c>
      <c r="D904" s="182" t="str">
        <f t="shared" si="85"/>
        <v>-Trường PT TH Dân tộc Nội trú huyện Sa thăy</v>
      </c>
      <c r="E904" s="206"/>
      <c r="F904" s="207"/>
      <c r="G904" s="207"/>
      <c r="H904" s="205"/>
      <c r="I904" s="167">
        <v>12208454000</v>
      </c>
      <c r="J904" s="166"/>
      <c r="K904" s="167">
        <v>10532557000</v>
      </c>
      <c r="L904" s="168">
        <v>1675897000</v>
      </c>
      <c r="M904" s="168">
        <f t="shared" si="86"/>
        <v>12208454000</v>
      </c>
      <c r="N904" s="168"/>
      <c r="O904" s="167">
        <v>11140034000</v>
      </c>
      <c r="P904" s="167">
        <f t="shared" si="87"/>
        <v>11140034000</v>
      </c>
      <c r="Q904" s="167"/>
      <c r="S904" s="201">
        <f t="shared" si="88"/>
        <v>12208.454</v>
      </c>
      <c r="T904" s="201">
        <f t="shared" si="89"/>
        <v>12208.454</v>
      </c>
      <c r="U904" s="201">
        <f t="shared" si="89"/>
        <v>0</v>
      </c>
      <c r="V904" s="201">
        <f t="shared" si="89"/>
        <v>11140.034</v>
      </c>
      <c r="W904" s="201">
        <f t="shared" si="89"/>
        <v>11140.034</v>
      </c>
      <c r="X904" s="201">
        <f t="shared" si="89"/>
        <v>0</v>
      </c>
    </row>
    <row r="905" spans="1:24" s="169" customFormat="1" ht="13.8">
      <c r="A905" s="192" t="s">
        <v>1076</v>
      </c>
      <c r="B905" s="170" t="s">
        <v>689</v>
      </c>
      <c r="C905" s="183" t="str">
        <f t="shared" si="84"/>
        <v/>
      </c>
      <c r="D905" s="182" t="str">
        <f t="shared" si="85"/>
        <v/>
      </c>
      <c r="E905" s="206"/>
      <c r="F905" s="207"/>
      <c r="G905" s="207"/>
      <c r="H905" s="205"/>
      <c r="I905" s="167">
        <v>12208454000</v>
      </c>
      <c r="J905" s="166"/>
      <c r="K905" s="167">
        <v>10532557000</v>
      </c>
      <c r="L905" s="168">
        <v>1675897000</v>
      </c>
      <c r="M905" s="168">
        <f t="shared" si="86"/>
        <v>12208454000</v>
      </c>
      <c r="N905" s="168"/>
      <c r="O905" s="167">
        <v>11140034000</v>
      </c>
      <c r="P905" s="167">
        <f t="shared" si="87"/>
        <v>11140034000</v>
      </c>
      <c r="Q905" s="167"/>
      <c r="S905" s="201">
        <f t="shared" si="88"/>
        <v>12208.454</v>
      </c>
      <c r="T905" s="201">
        <f t="shared" si="89"/>
        <v>12208.454</v>
      </c>
      <c r="U905" s="201">
        <f t="shared" si="89"/>
        <v>0</v>
      </c>
      <c r="V905" s="201">
        <f t="shared" si="89"/>
        <v>11140.034</v>
      </c>
      <c r="W905" s="201">
        <f t="shared" si="89"/>
        <v>11140.034</v>
      </c>
      <c r="X905" s="201">
        <f t="shared" si="89"/>
        <v>0</v>
      </c>
    </row>
    <row r="906" spans="1:24" s="169" customFormat="1" ht="13.8">
      <c r="A906" s="192"/>
      <c r="B906" s="170" t="s">
        <v>690</v>
      </c>
      <c r="C906" s="183" t="str">
        <f t="shared" si="84"/>
        <v/>
      </c>
      <c r="D906" s="182" t="str">
        <f t="shared" si="85"/>
        <v/>
      </c>
      <c r="E906" s="206"/>
      <c r="F906" s="207"/>
      <c r="G906" s="207"/>
      <c r="H906" s="205"/>
      <c r="I906" s="167">
        <v>6443549000</v>
      </c>
      <c r="J906" s="166"/>
      <c r="K906" s="167">
        <v>5943352000</v>
      </c>
      <c r="L906" s="168">
        <v>500197000</v>
      </c>
      <c r="M906" s="168">
        <f t="shared" si="86"/>
        <v>6443549000</v>
      </c>
      <c r="N906" s="168"/>
      <c r="O906" s="167">
        <v>6443549000</v>
      </c>
      <c r="P906" s="167">
        <f t="shared" si="87"/>
        <v>6443549000</v>
      </c>
      <c r="Q906" s="167"/>
      <c r="S906" s="201">
        <f t="shared" si="88"/>
        <v>6443.549</v>
      </c>
      <c r="T906" s="201">
        <f t="shared" si="89"/>
        <v>6443.549</v>
      </c>
      <c r="U906" s="201">
        <f t="shared" si="89"/>
        <v>0</v>
      </c>
      <c r="V906" s="201">
        <f t="shared" si="89"/>
        <v>6443.549</v>
      </c>
      <c r="W906" s="201">
        <f t="shared" si="89"/>
        <v>6443.549</v>
      </c>
      <c r="X906" s="201">
        <f t="shared" si="89"/>
        <v>0</v>
      </c>
    </row>
    <row r="907" spans="1:24" s="169" customFormat="1" ht="13.8">
      <c r="A907" s="193"/>
      <c r="B907" s="187"/>
      <c r="C907" s="183" t="str">
        <f t="shared" si="84"/>
        <v/>
      </c>
      <c r="D907" s="182" t="str">
        <f t="shared" si="85"/>
        <v/>
      </c>
      <c r="E907" s="192" t="s">
        <v>666</v>
      </c>
      <c r="F907" s="192" t="s">
        <v>677</v>
      </c>
      <c r="G907" s="192" t="s">
        <v>685</v>
      </c>
      <c r="H907" s="210" t="s">
        <v>1440</v>
      </c>
      <c r="I907" s="167">
        <v>6243352000</v>
      </c>
      <c r="J907" s="166"/>
      <c r="K907" s="167">
        <v>5943352000</v>
      </c>
      <c r="L907" s="168">
        <v>300000000</v>
      </c>
      <c r="M907" s="168">
        <f t="shared" si="86"/>
        <v>6243352000</v>
      </c>
      <c r="N907" s="168"/>
      <c r="O907" s="167">
        <v>6243352000</v>
      </c>
      <c r="P907" s="167">
        <f t="shared" si="87"/>
        <v>6243352000</v>
      </c>
      <c r="Q907" s="167"/>
      <c r="S907" s="201">
        <f t="shared" si="88"/>
        <v>6243.3519999999999</v>
      </c>
      <c r="T907" s="201">
        <f t="shared" si="89"/>
        <v>6243.3519999999999</v>
      </c>
      <c r="U907" s="201">
        <f t="shared" si="89"/>
        <v>0</v>
      </c>
      <c r="V907" s="201">
        <f t="shared" si="89"/>
        <v>6243.3519999999999</v>
      </c>
      <c r="W907" s="201">
        <f t="shared" si="89"/>
        <v>6243.3519999999999</v>
      </c>
      <c r="X907" s="201">
        <f t="shared" si="89"/>
        <v>0</v>
      </c>
    </row>
    <row r="908" spans="1:24" s="169" customFormat="1" ht="13.8">
      <c r="A908" s="194"/>
      <c r="B908" s="184"/>
      <c r="C908" s="183" t="str">
        <f t="shared" si="84"/>
        <v/>
      </c>
      <c r="D908" s="182" t="str">
        <f t="shared" si="85"/>
        <v/>
      </c>
      <c r="E908" s="192" t="s">
        <v>679</v>
      </c>
      <c r="F908" s="192" t="s">
        <v>677</v>
      </c>
      <c r="G908" s="192" t="s">
        <v>685</v>
      </c>
      <c r="H908" s="210" t="s">
        <v>1440</v>
      </c>
      <c r="I908" s="167">
        <v>167000000</v>
      </c>
      <c r="J908" s="166"/>
      <c r="K908" s="166"/>
      <c r="L908" s="168">
        <v>167000000</v>
      </c>
      <c r="M908" s="168">
        <f t="shared" si="86"/>
        <v>167000000</v>
      </c>
      <c r="N908" s="168"/>
      <c r="O908" s="167">
        <v>167000000</v>
      </c>
      <c r="P908" s="167">
        <f t="shared" si="87"/>
        <v>167000000</v>
      </c>
      <c r="Q908" s="167"/>
      <c r="S908" s="201">
        <f t="shared" si="88"/>
        <v>167</v>
      </c>
      <c r="T908" s="201">
        <f t="shared" si="89"/>
        <v>167</v>
      </c>
      <c r="U908" s="201">
        <f t="shared" si="89"/>
        <v>0</v>
      </c>
      <c r="V908" s="201">
        <f t="shared" si="89"/>
        <v>167</v>
      </c>
      <c r="W908" s="201">
        <f t="shared" si="89"/>
        <v>167</v>
      </c>
      <c r="X908" s="201">
        <f t="shared" si="89"/>
        <v>0</v>
      </c>
    </row>
    <row r="909" spans="1:24" s="169" customFormat="1" ht="13.8">
      <c r="A909" s="195"/>
      <c r="B909" s="188"/>
      <c r="C909" s="183" t="str">
        <f t="shared" si="84"/>
        <v/>
      </c>
      <c r="D909" s="182" t="str">
        <f t="shared" si="85"/>
        <v/>
      </c>
      <c r="E909" s="192" t="s">
        <v>669</v>
      </c>
      <c r="F909" s="192" t="s">
        <v>677</v>
      </c>
      <c r="G909" s="192" t="s">
        <v>685</v>
      </c>
      <c r="H909" s="210" t="s">
        <v>1440</v>
      </c>
      <c r="I909" s="167">
        <v>33197000</v>
      </c>
      <c r="J909" s="166"/>
      <c r="K909" s="166"/>
      <c r="L909" s="168">
        <v>33197000</v>
      </c>
      <c r="M909" s="168">
        <f t="shared" si="86"/>
        <v>33197000</v>
      </c>
      <c r="N909" s="168"/>
      <c r="O909" s="167">
        <v>33197000</v>
      </c>
      <c r="P909" s="167">
        <f t="shared" si="87"/>
        <v>33197000</v>
      </c>
      <c r="Q909" s="167"/>
      <c r="S909" s="201">
        <f t="shared" si="88"/>
        <v>33.197000000000003</v>
      </c>
      <c r="T909" s="201">
        <f t="shared" si="89"/>
        <v>33.197000000000003</v>
      </c>
      <c r="U909" s="201">
        <f t="shared" si="89"/>
        <v>0</v>
      </c>
      <c r="V909" s="201">
        <f t="shared" si="89"/>
        <v>33.197000000000003</v>
      </c>
      <c r="W909" s="201">
        <f t="shared" si="89"/>
        <v>33.197000000000003</v>
      </c>
      <c r="X909" s="201">
        <f t="shared" si="89"/>
        <v>0</v>
      </c>
    </row>
    <row r="910" spans="1:24" s="169" customFormat="1" ht="13.8">
      <c r="A910" s="192"/>
      <c r="B910" s="170" t="s">
        <v>686</v>
      </c>
      <c r="C910" s="183" t="str">
        <f t="shared" si="84"/>
        <v/>
      </c>
      <c r="D910" s="182" t="str">
        <f t="shared" si="85"/>
        <v/>
      </c>
      <c r="E910" s="206"/>
      <c r="F910" s="207"/>
      <c r="G910" s="207"/>
      <c r="H910" s="205"/>
      <c r="I910" s="167">
        <v>5764905000</v>
      </c>
      <c r="J910" s="166"/>
      <c r="K910" s="167">
        <v>4589205000</v>
      </c>
      <c r="L910" s="168">
        <v>1175700000</v>
      </c>
      <c r="M910" s="168">
        <f t="shared" si="86"/>
        <v>5764905000</v>
      </c>
      <c r="N910" s="168"/>
      <c r="O910" s="167">
        <v>4696485000</v>
      </c>
      <c r="P910" s="167">
        <f t="shared" si="87"/>
        <v>4696485000</v>
      </c>
      <c r="Q910" s="167"/>
      <c r="S910" s="201">
        <f t="shared" si="88"/>
        <v>5764.9049999999997</v>
      </c>
      <c r="T910" s="201">
        <f t="shared" si="89"/>
        <v>5764.9049999999997</v>
      </c>
      <c r="U910" s="201">
        <f t="shared" si="89"/>
        <v>0</v>
      </c>
      <c r="V910" s="201">
        <f t="shared" si="89"/>
        <v>4696.4849999999997</v>
      </c>
      <c r="W910" s="201">
        <f t="shared" si="89"/>
        <v>4696.4849999999997</v>
      </c>
      <c r="X910" s="201">
        <f t="shared" si="89"/>
        <v>0</v>
      </c>
    </row>
    <row r="911" spans="1:24" s="169" customFormat="1" ht="13.8">
      <c r="A911" s="193"/>
      <c r="B911" s="187"/>
      <c r="C911" s="183" t="str">
        <f t="shared" si="84"/>
        <v/>
      </c>
      <c r="D911" s="182" t="str">
        <f t="shared" si="85"/>
        <v/>
      </c>
      <c r="E911" s="192" t="s">
        <v>681</v>
      </c>
      <c r="F911" s="192" t="s">
        <v>677</v>
      </c>
      <c r="G911" s="192" t="s">
        <v>685</v>
      </c>
      <c r="H911" s="210" t="s">
        <v>1440</v>
      </c>
      <c r="I911" s="167">
        <v>908000000</v>
      </c>
      <c r="J911" s="166"/>
      <c r="K911" s="167">
        <v>908000000</v>
      </c>
      <c r="L911" s="171"/>
      <c r="M911" s="168">
        <f t="shared" si="86"/>
        <v>908000000</v>
      </c>
      <c r="N911" s="171"/>
      <c r="O911" s="167">
        <v>908000000</v>
      </c>
      <c r="P911" s="167">
        <f t="shared" si="87"/>
        <v>908000000</v>
      </c>
      <c r="Q911" s="167"/>
      <c r="S911" s="201">
        <f t="shared" si="88"/>
        <v>908</v>
      </c>
      <c r="T911" s="201">
        <f t="shared" si="89"/>
        <v>908</v>
      </c>
      <c r="U911" s="201">
        <f t="shared" si="89"/>
        <v>0</v>
      </c>
      <c r="V911" s="201">
        <f t="shared" si="89"/>
        <v>908</v>
      </c>
      <c r="W911" s="201">
        <f t="shared" si="89"/>
        <v>908</v>
      </c>
      <c r="X911" s="201">
        <f t="shared" si="89"/>
        <v>0</v>
      </c>
    </row>
    <row r="912" spans="1:24" s="169" customFormat="1" ht="13.8">
      <c r="A912" s="194"/>
      <c r="B912" s="184"/>
      <c r="C912" s="183" t="str">
        <f t="shared" si="84"/>
        <v/>
      </c>
      <c r="D912" s="182" t="str">
        <f t="shared" si="85"/>
        <v/>
      </c>
      <c r="E912" s="192" t="s">
        <v>679</v>
      </c>
      <c r="F912" s="192" t="s">
        <v>677</v>
      </c>
      <c r="G912" s="192" t="s">
        <v>685</v>
      </c>
      <c r="H912" s="210" t="s">
        <v>1440</v>
      </c>
      <c r="I912" s="167">
        <v>2763200000</v>
      </c>
      <c r="J912" s="166"/>
      <c r="K912" s="167">
        <v>2763200000</v>
      </c>
      <c r="L912" s="171"/>
      <c r="M912" s="168">
        <f t="shared" si="86"/>
        <v>2763200000</v>
      </c>
      <c r="N912" s="171"/>
      <c r="O912" s="167">
        <v>2544280000</v>
      </c>
      <c r="P912" s="167">
        <f t="shared" si="87"/>
        <v>2544280000</v>
      </c>
      <c r="Q912" s="167"/>
      <c r="S912" s="201">
        <f t="shared" si="88"/>
        <v>2763.2</v>
      </c>
      <c r="T912" s="201">
        <f t="shared" si="89"/>
        <v>2763.2</v>
      </c>
      <c r="U912" s="201">
        <f t="shared" si="89"/>
        <v>0</v>
      </c>
      <c r="V912" s="201">
        <f t="shared" si="89"/>
        <v>2544.2800000000002</v>
      </c>
      <c r="W912" s="201">
        <f t="shared" si="89"/>
        <v>2544.2800000000002</v>
      </c>
      <c r="X912" s="201">
        <f t="shared" si="89"/>
        <v>0</v>
      </c>
    </row>
    <row r="913" spans="1:24" s="169" customFormat="1" ht="13.8">
      <c r="A913" s="194"/>
      <c r="B913" s="184"/>
      <c r="C913" s="183" t="str">
        <f t="shared" si="84"/>
        <v/>
      </c>
      <c r="D913" s="182" t="str">
        <f t="shared" si="85"/>
        <v/>
      </c>
      <c r="E913" s="192" t="s">
        <v>667</v>
      </c>
      <c r="F913" s="192" t="s">
        <v>677</v>
      </c>
      <c r="G913" s="192" t="s">
        <v>685</v>
      </c>
      <c r="H913" s="210" t="s">
        <v>1440</v>
      </c>
      <c r="I913" s="167">
        <v>1061500000</v>
      </c>
      <c r="J913" s="166"/>
      <c r="K913" s="166"/>
      <c r="L913" s="168">
        <v>1061500000</v>
      </c>
      <c r="M913" s="168">
        <f t="shared" si="86"/>
        <v>1061500000</v>
      </c>
      <c r="N913" s="168"/>
      <c r="O913" s="167">
        <v>261500000</v>
      </c>
      <c r="P913" s="167">
        <f t="shared" si="87"/>
        <v>261500000</v>
      </c>
      <c r="Q913" s="167"/>
      <c r="S913" s="201">
        <f t="shared" si="88"/>
        <v>1061.5</v>
      </c>
      <c r="T913" s="201">
        <f t="shared" si="89"/>
        <v>1061.5</v>
      </c>
      <c r="U913" s="201">
        <f t="shared" si="89"/>
        <v>0</v>
      </c>
      <c r="V913" s="201">
        <f t="shared" si="89"/>
        <v>261.5</v>
      </c>
      <c r="W913" s="201">
        <f t="shared" si="89"/>
        <v>261.5</v>
      </c>
      <c r="X913" s="201">
        <f t="shared" si="89"/>
        <v>0</v>
      </c>
    </row>
    <row r="914" spans="1:24" s="169" customFormat="1" ht="13.8">
      <c r="A914" s="195"/>
      <c r="B914" s="188"/>
      <c r="C914" s="183" t="str">
        <f t="shared" si="84"/>
        <v/>
      </c>
      <c r="D914" s="182" t="str">
        <f t="shared" si="85"/>
        <v/>
      </c>
      <c r="E914" s="192" t="s">
        <v>669</v>
      </c>
      <c r="F914" s="192" t="s">
        <v>677</v>
      </c>
      <c r="G914" s="192" t="s">
        <v>685</v>
      </c>
      <c r="H914" s="210" t="s">
        <v>1440</v>
      </c>
      <c r="I914" s="167">
        <v>1032205000</v>
      </c>
      <c r="J914" s="166"/>
      <c r="K914" s="167">
        <v>918005000</v>
      </c>
      <c r="L914" s="168">
        <v>114200000</v>
      </c>
      <c r="M914" s="168">
        <f t="shared" si="86"/>
        <v>1032205000</v>
      </c>
      <c r="N914" s="168"/>
      <c r="O914" s="167">
        <v>982705000</v>
      </c>
      <c r="P914" s="167">
        <f t="shared" si="87"/>
        <v>982705000</v>
      </c>
      <c r="Q914" s="167"/>
      <c r="S914" s="201">
        <f t="shared" si="88"/>
        <v>1032.2049999999999</v>
      </c>
      <c r="T914" s="201">
        <f t="shared" si="89"/>
        <v>1032.2049999999999</v>
      </c>
      <c r="U914" s="201">
        <f t="shared" si="89"/>
        <v>0</v>
      </c>
      <c r="V914" s="201">
        <f t="shared" si="89"/>
        <v>982.70500000000004</v>
      </c>
      <c r="W914" s="201">
        <f t="shared" si="89"/>
        <v>982.70500000000004</v>
      </c>
      <c r="X914" s="201">
        <f t="shared" si="89"/>
        <v>0</v>
      </c>
    </row>
    <row r="915" spans="1:24" s="169" customFormat="1" ht="26.4">
      <c r="A915" s="192" t="s">
        <v>1077</v>
      </c>
      <c r="B915" s="165" t="s">
        <v>1078</v>
      </c>
      <c r="C915" s="183" t="str">
        <f t="shared" si="84"/>
        <v>1049266</v>
      </c>
      <c r="D915" s="182" t="str">
        <f t="shared" si="85"/>
        <v>-Trường PhS thông Dân tộc nội trú tỉnh Kontum</v>
      </c>
      <c r="E915" s="206"/>
      <c r="F915" s="207"/>
      <c r="G915" s="207"/>
      <c r="H915" s="205"/>
      <c r="I915" s="167">
        <v>16447633000</v>
      </c>
      <c r="J915" s="167">
        <v>171195000</v>
      </c>
      <c r="K915" s="167">
        <v>15407799000</v>
      </c>
      <c r="L915" s="168">
        <v>868639000</v>
      </c>
      <c r="M915" s="168">
        <f t="shared" si="86"/>
        <v>16447633000</v>
      </c>
      <c r="N915" s="168"/>
      <c r="O915" s="167">
        <v>15476333000</v>
      </c>
      <c r="P915" s="167">
        <f t="shared" si="87"/>
        <v>15476333000</v>
      </c>
      <c r="Q915" s="167"/>
      <c r="S915" s="201">
        <f t="shared" si="88"/>
        <v>16447.633000000002</v>
      </c>
      <c r="T915" s="201">
        <f t="shared" si="89"/>
        <v>16447.633000000002</v>
      </c>
      <c r="U915" s="201">
        <f t="shared" si="89"/>
        <v>0</v>
      </c>
      <c r="V915" s="201">
        <f t="shared" si="89"/>
        <v>15476.333000000001</v>
      </c>
      <c r="W915" s="201">
        <f t="shared" si="89"/>
        <v>15476.333000000001</v>
      </c>
      <c r="X915" s="201">
        <f t="shared" si="89"/>
        <v>0</v>
      </c>
    </row>
    <row r="916" spans="1:24" s="169" customFormat="1" ht="13.8">
      <c r="A916" s="192" t="s">
        <v>1079</v>
      </c>
      <c r="B916" s="170" t="s">
        <v>689</v>
      </c>
      <c r="C916" s="183" t="str">
        <f t="shared" si="84"/>
        <v/>
      </c>
      <c r="D916" s="182" t="str">
        <f t="shared" si="85"/>
        <v/>
      </c>
      <c r="E916" s="206"/>
      <c r="F916" s="207"/>
      <c r="G916" s="207"/>
      <c r="H916" s="205"/>
      <c r="I916" s="167">
        <v>16447633000</v>
      </c>
      <c r="J916" s="167">
        <v>171195000</v>
      </c>
      <c r="K916" s="167">
        <v>15407799000</v>
      </c>
      <c r="L916" s="168">
        <v>868639000</v>
      </c>
      <c r="M916" s="168">
        <f t="shared" si="86"/>
        <v>16447633000</v>
      </c>
      <c r="N916" s="168"/>
      <c r="O916" s="167">
        <v>15476333000</v>
      </c>
      <c r="P916" s="167">
        <f t="shared" si="87"/>
        <v>15476333000</v>
      </c>
      <c r="Q916" s="167"/>
      <c r="S916" s="201">
        <f t="shared" si="88"/>
        <v>16447.633000000002</v>
      </c>
      <c r="T916" s="201">
        <f t="shared" si="89"/>
        <v>16447.633000000002</v>
      </c>
      <c r="U916" s="201">
        <f t="shared" si="89"/>
        <v>0</v>
      </c>
      <c r="V916" s="201">
        <f t="shared" si="89"/>
        <v>15476.333000000001</v>
      </c>
      <c r="W916" s="201">
        <f t="shared" si="89"/>
        <v>15476.333000000001</v>
      </c>
      <c r="X916" s="201">
        <f t="shared" si="89"/>
        <v>0</v>
      </c>
    </row>
    <row r="917" spans="1:24" s="169" customFormat="1" ht="13.8">
      <c r="A917" s="192"/>
      <c r="B917" s="170" t="s">
        <v>690</v>
      </c>
      <c r="C917" s="183" t="str">
        <f t="shared" si="84"/>
        <v/>
      </c>
      <c r="D917" s="182" t="str">
        <f t="shared" si="85"/>
        <v/>
      </c>
      <c r="E917" s="206"/>
      <c r="F917" s="207"/>
      <c r="G917" s="207"/>
      <c r="H917" s="205"/>
      <c r="I917" s="167">
        <v>9488135000</v>
      </c>
      <c r="J917" s="166"/>
      <c r="K917" s="167">
        <v>9488135000</v>
      </c>
      <c r="L917" s="171"/>
      <c r="M917" s="168">
        <f t="shared" si="86"/>
        <v>9488135000</v>
      </c>
      <c r="N917" s="171"/>
      <c r="O917" s="167">
        <v>9488135000</v>
      </c>
      <c r="P917" s="167">
        <f t="shared" si="87"/>
        <v>9488135000</v>
      </c>
      <c r="Q917" s="167"/>
      <c r="S917" s="201">
        <f t="shared" si="88"/>
        <v>9488.1350000000002</v>
      </c>
      <c r="T917" s="201">
        <f t="shared" si="89"/>
        <v>9488.1350000000002</v>
      </c>
      <c r="U917" s="201">
        <f t="shared" si="89"/>
        <v>0</v>
      </c>
      <c r="V917" s="201">
        <f t="shared" si="89"/>
        <v>9488.1350000000002</v>
      </c>
      <c r="W917" s="201">
        <f t="shared" si="89"/>
        <v>9488.1350000000002</v>
      </c>
      <c r="X917" s="201">
        <f t="shared" si="89"/>
        <v>0</v>
      </c>
    </row>
    <row r="918" spans="1:24" s="169" customFormat="1" ht="13.8">
      <c r="A918" s="193"/>
      <c r="B918" s="187"/>
      <c r="C918" s="183" t="str">
        <f t="shared" ref="C918:C981" si="90">IF(B918&lt;&gt;"",IF(AND(LEFT(B918,1)&gt;="0",LEFT(B918,1)&lt;="9"),LEFT(B918,7),""),"")</f>
        <v/>
      </c>
      <c r="D918" s="182" t="str">
        <f t="shared" si="85"/>
        <v/>
      </c>
      <c r="E918" s="192" t="s">
        <v>666</v>
      </c>
      <c r="F918" s="192" t="s">
        <v>677</v>
      </c>
      <c r="G918" s="192" t="s">
        <v>678</v>
      </c>
      <c r="H918" s="210" t="s">
        <v>1440</v>
      </c>
      <c r="I918" s="167">
        <v>9225135000</v>
      </c>
      <c r="J918" s="166"/>
      <c r="K918" s="167">
        <v>9225135000</v>
      </c>
      <c r="L918" s="171"/>
      <c r="M918" s="168">
        <f t="shared" si="86"/>
        <v>9225135000</v>
      </c>
      <c r="N918" s="171"/>
      <c r="O918" s="167">
        <v>9225135000</v>
      </c>
      <c r="P918" s="167">
        <f t="shared" si="87"/>
        <v>9225135000</v>
      </c>
      <c r="Q918" s="167"/>
      <c r="S918" s="201">
        <f t="shared" si="88"/>
        <v>9225.1350000000002</v>
      </c>
      <c r="T918" s="201">
        <f t="shared" si="89"/>
        <v>9225.1350000000002</v>
      </c>
      <c r="U918" s="201">
        <f t="shared" si="89"/>
        <v>0</v>
      </c>
      <c r="V918" s="201">
        <f t="shared" si="89"/>
        <v>9225.1350000000002</v>
      </c>
      <c r="W918" s="201">
        <f t="shared" si="89"/>
        <v>9225.1350000000002</v>
      </c>
      <c r="X918" s="201">
        <f t="shared" si="89"/>
        <v>0</v>
      </c>
    </row>
    <row r="919" spans="1:24" s="169" customFormat="1" ht="13.8">
      <c r="A919" s="195"/>
      <c r="B919" s="188"/>
      <c r="C919" s="183" t="str">
        <f t="shared" si="90"/>
        <v/>
      </c>
      <c r="D919" s="182" t="str">
        <f t="shared" ref="D919:D982" si="91">IF(C919&lt;&gt;"",RIGHT(B919,LEN(B919)-7),"")</f>
        <v/>
      </c>
      <c r="E919" s="192" t="s">
        <v>679</v>
      </c>
      <c r="F919" s="192" t="s">
        <v>677</v>
      </c>
      <c r="G919" s="192" t="s">
        <v>678</v>
      </c>
      <c r="H919" s="210" t="s">
        <v>1440</v>
      </c>
      <c r="I919" s="167">
        <v>263000000</v>
      </c>
      <c r="J919" s="166"/>
      <c r="K919" s="167">
        <v>263000000</v>
      </c>
      <c r="L919" s="171"/>
      <c r="M919" s="168">
        <f t="shared" ref="M919:M982" si="92">I919-N919</f>
        <v>263000000</v>
      </c>
      <c r="N919" s="171"/>
      <c r="O919" s="167">
        <v>263000000</v>
      </c>
      <c r="P919" s="167">
        <f t="shared" ref="P919:P982" si="93">O919-Q919</f>
        <v>263000000</v>
      </c>
      <c r="Q919" s="167"/>
      <c r="S919" s="201">
        <f t="shared" ref="S919:S982" si="94">I919/1000000</f>
        <v>263</v>
      </c>
      <c r="T919" s="201">
        <f t="shared" si="89"/>
        <v>263</v>
      </c>
      <c r="U919" s="201">
        <f t="shared" si="89"/>
        <v>0</v>
      </c>
      <c r="V919" s="201">
        <f t="shared" si="89"/>
        <v>263</v>
      </c>
      <c r="W919" s="201">
        <f t="shared" si="89"/>
        <v>263</v>
      </c>
      <c r="X919" s="201">
        <f t="shared" si="89"/>
        <v>0</v>
      </c>
    </row>
    <row r="920" spans="1:24" s="169" customFormat="1" ht="13.8">
      <c r="A920" s="192"/>
      <c r="B920" s="170" t="s">
        <v>686</v>
      </c>
      <c r="C920" s="183" t="str">
        <f t="shared" si="90"/>
        <v/>
      </c>
      <c r="D920" s="182" t="str">
        <f t="shared" si="91"/>
        <v/>
      </c>
      <c r="E920" s="206"/>
      <c r="F920" s="207"/>
      <c r="G920" s="207"/>
      <c r="H920" s="205"/>
      <c r="I920" s="167">
        <v>6959498000</v>
      </c>
      <c r="J920" s="167">
        <v>171195000</v>
      </c>
      <c r="K920" s="167">
        <v>5919664000</v>
      </c>
      <c r="L920" s="168">
        <v>868639000</v>
      </c>
      <c r="M920" s="168">
        <f t="shared" si="92"/>
        <v>6959498000</v>
      </c>
      <c r="N920" s="168"/>
      <c r="O920" s="167">
        <v>5988198000</v>
      </c>
      <c r="P920" s="167">
        <f t="shared" si="93"/>
        <v>5988198000</v>
      </c>
      <c r="Q920" s="167"/>
      <c r="S920" s="201">
        <f t="shared" si="94"/>
        <v>6959.4979999999996</v>
      </c>
      <c r="T920" s="201">
        <f t="shared" si="89"/>
        <v>6959.4979999999996</v>
      </c>
      <c r="U920" s="201">
        <f t="shared" si="89"/>
        <v>0</v>
      </c>
      <c r="V920" s="201">
        <f t="shared" si="89"/>
        <v>5988.1980000000003</v>
      </c>
      <c r="W920" s="201">
        <f t="shared" si="89"/>
        <v>5988.1980000000003</v>
      </c>
      <c r="X920" s="201">
        <f t="shared" si="89"/>
        <v>0</v>
      </c>
    </row>
    <row r="921" spans="1:24" s="169" customFormat="1" ht="13.8">
      <c r="A921" s="193"/>
      <c r="B921" s="187"/>
      <c r="C921" s="183" t="str">
        <f t="shared" si="90"/>
        <v/>
      </c>
      <c r="D921" s="182" t="str">
        <f t="shared" si="91"/>
        <v/>
      </c>
      <c r="E921" s="192" t="s">
        <v>681</v>
      </c>
      <c r="F921" s="192" t="s">
        <v>677</v>
      </c>
      <c r="G921" s="192" t="s">
        <v>678</v>
      </c>
      <c r="H921" s="210" t="s">
        <v>1440</v>
      </c>
      <c r="I921" s="167">
        <v>1064034000</v>
      </c>
      <c r="J921" s="167">
        <v>171195000</v>
      </c>
      <c r="K921" s="167">
        <v>630000000</v>
      </c>
      <c r="L921" s="168">
        <v>262839000</v>
      </c>
      <c r="M921" s="168">
        <f t="shared" si="92"/>
        <v>1064034000</v>
      </c>
      <c r="N921" s="168"/>
      <c r="O921" s="167">
        <v>892839000</v>
      </c>
      <c r="P921" s="167">
        <f t="shared" si="93"/>
        <v>892839000</v>
      </c>
      <c r="Q921" s="167"/>
      <c r="S921" s="201">
        <f t="shared" si="94"/>
        <v>1064.0340000000001</v>
      </c>
      <c r="T921" s="201">
        <f t="shared" si="89"/>
        <v>1064.0340000000001</v>
      </c>
      <c r="U921" s="201">
        <f t="shared" si="89"/>
        <v>0</v>
      </c>
      <c r="V921" s="201">
        <f t="shared" si="89"/>
        <v>892.83900000000006</v>
      </c>
      <c r="W921" s="201">
        <f t="shared" si="89"/>
        <v>892.83900000000006</v>
      </c>
      <c r="X921" s="201">
        <f t="shared" si="89"/>
        <v>0</v>
      </c>
    </row>
    <row r="922" spans="1:24" s="169" customFormat="1" ht="13.8">
      <c r="A922" s="194"/>
      <c r="B922" s="184"/>
      <c r="C922" s="183" t="str">
        <f t="shared" si="90"/>
        <v/>
      </c>
      <c r="D922" s="182" t="str">
        <f t="shared" si="91"/>
        <v/>
      </c>
      <c r="E922" s="192" t="s">
        <v>679</v>
      </c>
      <c r="F922" s="192" t="s">
        <v>677</v>
      </c>
      <c r="G922" s="192" t="s">
        <v>678</v>
      </c>
      <c r="H922" s="210" t="s">
        <v>1440</v>
      </c>
      <c r="I922" s="167">
        <v>5289664000</v>
      </c>
      <c r="J922" s="166"/>
      <c r="K922" s="167">
        <v>5289664000</v>
      </c>
      <c r="L922" s="171"/>
      <c r="M922" s="168">
        <f t="shared" si="92"/>
        <v>5289664000</v>
      </c>
      <c r="N922" s="171"/>
      <c r="O922" s="167">
        <v>4990599000</v>
      </c>
      <c r="P922" s="167">
        <f t="shared" si="93"/>
        <v>4990599000</v>
      </c>
      <c r="Q922" s="167"/>
      <c r="S922" s="201">
        <f t="shared" si="94"/>
        <v>5289.6639999999998</v>
      </c>
      <c r="T922" s="201">
        <f t="shared" si="89"/>
        <v>5289.6639999999998</v>
      </c>
      <c r="U922" s="201">
        <f t="shared" si="89"/>
        <v>0</v>
      </c>
      <c r="V922" s="201">
        <f t="shared" si="89"/>
        <v>4990.5990000000002</v>
      </c>
      <c r="W922" s="201">
        <f t="shared" si="89"/>
        <v>4990.5990000000002</v>
      </c>
      <c r="X922" s="201">
        <f t="shared" si="89"/>
        <v>0</v>
      </c>
    </row>
    <row r="923" spans="1:24" s="169" customFormat="1" ht="13.8">
      <c r="A923" s="194"/>
      <c r="B923" s="184"/>
      <c r="C923" s="183" t="str">
        <f t="shared" si="90"/>
        <v/>
      </c>
      <c r="D923" s="182" t="str">
        <f t="shared" si="91"/>
        <v/>
      </c>
      <c r="E923" s="192" t="s">
        <v>667</v>
      </c>
      <c r="F923" s="192" t="s">
        <v>677</v>
      </c>
      <c r="G923" s="192" t="s">
        <v>678</v>
      </c>
      <c r="H923" s="210" t="s">
        <v>1440</v>
      </c>
      <c r="I923" s="167">
        <v>500000000</v>
      </c>
      <c r="J923" s="166"/>
      <c r="K923" s="166"/>
      <c r="L923" s="168">
        <v>500000000</v>
      </c>
      <c r="M923" s="168">
        <f t="shared" si="92"/>
        <v>500000000</v>
      </c>
      <c r="N923" s="168"/>
      <c r="O923" s="166"/>
      <c r="P923" s="167">
        <f t="shared" si="93"/>
        <v>0</v>
      </c>
      <c r="Q923" s="166"/>
      <c r="S923" s="201">
        <f t="shared" si="94"/>
        <v>500</v>
      </c>
      <c r="T923" s="201">
        <f t="shared" si="89"/>
        <v>500</v>
      </c>
      <c r="U923" s="201">
        <f t="shared" si="89"/>
        <v>0</v>
      </c>
      <c r="V923" s="201">
        <f t="shared" si="89"/>
        <v>0</v>
      </c>
      <c r="W923" s="201">
        <f t="shared" si="89"/>
        <v>0</v>
      </c>
      <c r="X923" s="201">
        <f t="shared" si="89"/>
        <v>0</v>
      </c>
    </row>
    <row r="924" spans="1:24" s="169" customFormat="1" ht="13.8">
      <c r="A924" s="195"/>
      <c r="B924" s="188"/>
      <c r="C924" s="183" t="str">
        <f t="shared" si="90"/>
        <v/>
      </c>
      <c r="D924" s="182" t="str">
        <f t="shared" si="91"/>
        <v/>
      </c>
      <c r="E924" s="192" t="s">
        <v>669</v>
      </c>
      <c r="F924" s="192" t="s">
        <v>677</v>
      </c>
      <c r="G924" s="192" t="s">
        <v>678</v>
      </c>
      <c r="H924" s="210" t="s">
        <v>1440</v>
      </c>
      <c r="I924" s="167">
        <v>105800000</v>
      </c>
      <c r="J924" s="166"/>
      <c r="K924" s="166"/>
      <c r="L924" s="168">
        <v>105800000</v>
      </c>
      <c r="M924" s="168">
        <f t="shared" si="92"/>
        <v>105800000</v>
      </c>
      <c r="N924" s="168"/>
      <c r="O924" s="167">
        <v>104760000</v>
      </c>
      <c r="P924" s="167">
        <f t="shared" si="93"/>
        <v>104760000</v>
      </c>
      <c r="Q924" s="167"/>
      <c r="S924" s="201">
        <f t="shared" si="94"/>
        <v>105.8</v>
      </c>
      <c r="T924" s="201">
        <f t="shared" si="89"/>
        <v>105.8</v>
      </c>
      <c r="U924" s="201">
        <f t="shared" si="89"/>
        <v>0</v>
      </c>
      <c r="V924" s="201">
        <f t="shared" si="89"/>
        <v>104.76</v>
      </c>
      <c r="W924" s="201">
        <f t="shared" si="89"/>
        <v>104.76</v>
      </c>
      <c r="X924" s="201">
        <f t="shared" si="89"/>
        <v>0</v>
      </c>
    </row>
    <row r="925" spans="1:24" s="169" customFormat="1" ht="26.4">
      <c r="A925" s="192" t="s">
        <v>1080</v>
      </c>
      <c r="B925" s="165" t="s">
        <v>1081</v>
      </c>
      <c r="C925" s="183" t="str">
        <f t="shared" si="90"/>
        <v>1049271</v>
      </c>
      <c r="D925" s="182" t="str">
        <f t="shared" si="91"/>
        <v>-SỜ Tài nguyên và Môi trường tỉnh Kontum</v>
      </c>
      <c r="E925" s="206"/>
      <c r="F925" s="207"/>
      <c r="G925" s="207"/>
      <c r="H925" s="205"/>
      <c r="I925" s="167">
        <v>40228144497</v>
      </c>
      <c r="J925" s="167">
        <v>16074344497</v>
      </c>
      <c r="K925" s="167">
        <v>19294800000</v>
      </c>
      <c r="L925" s="168">
        <v>4859000000</v>
      </c>
      <c r="M925" s="168">
        <f t="shared" si="92"/>
        <v>40228144497</v>
      </c>
      <c r="N925" s="168"/>
      <c r="O925" s="167">
        <v>33415606804</v>
      </c>
      <c r="P925" s="167">
        <f t="shared" si="93"/>
        <v>33415606804</v>
      </c>
      <c r="Q925" s="167"/>
      <c r="S925" s="201">
        <f t="shared" si="94"/>
        <v>40228.144497000001</v>
      </c>
      <c r="T925" s="201">
        <f t="shared" si="89"/>
        <v>40228.144497000001</v>
      </c>
      <c r="U925" s="201">
        <f t="shared" si="89"/>
        <v>0</v>
      </c>
      <c r="V925" s="201">
        <f t="shared" si="89"/>
        <v>33415.606804000003</v>
      </c>
      <c r="W925" s="201">
        <f t="shared" si="89"/>
        <v>33415.606804000003</v>
      </c>
      <c r="X925" s="201">
        <f t="shared" si="89"/>
        <v>0</v>
      </c>
    </row>
    <row r="926" spans="1:24" s="169" customFormat="1" ht="13.8">
      <c r="A926" s="192" t="s">
        <v>1082</v>
      </c>
      <c r="B926" s="170" t="s">
        <v>689</v>
      </c>
      <c r="C926" s="183" t="str">
        <f t="shared" si="90"/>
        <v/>
      </c>
      <c r="D926" s="182" t="str">
        <f t="shared" si="91"/>
        <v/>
      </c>
      <c r="E926" s="206"/>
      <c r="F926" s="207"/>
      <c r="G926" s="207"/>
      <c r="H926" s="205"/>
      <c r="I926" s="167">
        <v>40228144497</v>
      </c>
      <c r="J926" s="167">
        <v>16074344497</v>
      </c>
      <c r="K926" s="167">
        <v>19294800000</v>
      </c>
      <c r="L926" s="168">
        <v>4859000000</v>
      </c>
      <c r="M926" s="168">
        <f t="shared" si="92"/>
        <v>40228144497</v>
      </c>
      <c r="N926" s="168"/>
      <c r="O926" s="167">
        <v>33415606804</v>
      </c>
      <c r="P926" s="167">
        <f t="shared" si="93"/>
        <v>33415606804</v>
      </c>
      <c r="Q926" s="167"/>
      <c r="S926" s="201">
        <f t="shared" si="94"/>
        <v>40228.144497000001</v>
      </c>
      <c r="T926" s="201">
        <f t="shared" si="89"/>
        <v>40228.144497000001</v>
      </c>
      <c r="U926" s="201">
        <f t="shared" si="89"/>
        <v>0</v>
      </c>
      <c r="V926" s="201">
        <f t="shared" si="89"/>
        <v>33415.606804000003</v>
      </c>
      <c r="W926" s="201">
        <f t="shared" si="89"/>
        <v>33415.606804000003</v>
      </c>
      <c r="X926" s="201">
        <f t="shared" si="89"/>
        <v>0</v>
      </c>
    </row>
    <row r="927" spans="1:24" s="169" customFormat="1" ht="13.8">
      <c r="A927" s="192"/>
      <c r="B927" s="170" t="s">
        <v>690</v>
      </c>
      <c r="C927" s="183" t="str">
        <f t="shared" si="90"/>
        <v/>
      </c>
      <c r="D927" s="182" t="str">
        <f t="shared" si="91"/>
        <v/>
      </c>
      <c r="E927" s="206"/>
      <c r="F927" s="207"/>
      <c r="G927" s="207"/>
      <c r="H927" s="205"/>
      <c r="I927" s="167">
        <v>4240336347</v>
      </c>
      <c r="J927" s="167">
        <v>536347</v>
      </c>
      <c r="K927" s="167">
        <v>4239800000</v>
      </c>
      <c r="L927" s="171"/>
      <c r="M927" s="168">
        <f t="shared" si="92"/>
        <v>4240336347</v>
      </c>
      <c r="N927" s="171"/>
      <c r="O927" s="167">
        <v>4240336347</v>
      </c>
      <c r="P927" s="167">
        <f t="shared" si="93"/>
        <v>4240336347</v>
      </c>
      <c r="Q927" s="167"/>
      <c r="S927" s="201">
        <f t="shared" si="94"/>
        <v>4240.3363470000004</v>
      </c>
      <c r="T927" s="201">
        <f t="shared" si="89"/>
        <v>4240.3363470000004</v>
      </c>
      <c r="U927" s="201">
        <f t="shared" si="89"/>
        <v>0</v>
      </c>
      <c r="V927" s="201">
        <f t="shared" si="89"/>
        <v>4240.3363470000004</v>
      </c>
      <c r="W927" s="201">
        <f t="shared" si="89"/>
        <v>4240.3363470000004</v>
      </c>
      <c r="X927" s="201">
        <f t="shared" si="89"/>
        <v>0</v>
      </c>
    </row>
    <row r="928" spans="1:24" s="169" customFormat="1" ht="13.8">
      <c r="A928" s="192"/>
      <c r="B928" s="164"/>
      <c r="C928" s="183" t="str">
        <f t="shared" si="90"/>
        <v/>
      </c>
      <c r="D928" s="182" t="str">
        <f t="shared" si="91"/>
        <v/>
      </c>
      <c r="E928" s="192" t="s">
        <v>666</v>
      </c>
      <c r="F928" s="192" t="s">
        <v>972</v>
      </c>
      <c r="G928" s="192" t="s">
        <v>791</v>
      </c>
      <c r="H928" s="210" t="s">
        <v>1440</v>
      </c>
      <c r="I928" s="167">
        <v>4240336347</v>
      </c>
      <c r="J928" s="167">
        <v>536347</v>
      </c>
      <c r="K928" s="167">
        <v>4239800000</v>
      </c>
      <c r="L928" s="171"/>
      <c r="M928" s="168">
        <f t="shared" si="92"/>
        <v>4240336347</v>
      </c>
      <c r="N928" s="171"/>
      <c r="O928" s="167">
        <v>4240336347</v>
      </c>
      <c r="P928" s="167">
        <f t="shared" si="93"/>
        <v>4240336347</v>
      </c>
      <c r="Q928" s="167"/>
      <c r="S928" s="201">
        <f t="shared" si="94"/>
        <v>4240.3363470000004</v>
      </c>
      <c r="T928" s="201">
        <f t="shared" si="89"/>
        <v>4240.3363470000004</v>
      </c>
      <c r="U928" s="201">
        <f t="shared" si="89"/>
        <v>0</v>
      </c>
      <c r="V928" s="201">
        <f t="shared" si="89"/>
        <v>4240.3363470000004</v>
      </c>
      <c r="W928" s="201">
        <f t="shared" si="89"/>
        <v>4240.3363470000004</v>
      </c>
      <c r="X928" s="201">
        <f t="shared" si="89"/>
        <v>0</v>
      </c>
    </row>
    <row r="929" spans="1:24" s="169" customFormat="1" ht="13.8">
      <c r="A929" s="192"/>
      <c r="B929" s="170" t="s">
        <v>686</v>
      </c>
      <c r="C929" s="183" t="str">
        <f t="shared" si="90"/>
        <v/>
      </c>
      <c r="D929" s="182" t="str">
        <f t="shared" si="91"/>
        <v/>
      </c>
      <c r="E929" s="206"/>
      <c r="F929" s="207"/>
      <c r="G929" s="207"/>
      <c r="H929" s="205"/>
      <c r="I929" s="167">
        <v>35987808150</v>
      </c>
      <c r="J929" s="167">
        <v>16073808150</v>
      </c>
      <c r="K929" s="167">
        <v>15055000000</v>
      </c>
      <c r="L929" s="168">
        <v>4859000000</v>
      </c>
      <c r="M929" s="168">
        <f t="shared" si="92"/>
        <v>35987808150</v>
      </c>
      <c r="N929" s="168"/>
      <c r="O929" s="167">
        <v>29175270457</v>
      </c>
      <c r="P929" s="167">
        <f t="shared" si="93"/>
        <v>29175270457</v>
      </c>
      <c r="Q929" s="167"/>
      <c r="S929" s="201">
        <f t="shared" si="94"/>
        <v>35987.808149999997</v>
      </c>
      <c r="T929" s="201">
        <f t="shared" si="89"/>
        <v>35987.808149999997</v>
      </c>
      <c r="U929" s="201">
        <f t="shared" si="89"/>
        <v>0</v>
      </c>
      <c r="V929" s="201">
        <f t="shared" si="89"/>
        <v>29175.270456999999</v>
      </c>
      <c r="W929" s="201">
        <f t="shared" si="89"/>
        <v>29175.270456999999</v>
      </c>
      <c r="X929" s="201">
        <f t="shared" si="89"/>
        <v>0</v>
      </c>
    </row>
    <row r="930" spans="1:24" s="169" customFormat="1" ht="13.8">
      <c r="A930" s="193"/>
      <c r="B930" s="187"/>
      <c r="C930" s="183" t="str">
        <f t="shared" si="90"/>
        <v/>
      </c>
      <c r="D930" s="182" t="str">
        <f t="shared" si="91"/>
        <v/>
      </c>
      <c r="E930" s="192" t="s">
        <v>681</v>
      </c>
      <c r="F930" s="192" t="s">
        <v>972</v>
      </c>
      <c r="G930" s="192" t="s">
        <v>1083</v>
      </c>
      <c r="H930" s="210" t="s">
        <v>1440</v>
      </c>
      <c r="I930" s="167">
        <v>1916000000</v>
      </c>
      <c r="J930" s="167">
        <v>1300000000</v>
      </c>
      <c r="K930" s="167">
        <v>616000000</v>
      </c>
      <c r="L930" s="171"/>
      <c r="M930" s="168">
        <f t="shared" si="92"/>
        <v>1916000000</v>
      </c>
      <c r="N930" s="171"/>
      <c r="O930" s="167">
        <v>612000000</v>
      </c>
      <c r="P930" s="167">
        <f t="shared" si="93"/>
        <v>612000000</v>
      </c>
      <c r="Q930" s="167"/>
      <c r="S930" s="201">
        <f t="shared" si="94"/>
        <v>1916</v>
      </c>
      <c r="T930" s="201">
        <f t="shared" si="89"/>
        <v>1916</v>
      </c>
      <c r="U930" s="201">
        <f t="shared" si="89"/>
        <v>0</v>
      </c>
      <c r="V930" s="201">
        <f t="shared" si="89"/>
        <v>612</v>
      </c>
      <c r="W930" s="201">
        <f t="shared" si="89"/>
        <v>612</v>
      </c>
      <c r="X930" s="201">
        <f t="shared" si="89"/>
        <v>0</v>
      </c>
    </row>
    <row r="931" spans="1:24" s="169" customFormat="1" ht="13.8">
      <c r="A931" s="194"/>
      <c r="B931" s="184"/>
      <c r="C931" s="183" t="str">
        <f t="shared" si="90"/>
        <v/>
      </c>
      <c r="D931" s="182" t="str">
        <f t="shared" si="91"/>
        <v/>
      </c>
      <c r="E931" s="192" t="s">
        <v>681</v>
      </c>
      <c r="F931" s="192" t="s">
        <v>972</v>
      </c>
      <c r="G931" s="192" t="s">
        <v>780</v>
      </c>
      <c r="H931" s="210" t="s">
        <v>1440</v>
      </c>
      <c r="I931" s="167">
        <v>33001808150</v>
      </c>
      <c r="J931" s="167">
        <v>14773808150</v>
      </c>
      <c r="K931" s="167">
        <v>13910000000</v>
      </c>
      <c r="L931" s="168">
        <v>4318000000</v>
      </c>
      <c r="M931" s="168">
        <f t="shared" si="92"/>
        <v>33001808150</v>
      </c>
      <c r="N931" s="168"/>
      <c r="O931" s="167">
        <v>27651660497</v>
      </c>
      <c r="P931" s="167">
        <f t="shared" si="93"/>
        <v>27651660497</v>
      </c>
      <c r="Q931" s="167"/>
      <c r="S931" s="201">
        <f t="shared" si="94"/>
        <v>33001.808149999997</v>
      </c>
      <c r="T931" s="201">
        <f t="shared" si="89"/>
        <v>33001.808149999997</v>
      </c>
      <c r="U931" s="201">
        <f t="shared" si="89"/>
        <v>0</v>
      </c>
      <c r="V931" s="201">
        <f t="shared" si="89"/>
        <v>27651.660497000001</v>
      </c>
      <c r="W931" s="201">
        <f t="shared" si="89"/>
        <v>27651.660497000001</v>
      </c>
      <c r="X931" s="201">
        <f t="shared" si="89"/>
        <v>0</v>
      </c>
    </row>
    <row r="932" spans="1:24" s="169" customFormat="1" ht="13.8">
      <c r="A932" s="195"/>
      <c r="B932" s="188"/>
      <c r="C932" s="183" t="str">
        <f t="shared" si="90"/>
        <v/>
      </c>
      <c r="D932" s="182" t="str">
        <f t="shared" si="91"/>
        <v/>
      </c>
      <c r="E932" s="192" t="s">
        <v>681</v>
      </c>
      <c r="F932" s="192" t="s">
        <v>972</v>
      </c>
      <c r="G932" s="192" t="s">
        <v>791</v>
      </c>
      <c r="H932" s="210" t="s">
        <v>1440</v>
      </c>
      <c r="I932" s="167">
        <v>687000000</v>
      </c>
      <c r="J932" s="166"/>
      <c r="K932" s="167">
        <v>529000000</v>
      </c>
      <c r="L932" s="168">
        <v>158000000</v>
      </c>
      <c r="M932" s="168">
        <f t="shared" si="92"/>
        <v>687000000</v>
      </c>
      <c r="N932" s="168"/>
      <c r="O932" s="167">
        <v>681634329</v>
      </c>
      <c r="P932" s="167">
        <f t="shared" si="93"/>
        <v>681634329</v>
      </c>
      <c r="Q932" s="167"/>
      <c r="S932" s="201">
        <f t="shared" si="94"/>
        <v>687</v>
      </c>
      <c r="T932" s="201">
        <f t="shared" si="89"/>
        <v>687</v>
      </c>
      <c r="U932" s="201">
        <f t="shared" si="89"/>
        <v>0</v>
      </c>
      <c r="V932" s="201">
        <f t="shared" si="89"/>
        <v>681.63432899999998</v>
      </c>
      <c r="W932" s="201">
        <f t="shared" si="89"/>
        <v>681.63432899999998</v>
      </c>
      <c r="X932" s="201">
        <f t="shared" si="89"/>
        <v>0</v>
      </c>
    </row>
    <row r="933" spans="1:24" s="169" customFormat="1" ht="13.8">
      <c r="A933" s="192"/>
      <c r="B933" s="173"/>
      <c r="C933" s="183" t="str">
        <f t="shared" si="90"/>
        <v/>
      </c>
      <c r="D933" s="182" t="str">
        <f t="shared" si="91"/>
        <v/>
      </c>
      <c r="E933" s="192"/>
      <c r="F933" s="192"/>
      <c r="G933" s="192"/>
      <c r="H933" s="210"/>
      <c r="I933" s="174"/>
      <c r="J933" s="174"/>
      <c r="K933" s="174"/>
      <c r="L933" s="175"/>
      <c r="M933" s="168">
        <f t="shared" si="92"/>
        <v>0</v>
      </c>
      <c r="N933" s="175"/>
      <c r="O933" s="174"/>
      <c r="P933" s="167">
        <f t="shared" si="93"/>
        <v>0</v>
      </c>
      <c r="Q933" s="174"/>
      <c r="S933" s="201">
        <f t="shared" si="94"/>
        <v>0</v>
      </c>
      <c r="T933" s="201">
        <f t="shared" si="89"/>
        <v>0</v>
      </c>
      <c r="U933" s="201">
        <f t="shared" si="89"/>
        <v>0</v>
      </c>
      <c r="V933" s="201">
        <f t="shared" si="89"/>
        <v>0</v>
      </c>
      <c r="W933" s="201">
        <f t="shared" si="89"/>
        <v>0</v>
      </c>
      <c r="X933" s="201">
        <f t="shared" si="89"/>
        <v>0</v>
      </c>
    </row>
    <row r="934" spans="1:24" s="169" customFormat="1" ht="13.8">
      <c r="A934" s="192"/>
      <c r="B934" s="164"/>
      <c r="C934" s="183" t="str">
        <f t="shared" si="90"/>
        <v/>
      </c>
      <c r="D934" s="182" t="str">
        <f t="shared" si="91"/>
        <v/>
      </c>
      <c r="E934" s="192" t="s">
        <v>667</v>
      </c>
      <c r="F934" s="192" t="s">
        <v>972</v>
      </c>
      <c r="G934" s="192" t="s">
        <v>791</v>
      </c>
      <c r="H934" s="210" t="s">
        <v>1440</v>
      </c>
      <c r="I934" s="167">
        <v>383000000</v>
      </c>
      <c r="J934" s="166"/>
      <c r="K934" s="166"/>
      <c r="L934" s="168">
        <v>383000000</v>
      </c>
      <c r="M934" s="168">
        <f t="shared" si="92"/>
        <v>383000000</v>
      </c>
      <c r="N934" s="168"/>
      <c r="O934" s="167">
        <v>229975631</v>
      </c>
      <c r="P934" s="167">
        <f t="shared" si="93"/>
        <v>229975631</v>
      </c>
      <c r="Q934" s="167"/>
      <c r="S934" s="201">
        <f t="shared" si="94"/>
        <v>383</v>
      </c>
      <c r="T934" s="201">
        <f t="shared" si="89"/>
        <v>383</v>
      </c>
      <c r="U934" s="201">
        <f t="shared" si="89"/>
        <v>0</v>
      </c>
      <c r="V934" s="201">
        <f t="shared" si="89"/>
        <v>229.97563099999999</v>
      </c>
      <c r="W934" s="201">
        <f t="shared" si="89"/>
        <v>229.97563099999999</v>
      </c>
      <c r="X934" s="201">
        <f t="shared" si="89"/>
        <v>0</v>
      </c>
    </row>
    <row r="935" spans="1:24" s="169" customFormat="1" ht="26.4">
      <c r="A935" s="192" t="s">
        <v>1084</v>
      </c>
      <c r="B935" s="165" t="s">
        <v>1085</v>
      </c>
      <c r="C935" s="183" t="str">
        <f t="shared" si="90"/>
        <v>1049800</v>
      </c>
      <c r="D935" s="182" t="str">
        <f t="shared" si="91"/>
        <v>-Trường PhS thông Trung học Kontum</v>
      </c>
      <c r="E935" s="206"/>
      <c r="F935" s="207"/>
      <c r="G935" s="207"/>
      <c r="H935" s="205"/>
      <c r="I935" s="167">
        <v>11940320000</v>
      </c>
      <c r="J935" s="166"/>
      <c r="K935" s="167">
        <v>11687485000</v>
      </c>
      <c r="L935" s="168">
        <v>252835000</v>
      </c>
      <c r="M935" s="168">
        <f t="shared" si="92"/>
        <v>11940320000</v>
      </c>
      <c r="N935" s="168"/>
      <c r="O935" s="167">
        <v>11926320000</v>
      </c>
      <c r="P935" s="167">
        <f t="shared" si="93"/>
        <v>11926320000</v>
      </c>
      <c r="Q935" s="167"/>
      <c r="S935" s="201">
        <f t="shared" si="94"/>
        <v>11940.32</v>
      </c>
      <c r="T935" s="201">
        <f t="shared" si="89"/>
        <v>11940.32</v>
      </c>
      <c r="U935" s="201">
        <f t="shared" si="89"/>
        <v>0</v>
      </c>
      <c r="V935" s="201">
        <f t="shared" si="89"/>
        <v>11926.32</v>
      </c>
      <c r="W935" s="201">
        <f t="shared" si="89"/>
        <v>11926.32</v>
      </c>
      <c r="X935" s="201">
        <f t="shared" si="89"/>
        <v>0</v>
      </c>
    </row>
    <row r="936" spans="1:24" s="169" customFormat="1" ht="13.8">
      <c r="A936" s="192" t="s">
        <v>1086</v>
      </c>
      <c r="B936" s="170" t="s">
        <v>689</v>
      </c>
      <c r="C936" s="183" t="str">
        <f t="shared" si="90"/>
        <v/>
      </c>
      <c r="D936" s="182" t="str">
        <f t="shared" si="91"/>
        <v/>
      </c>
      <c r="E936" s="206"/>
      <c r="F936" s="207"/>
      <c r="G936" s="207"/>
      <c r="H936" s="205"/>
      <c r="I936" s="167">
        <v>11940320000</v>
      </c>
      <c r="J936" s="166"/>
      <c r="K936" s="167">
        <v>11687485000</v>
      </c>
      <c r="L936" s="168">
        <v>252835000</v>
      </c>
      <c r="M936" s="168">
        <f t="shared" si="92"/>
        <v>11940320000</v>
      </c>
      <c r="N936" s="168"/>
      <c r="O936" s="167">
        <v>11926320000</v>
      </c>
      <c r="P936" s="167">
        <f t="shared" si="93"/>
        <v>11926320000</v>
      </c>
      <c r="Q936" s="167"/>
      <c r="S936" s="201">
        <f t="shared" si="94"/>
        <v>11940.32</v>
      </c>
      <c r="T936" s="201">
        <f t="shared" si="89"/>
        <v>11940.32</v>
      </c>
      <c r="U936" s="201">
        <f t="shared" si="89"/>
        <v>0</v>
      </c>
      <c r="V936" s="201">
        <f t="shared" si="89"/>
        <v>11926.32</v>
      </c>
      <c r="W936" s="201">
        <f t="shared" si="89"/>
        <v>11926.32</v>
      </c>
      <c r="X936" s="201">
        <f t="shared" si="89"/>
        <v>0</v>
      </c>
    </row>
    <row r="937" spans="1:24" s="169" customFormat="1" ht="13.8">
      <c r="A937" s="192"/>
      <c r="B937" s="170" t="s">
        <v>690</v>
      </c>
      <c r="C937" s="183" t="str">
        <f t="shared" si="90"/>
        <v/>
      </c>
      <c r="D937" s="182" t="str">
        <f t="shared" si="91"/>
        <v/>
      </c>
      <c r="E937" s="206"/>
      <c r="F937" s="207"/>
      <c r="G937" s="207"/>
      <c r="H937" s="205"/>
      <c r="I937" s="167">
        <v>11472939000</v>
      </c>
      <c r="J937" s="166"/>
      <c r="K937" s="167">
        <v>11427085000</v>
      </c>
      <c r="L937" s="168">
        <v>45854000</v>
      </c>
      <c r="M937" s="168">
        <f t="shared" si="92"/>
        <v>11472939000</v>
      </c>
      <c r="N937" s="168"/>
      <c r="O937" s="167">
        <v>11472939000</v>
      </c>
      <c r="P937" s="167">
        <f t="shared" si="93"/>
        <v>11472939000</v>
      </c>
      <c r="Q937" s="167"/>
      <c r="S937" s="201">
        <f t="shared" si="94"/>
        <v>11472.939</v>
      </c>
      <c r="T937" s="201">
        <f t="shared" si="89"/>
        <v>11472.939</v>
      </c>
      <c r="U937" s="201">
        <f t="shared" si="89"/>
        <v>0</v>
      </c>
      <c r="V937" s="201">
        <f t="shared" si="89"/>
        <v>11472.939</v>
      </c>
      <c r="W937" s="201">
        <f t="shared" si="89"/>
        <v>11472.939</v>
      </c>
      <c r="X937" s="201">
        <f t="shared" si="89"/>
        <v>0</v>
      </c>
    </row>
    <row r="938" spans="1:24" s="169" customFormat="1" ht="13.8">
      <c r="A938" s="193"/>
      <c r="B938" s="187"/>
      <c r="C938" s="183" t="str">
        <f t="shared" si="90"/>
        <v/>
      </c>
      <c r="D938" s="182" t="str">
        <f t="shared" si="91"/>
        <v/>
      </c>
      <c r="E938" s="192" t="s">
        <v>666</v>
      </c>
      <c r="F938" s="192" t="s">
        <v>677</v>
      </c>
      <c r="G938" s="192" t="s">
        <v>678</v>
      </c>
      <c r="H938" s="210" t="s">
        <v>1440</v>
      </c>
      <c r="I938" s="167">
        <v>11427085000</v>
      </c>
      <c r="J938" s="166"/>
      <c r="K938" s="167">
        <v>11427085000</v>
      </c>
      <c r="L938" s="171"/>
      <c r="M938" s="168">
        <f t="shared" si="92"/>
        <v>11427085000</v>
      </c>
      <c r="N938" s="171"/>
      <c r="O938" s="167">
        <v>11427085000</v>
      </c>
      <c r="P938" s="167">
        <f t="shared" si="93"/>
        <v>11427085000</v>
      </c>
      <c r="Q938" s="167"/>
      <c r="S938" s="201">
        <f t="shared" si="94"/>
        <v>11427.084999999999</v>
      </c>
      <c r="T938" s="201">
        <f t="shared" si="89"/>
        <v>11427.084999999999</v>
      </c>
      <c r="U938" s="201">
        <f t="shared" si="89"/>
        <v>0</v>
      </c>
      <c r="V938" s="201">
        <f t="shared" si="89"/>
        <v>11427.084999999999</v>
      </c>
      <c r="W938" s="201">
        <f t="shared" si="89"/>
        <v>11427.084999999999</v>
      </c>
      <c r="X938" s="201">
        <f t="shared" si="89"/>
        <v>0</v>
      </c>
    </row>
    <row r="939" spans="1:24" s="169" customFormat="1" ht="13.8">
      <c r="A939" s="194"/>
      <c r="B939" s="184"/>
      <c r="C939" s="183" t="str">
        <f t="shared" si="90"/>
        <v/>
      </c>
      <c r="D939" s="182" t="str">
        <f t="shared" si="91"/>
        <v/>
      </c>
      <c r="E939" s="192" t="s">
        <v>679</v>
      </c>
      <c r="F939" s="192" t="s">
        <v>677</v>
      </c>
      <c r="G939" s="192" t="s">
        <v>678</v>
      </c>
      <c r="H939" s="210" t="s">
        <v>1440</v>
      </c>
      <c r="I939" s="167">
        <v>19000000</v>
      </c>
      <c r="J939" s="166"/>
      <c r="K939" s="166"/>
      <c r="L939" s="168">
        <v>19000000</v>
      </c>
      <c r="M939" s="168">
        <f t="shared" si="92"/>
        <v>19000000</v>
      </c>
      <c r="N939" s="168"/>
      <c r="O939" s="167">
        <v>19000000</v>
      </c>
      <c r="P939" s="167">
        <f t="shared" si="93"/>
        <v>19000000</v>
      </c>
      <c r="Q939" s="167"/>
      <c r="S939" s="201">
        <f t="shared" si="94"/>
        <v>19</v>
      </c>
      <c r="T939" s="201">
        <f t="shared" si="89"/>
        <v>19</v>
      </c>
      <c r="U939" s="201">
        <f t="shared" si="89"/>
        <v>0</v>
      </c>
      <c r="V939" s="201">
        <f t="shared" si="89"/>
        <v>19</v>
      </c>
      <c r="W939" s="201">
        <f t="shared" si="89"/>
        <v>19</v>
      </c>
      <c r="X939" s="201">
        <f t="shared" si="89"/>
        <v>0</v>
      </c>
    </row>
    <row r="940" spans="1:24" s="169" customFormat="1" ht="13.8">
      <c r="A940" s="195"/>
      <c r="B940" s="188"/>
      <c r="C940" s="183" t="str">
        <f t="shared" si="90"/>
        <v/>
      </c>
      <c r="D940" s="182" t="str">
        <f t="shared" si="91"/>
        <v/>
      </c>
      <c r="E940" s="192" t="s">
        <v>669</v>
      </c>
      <c r="F940" s="192" t="s">
        <v>677</v>
      </c>
      <c r="G940" s="192" t="s">
        <v>678</v>
      </c>
      <c r="H940" s="210" t="s">
        <v>1440</v>
      </c>
      <c r="I940" s="167">
        <v>26854000</v>
      </c>
      <c r="J940" s="166"/>
      <c r="K940" s="166"/>
      <c r="L940" s="168">
        <v>26854000</v>
      </c>
      <c r="M940" s="168">
        <f t="shared" si="92"/>
        <v>26854000</v>
      </c>
      <c r="N940" s="168"/>
      <c r="O940" s="167">
        <v>26854000</v>
      </c>
      <c r="P940" s="167">
        <f t="shared" si="93"/>
        <v>26854000</v>
      </c>
      <c r="Q940" s="167"/>
      <c r="S940" s="201">
        <f t="shared" si="94"/>
        <v>26.853999999999999</v>
      </c>
      <c r="T940" s="201">
        <f t="shared" si="89"/>
        <v>26.853999999999999</v>
      </c>
      <c r="U940" s="201">
        <f t="shared" si="89"/>
        <v>0</v>
      </c>
      <c r="V940" s="201">
        <f t="shared" si="89"/>
        <v>26.853999999999999</v>
      </c>
      <c r="W940" s="201">
        <f t="shared" si="89"/>
        <v>26.853999999999999</v>
      </c>
      <c r="X940" s="201">
        <f t="shared" si="89"/>
        <v>0</v>
      </c>
    </row>
    <row r="941" spans="1:24" s="169" customFormat="1" ht="13.8">
      <c r="A941" s="192"/>
      <c r="B941" s="170" t="s">
        <v>686</v>
      </c>
      <c r="C941" s="183" t="str">
        <f t="shared" si="90"/>
        <v/>
      </c>
      <c r="D941" s="182" t="str">
        <f t="shared" si="91"/>
        <v/>
      </c>
      <c r="E941" s="206"/>
      <c r="F941" s="207"/>
      <c r="G941" s="207"/>
      <c r="H941" s="205"/>
      <c r="I941" s="167">
        <v>467381000</v>
      </c>
      <c r="J941" s="166"/>
      <c r="K941" s="167">
        <v>260400000</v>
      </c>
      <c r="L941" s="168">
        <v>206981000</v>
      </c>
      <c r="M941" s="168">
        <f t="shared" si="92"/>
        <v>467381000</v>
      </c>
      <c r="N941" s="168"/>
      <c r="O941" s="167">
        <v>453381000</v>
      </c>
      <c r="P941" s="167">
        <f t="shared" si="93"/>
        <v>453381000</v>
      </c>
      <c r="Q941" s="167"/>
      <c r="S941" s="201">
        <f t="shared" si="94"/>
        <v>467.38099999999997</v>
      </c>
      <c r="T941" s="201">
        <f t="shared" si="89"/>
        <v>467.38099999999997</v>
      </c>
      <c r="U941" s="201">
        <f t="shared" si="89"/>
        <v>0</v>
      </c>
      <c r="V941" s="201">
        <f t="shared" si="89"/>
        <v>453.38099999999997</v>
      </c>
      <c r="W941" s="201">
        <f t="shared" si="89"/>
        <v>453.38099999999997</v>
      </c>
      <c r="X941" s="201">
        <f t="shared" si="89"/>
        <v>0</v>
      </c>
    </row>
    <row r="942" spans="1:24" s="169" customFormat="1" ht="13.8">
      <c r="A942" s="193"/>
      <c r="B942" s="187"/>
      <c r="C942" s="183" t="str">
        <f t="shared" si="90"/>
        <v/>
      </c>
      <c r="D942" s="182" t="str">
        <f t="shared" si="91"/>
        <v/>
      </c>
      <c r="E942" s="192" t="s">
        <v>681</v>
      </c>
      <c r="F942" s="192" t="s">
        <v>677</v>
      </c>
      <c r="G942" s="192" t="s">
        <v>678</v>
      </c>
      <c r="H942" s="210" t="s">
        <v>1440</v>
      </c>
      <c r="I942" s="167">
        <v>425781000</v>
      </c>
      <c r="J942" s="166"/>
      <c r="K942" s="167">
        <v>250000000</v>
      </c>
      <c r="L942" s="168">
        <v>175781000</v>
      </c>
      <c r="M942" s="168">
        <f t="shared" si="92"/>
        <v>425781000</v>
      </c>
      <c r="N942" s="168"/>
      <c r="O942" s="167">
        <v>425781000</v>
      </c>
      <c r="P942" s="167">
        <f t="shared" si="93"/>
        <v>425781000</v>
      </c>
      <c r="Q942" s="167"/>
      <c r="S942" s="201">
        <f t="shared" si="94"/>
        <v>425.78100000000001</v>
      </c>
      <c r="T942" s="201">
        <f t="shared" si="89"/>
        <v>425.78100000000001</v>
      </c>
      <c r="U942" s="201">
        <f t="shared" si="89"/>
        <v>0</v>
      </c>
      <c r="V942" s="201">
        <f t="shared" si="89"/>
        <v>425.78100000000001</v>
      </c>
      <c r="W942" s="201">
        <f t="shared" si="89"/>
        <v>425.78100000000001</v>
      </c>
      <c r="X942" s="201">
        <f t="shared" si="89"/>
        <v>0</v>
      </c>
    </row>
    <row r="943" spans="1:24" s="169" customFormat="1" ht="13.8">
      <c r="A943" s="195"/>
      <c r="B943" s="188"/>
      <c r="C943" s="183" t="str">
        <f t="shared" si="90"/>
        <v/>
      </c>
      <c r="D943" s="182" t="str">
        <f t="shared" si="91"/>
        <v/>
      </c>
      <c r="E943" s="192" t="s">
        <v>669</v>
      </c>
      <c r="F943" s="192" t="s">
        <v>677</v>
      </c>
      <c r="G943" s="192" t="s">
        <v>678</v>
      </c>
      <c r="H943" s="210" t="s">
        <v>1440</v>
      </c>
      <c r="I943" s="167">
        <v>41600000</v>
      </c>
      <c r="J943" s="166"/>
      <c r="K943" s="167">
        <v>10400000</v>
      </c>
      <c r="L943" s="168">
        <v>31200000</v>
      </c>
      <c r="M943" s="168">
        <f t="shared" si="92"/>
        <v>41600000</v>
      </c>
      <c r="N943" s="168"/>
      <c r="O943" s="167">
        <v>27600000</v>
      </c>
      <c r="P943" s="167">
        <f t="shared" si="93"/>
        <v>27600000</v>
      </c>
      <c r="Q943" s="167"/>
      <c r="S943" s="201">
        <f t="shared" si="94"/>
        <v>41.6</v>
      </c>
      <c r="T943" s="201">
        <f t="shared" si="89"/>
        <v>41.6</v>
      </c>
      <c r="U943" s="201">
        <f t="shared" si="89"/>
        <v>0</v>
      </c>
      <c r="V943" s="201">
        <f t="shared" si="89"/>
        <v>27.6</v>
      </c>
      <c r="W943" s="201">
        <f t="shared" si="89"/>
        <v>27.6</v>
      </c>
      <c r="X943" s="201">
        <f t="shared" si="89"/>
        <v>0</v>
      </c>
    </row>
    <row r="944" spans="1:24" s="169" customFormat="1" ht="26.4">
      <c r="A944" s="192" t="s">
        <v>1087</v>
      </c>
      <c r="B944" s="170" t="s">
        <v>1088</v>
      </c>
      <c r="C944" s="183" t="str">
        <f t="shared" si="90"/>
        <v>1050582</v>
      </c>
      <c r="D944" s="182" t="str">
        <f t="shared" si="91"/>
        <v>-Chi cục Phát triển Nông thôn</v>
      </c>
      <c r="E944" s="206"/>
      <c r="F944" s="207"/>
      <c r="G944" s="207"/>
      <c r="H944" s="205"/>
      <c r="I944" s="167">
        <v>2683534000</v>
      </c>
      <c r="J944" s="167">
        <v>150000000</v>
      </c>
      <c r="K944" s="167">
        <v>1512000000</v>
      </c>
      <c r="L944" s="168">
        <v>1021534000</v>
      </c>
      <c r="M944" s="168">
        <f t="shared" si="92"/>
        <v>2683534000</v>
      </c>
      <c r="N944" s="168"/>
      <c r="O944" s="167">
        <v>2516100000</v>
      </c>
      <c r="P944" s="167">
        <f t="shared" si="93"/>
        <v>2516100000</v>
      </c>
      <c r="Q944" s="167"/>
      <c r="S944" s="201">
        <f t="shared" si="94"/>
        <v>2683.5340000000001</v>
      </c>
      <c r="T944" s="201">
        <f t="shared" si="89"/>
        <v>2683.5340000000001</v>
      </c>
      <c r="U944" s="201">
        <f t="shared" si="89"/>
        <v>0</v>
      </c>
      <c r="V944" s="201">
        <f t="shared" si="89"/>
        <v>2516.1</v>
      </c>
      <c r="W944" s="201">
        <f t="shared" si="89"/>
        <v>2516.1</v>
      </c>
      <c r="X944" s="201">
        <f t="shared" si="89"/>
        <v>0</v>
      </c>
    </row>
    <row r="945" spans="1:24" s="169" customFormat="1" ht="13.8">
      <c r="A945" s="192" t="s">
        <v>1089</v>
      </c>
      <c r="B945" s="170" t="s">
        <v>689</v>
      </c>
      <c r="C945" s="183" t="str">
        <f t="shared" si="90"/>
        <v/>
      </c>
      <c r="D945" s="182" t="str">
        <f t="shared" si="91"/>
        <v/>
      </c>
      <c r="E945" s="206"/>
      <c r="F945" s="207"/>
      <c r="G945" s="207"/>
      <c r="H945" s="205"/>
      <c r="I945" s="167">
        <v>1983534000</v>
      </c>
      <c r="J945" s="167">
        <v>150000000</v>
      </c>
      <c r="K945" s="167">
        <v>1512000000</v>
      </c>
      <c r="L945" s="168">
        <v>321534000</v>
      </c>
      <c r="M945" s="168">
        <f t="shared" si="92"/>
        <v>1983534000</v>
      </c>
      <c r="N945" s="168"/>
      <c r="O945" s="167">
        <v>1833228000</v>
      </c>
      <c r="P945" s="167">
        <f t="shared" si="93"/>
        <v>1833228000</v>
      </c>
      <c r="Q945" s="167"/>
      <c r="S945" s="201">
        <f t="shared" si="94"/>
        <v>1983.5340000000001</v>
      </c>
      <c r="T945" s="201">
        <f t="shared" si="89"/>
        <v>1983.5340000000001</v>
      </c>
      <c r="U945" s="201">
        <f t="shared" si="89"/>
        <v>0</v>
      </c>
      <c r="V945" s="201">
        <f t="shared" si="89"/>
        <v>1833.2280000000001</v>
      </c>
      <c r="W945" s="201">
        <f t="shared" si="89"/>
        <v>1833.2280000000001</v>
      </c>
      <c r="X945" s="201">
        <f t="shared" si="89"/>
        <v>0</v>
      </c>
    </row>
    <row r="946" spans="1:24" s="169" customFormat="1" ht="13.8">
      <c r="A946" s="192"/>
      <c r="B946" s="170" t="s">
        <v>690</v>
      </c>
      <c r="C946" s="183" t="str">
        <f t="shared" si="90"/>
        <v/>
      </c>
      <c r="D946" s="182" t="str">
        <f t="shared" si="91"/>
        <v/>
      </c>
      <c r="E946" s="206"/>
      <c r="F946" s="207"/>
      <c r="G946" s="207"/>
      <c r="H946" s="205"/>
      <c r="I946" s="167">
        <v>1539800000</v>
      </c>
      <c r="J946" s="166"/>
      <c r="K946" s="167">
        <v>1497000000</v>
      </c>
      <c r="L946" s="168">
        <v>42800000</v>
      </c>
      <c r="M946" s="168">
        <f t="shared" si="92"/>
        <v>1539800000</v>
      </c>
      <c r="N946" s="168"/>
      <c r="O946" s="167">
        <v>1539800000</v>
      </c>
      <c r="P946" s="167">
        <f t="shared" si="93"/>
        <v>1539800000</v>
      </c>
      <c r="Q946" s="167"/>
      <c r="S946" s="201">
        <f t="shared" si="94"/>
        <v>1539.8</v>
      </c>
      <c r="T946" s="201">
        <f t="shared" si="89"/>
        <v>1539.8</v>
      </c>
      <c r="U946" s="201">
        <f t="shared" si="89"/>
        <v>0</v>
      </c>
      <c r="V946" s="201">
        <f t="shared" si="89"/>
        <v>1539.8</v>
      </c>
      <c r="W946" s="201">
        <f t="shared" si="89"/>
        <v>1539.8</v>
      </c>
      <c r="X946" s="201">
        <f t="shared" si="89"/>
        <v>0</v>
      </c>
    </row>
    <row r="947" spans="1:24" s="169" customFormat="1" ht="13.8">
      <c r="A947" s="193"/>
      <c r="B947" s="187"/>
      <c r="C947" s="183" t="str">
        <f t="shared" si="90"/>
        <v/>
      </c>
      <c r="D947" s="182" t="str">
        <f t="shared" si="91"/>
        <v/>
      </c>
      <c r="E947" s="192" t="s">
        <v>666</v>
      </c>
      <c r="F947" s="192" t="s">
        <v>698</v>
      </c>
      <c r="G947" s="192" t="s">
        <v>695</v>
      </c>
      <c r="H947" s="210" t="s">
        <v>1440</v>
      </c>
      <c r="I947" s="167">
        <v>1497000000</v>
      </c>
      <c r="J947" s="166"/>
      <c r="K947" s="167">
        <v>1497000000</v>
      </c>
      <c r="L947" s="171"/>
      <c r="M947" s="168">
        <f t="shared" si="92"/>
        <v>1497000000</v>
      </c>
      <c r="N947" s="171"/>
      <c r="O947" s="167">
        <v>1497000000</v>
      </c>
      <c r="P947" s="167">
        <f t="shared" si="93"/>
        <v>1497000000</v>
      </c>
      <c r="Q947" s="167"/>
      <c r="S947" s="201">
        <f t="shared" si="94"/>
        <v>1497</v>
      </c>
      <c r="T947" s="201">
        <f t="shared" ref="T947:X997" si="95">M947/1000000</f>
        <v>1497</v>
      </c>
      <c r="U947" s="201">
        <f t="shared" si="95"/>
        <v>0</v>
      </c>
      <c r="V947" s="201">
        <f t="shared" si="95"/>
        <v>1497</v>
      </c>
      <c r="W947" s="201">
        <f t="shared" si="95"/>
        <v>1497</v>
      </c>
      <c r="X947" s="201">
        <f t="shared" si="95"/>
        <v>0</v>
      </c>
    </row>
    <row r="948" spans="1:24" s="169" customFormat="1" ht="13.8">
      <c r="A948" s="195"/>
      <c r="B948" s="188"/>
      <c r="C948" s="183" t="str">
        <f t="shared" si="90"/>
        <v/>
      </c>
      <c r="D948" s="182" t="str">
        <f t="shared" si="91"/>
        <v/>
      </c>
      <c r="E948" s="192" t="s">
        <v>679</v>
      </c>
      <c r="F948" s="192" t="s">
        <v>698</v>
      </c>
      <c r="G948" s="192" t="s">
        <v>695</v>
      </c>
      <c r="H948" s="210" t="s">
        <v>1440</v>
      </c>
      <c r="I948" s="167">
        <v>42800000</v>
      </c>
      <c r="J948" s="166"/>
      <c r="K948" s="166"/>
      <c r="L948" s="168">
        <v>42800000</v>
      </c>
      <c r="M948" s="168">
        <f t="shared" si="92"/>
        <v>42800000</v>
      </c>
      <c r="N948" s="168"/>
      <c r="O948" s="167">
        <v>42800000</v>
      </c>
      <c r="P948" s="167">
        <f t="shared" si="93"/>
        <v>42800000</v>
      </c>
      <c r="Q948" s="167"/>
      <c r="S948" s="201">
        <f t="shared" si="94"/>
        <v>42.8</v>
      </c>
      <c r="T948" s="201">
        <f t="shared" si="95"/>
        <v>42.8</v>
      </c>
      <c r="U948" s="201">
        <f t="shared" si="95"/>
        <v>0</v>
      </c>
      <c r="V948" s="201">
        <f t="shared" si="95"/>
        <v>42.8</v>
      </c>
      <c r="W948" s="201">
        <f t="shared" si="95"/>
        <v>42.8</v>
      </c>
      <c r="X948" s="201">
        <f t="shared" si="95"/>
        <v>0</v>
      </c>
    </row>
    <row r="949" spans="1:24" s="169" customFormat="1" ht="13.8">
      <c r="A949" s="192"/>
      <c r="B949" s="170" t="s">
        <v>686</v>
      </c>
      <c r="C949" s="183" t="str">
        <f t="shared" si="90"/>
        <v/>
      </c>
      <c r="D949" s="182" t="str">
        <f t="shared" si="91"/>
        <v/>
      </c>
      <c r="E949" s="206"/>
      <c r="F949" s="207"/>
      <c r="G949" s="207"/>
      <c r="H949" s="205"/>
      <c r="I949" s="167">
        <v>443734000</v>
      </c>
      <c r="J949" s="167">
        <v>150000000</v>
      </c>
      <c r="K949" s="167">
        <v>15000000</v>
      </c>
      <c r="L949" s="168">
        <v>278734000</v>
      </c>
      <c r="M949" s="168">
        <f t="shared" si="92"/>
        <v>443734000</v>
      </c>
      <c r="N949" s="168"/>
      <c r="O949" s="167">
        <v>293428000</v>
      </c>
      <c r="P949" s="167">
        <f t="shared" si="93"/>
        <v>293428000</v>
      </c>
      <c r="Q949" s="167"/>
      <c r="S949" s="201">
        <f t="shared" si="94"/>
        <v>443.73399999999998</v>
      </c>
      <c r="T949" s="201">
        <f t="shared" si="95"/>
        <v>443.73399999999998</v>
      </c>
      <c r="U949" s="201">
        <f t="shared" si="95"/>
        <v>0</v>
      </c>
      <c r="V949" s="201">
        <f t="shared" si="95"/>
        <v>293.428</v>
      </c>
      <c r="W949" s="201">
        <f t="shared" si="95"/>
        <v>293.428</v>
      </c>
      <c r="X949" s="201">
        <f t="shared" si="95"/>
        <v>0</v>
      </c>
    </row>
    <row r="950" spans="1:24" s="169" customFormat="1" ht="13.8">
      <c r="A950" s="193"/>
      <c r="B950" s="187"/>
      <c r="C950" s="183" t="str">
        <f t="shared" si="90"/>
        <v/>
      </c>
      <c r="D950" s="182" t="str">
        <f t="shared" si="91"/>
        <v/>
      </c>
      <c r="E950" s="192" t="s">
        <v>681</v>
      </c>
      <c r="F950" s="192" t="s">
        <v>698</v>
      </c>
      <c r="G950" s="192" t="s">
        <v>695</v>
      </c>
      <c r="H950" s="210" t="s">
        <v>1440</v>
      </c>
      <c r="I950" s="167">
        <v>293734000</v>
      </c>
      <c r="J950" s="166"/>
      <c r="K950" s="167">
        <v>15000000</v>
      </c>
      <c r="L950" s="168">
        <v>278734000</v>
      </c>
      <c r="M950" s="168">
        <f t="shared" si="92"/>
        <v>293734000</v>
      </c>
      <c r="N950" s="168"/>
      <c r="O950" s="167">
        <v>293428000</v>
      </c>
      <c r="P950" s="167">
        <f t="shared" si="93"/>
        <v>293428000</v>
      </c>
      <c r="Q950" s="167"/>
      <c r="S950" s="201">
        <f t="shared" si="94"/>
        <v>293.73399999999998</v>
      </c>
      <c r="T950" s="201">
        <f t="shared" si="95"/>
        <v>293.73399999999998</v>
      </c>
      <c r="U950" s="201">
        <f t="shared" si="95"/>
        <v>0</v>
      </c>
      <c r="V950" s="201">
        <f t="shared" si="95"/>
        <v>293.428</v>
      </c>
      <c r="W950" s="201">
        <f t="shared" si="95"/>
        <v>293.428</v>
      </c>
      <c r="X950" s="201">
        <f t="shared" si="95"/>
        <v>0</v>
      </c>
    </row>
    <row r="951" spans="1:24" s="169" customFormat="1" ht="13.8">
      <c r="A951" s="195"/>
      <c r="B951" s="188"/>
      <c r="C951" s="183" t="str">
        <f t="shared" si="90"/>
        <v/>
      </c>
      <c r="D951" s="182" t="str">
        <f t="shared" si="91"/>
        <v/>
      </c>
      <c r="E951" s="192" t="s">
        <v>681</v>
      </c>
      <c r="F951" s="192" t="s">
        <v>698</v>
      </c>
      <c r="G951" s="192" t="s">
        <v>850</v>
      </c>
      <c r="H951" s="210" t="s">
        <v>1440</v>
      </c>
      <c r="I951" s="167">
        <v>150000000</v>
      </c>
      <c r="J951" s="167">
        <v>150000000</v>
      </c>
      <c r="K951" s="166"/>
      <c r="L951" s="171"/>
      <c r="M951" s="168">
        <f t="shared" si="92"/>
        <v>150000000</v>
      </c>
      <c r="N951" s="171"/>
      <c r="O951" s="166"/>
      <c r="P951" s="167">
        <f t="shared" si="93"/>
        <v>0</v>
      </c>
      <c r="Q951" s="166"/>
      <c r="S951" s="201">
        <f t="shared" si="94"/>
        <v>150</v>
      </c>
      <c r="T951" s="201">
        <f t="shared" si="95"/>
        <v>150</v>
      </c>
      <c r="U951" s="201">
        <f t="shared" si="95"/>
        <v>0</v>
      </c>
      <c r="V951" s="201">
        <f t="shared" si="95"/>
        <v>0</v>
      </c>
      <c r="W951" s="201">
        <f t="shared" si="95"/>
        <v>0</v>
      </c>
      <c r="X951" s="201">
        <f t="shared" si="95"/>
        <v>0</v>
      </c>
    </row>
    <row r="952" spans="1:24" s="169" customFormat="1" ht="13.8">
      <c r="A952" s="192" t="s">
        <v>1090</v>
      </c>
      <c r="B952" s="170" t="s">
        <v>701</v>
      </c>
      <c r="C952" s="183" t="str">
        <f t="shared" si="90"/>
        <v/>
      </c>
      <c r="D952" s="182" t="str">
        <f t="shared" si="91"/>
        <v/>
      </c>
      <c r="E952" s="206"/>
      <c r="F952" s="207"/>
      <c r="G952" s="207"/>
      <c r="H952" s="205"/>
      <c r="I952" s="167">
        <v>700000000</v>
      </c>
      <c r="J952" s="166"/>
      <c r="K952" s="166"/>
      <c r="L952" s="168">
        <v>700000000</v>
      </c>
      <c r="M952" s="168">
        <f t="shared" si="92"/>
        <v>700000000</v>
      </c>
      <c r="N952" s="168"/>
      <c r="O952" s="167">
        <v>682872000</v>
      </c>
      <c r="P952" s="167">
        <f t="shared" si="93"/>
        <v>682872000</v>
      </c>
      <c r="Q952" s="167"/>
      <c r="S952" s="201">
        <f t="shared" si="94"/>
        <v>700</v>
      </c>
      <c r="T952" s="201">
        <f t="shared" si="95"/>
        <v>700</v>
      </c>
      <c r="U952" s="201">
        <f t="shared" si="95"/>
        <v>0</v>
      </c>
      <c r="V952" s="201">
        <f t="shared" si="95"/>
        <v>682.87199999999996</v>
      </c>
      <c r="W952" s="201">
        <f t="shared" si="95"/>
        <v>682.87199999999996</v>
      </c>
      <c r="X952" s="201">
        <f t="shared" si="95"/>
        <v>0</v>
      </c>
    </row>
    <row r="953" spans="1:24" s="169" customFormat="1" ht="13.8">
      <c r="A953" s="192"/>
      <c r="B953" s="164"/>
      <c r="C953" s="183" t="str">
        <f t="shared" si="90"/>
        <v/>
      </c>
      <c r="D953" s="182" t="str">
        <f t="shared" si="91"/>
        <v/>
      </c>
      <c r="E953" s="192" t="s">
        <v>667</v>
      </c>
      <c r="F953" s="192" t="s">
        <v>698</v>
      </c>
      <c r="G953" s="192" t="s">
        <v>727</v>
      </c>
      <c r="H953" s="210" t="s">
        <v>1443</v>
      </c>
      <c r="I953" s="167">
        <v>700000000</v>
      </c>
      <c r="J953" s="166"/>
      <c r="K953" s="166"/>
      <c r="L953" s="168">
        <v>700000000</v>
      </c>
      <c r="M953" s="168">
        <f t="shared" si="92"/>
        <v>700000000</v>
      </c>
      <c r="N953" s="168"/>
      <c r="O953" s="167">
        <v>682872000</v>
      </c>
      <c r="P953" s="167">
        <f t="shared" si="93"/>
        <v>682872000</v>
      </c>
      <c r="Q953" s="167"/>
      <c r="S953" s="201">
        <f t="shared" si="94"/>
        <v>700</v>
      </c>
      <c r="T953" s="201">
        <f t="shared" si="95"/>
        <v>700</v>
      </c>
      <c r="U953" s="201">
        <f t="shared" si="95"/>
        <v>0</v>
      </c>
      <c r="V953" s="201">
        <f t="shared" si="95"/>
        <v>682.87199999999996</v>
      </c>
      <c r="W953" s="201">
        <f t="shared" si="95"/>
        <v>682.87199999999996</v>
      </c>
      <c r="X953" s="201">
        <f t="shared" si="95"/>
        <v>0</v>
      </c>
    </row>
    <row r="954" spans="1:24" s="169" customFormat="1" ht="26.4">
      <c r="A954" s="192" t="s">
        <v>1091</v>
      </c>
      <c r="B954" s="165" t="s">
        <v>1092</v>
      </c>
      <c r="C954" s="183" t="str">
        <f t="shared" si="90"/>
        <v>1050718</v>
      </c>
      <c r="D954" s="182" t="str">
        <f t="shared" si="91"/>
        <v>-Trung Tâm TruyỄn thông -Giáo dục Sức khoè</v>
      </c>
      <c r="E954" s="206"/>
      <c r="F954" s="207"/>
      <c r="G954" s="207"/>
      <c r="H954" s="205"/>
      <c r="I954" s="167">
        <v>2308000000</v>
      </c>
      <c r="J954" s="166"/>
      <c r="K954" s="167">
        <v>1911000000</v>
      </c>
      <c r="L954" s="168">
        <v>397000000</v>
      </c>
      <c r="M954" s="168">
        <f t="shared" si="92"/>
        <v>2308000000</v>
      </c>
      <c r="N954" s="168"/>
      <c r="O954" s="167">
        <v>1950000000</v>
      </c>
      <c r="P954" s="167">
        <f t="shared" si="93"/>
        <v>1950000000</v>
      </c>
      <c r="Q954" s="167"/>
      <c r="S954" s="201">
        <f t="shared" si="94"/>
        <v>2308</v>
      </c>
      <c r="T954" s="201">
        <f t="shared" si="95"/>
        <v>2308</v>
      </c>
      <c r="U954" s="201">
        <f t="shared" si="95"/>
        <v>0</v>
      </c>
      <c r="V954" s="201">
        <f t="shared" si="95"/>
        <v>1950</v>
      </c>
      <c r="W954" s="201">
        <f t="shared" si="95"/>
        <v>1950</v>
      </c>
      <c r="X954" s="201">
        <f t="shared" si="95"/>
        <v>0</v>
      </c>
    </row>
    <row r="955" spans="1:24" s="169" customFormat="1" ht="13.8">
      <c r="A955" s="192" t="s">
        <v>1093</v>
      </c>
      <c r="B955" s="170" t="s">
        <v>689</v>
      </c>
      <c r="C955" s="183" t="str">
        <f t="shared" si="90"/>
        <v/>
      </c>
      <c r="D955" s="182" t="str">
        <f t="shared" si="91"/>
        <v/>
      </c>
      <c r="E955" s="206"/>
      <c r="F955" s="207"/>
      <c r="G955" s="207"/>
      <c r="H955" s="205"/>
      <c r="I955" s="167">
        <v>1950000000</v>
      </c>
      <c r="J955" s="166"/>
      <c r="K955" s="167">
        <v>1911000000</v>
      </c>
      <c r="L955" s="168">
        <v>39000000</v>
      </c>
      <c r="M955" s="168">
        <f t="shared" si="92"/>
        <v>1950000000</v>
      </c>
      <c r="N955" s="168"/>
      <c r="O955" s="167">
        <v>1950000000</v>
      </c>
      <c r="P955" s="167">
        <f t="shared" si="93"/>
        <v>1950000000</v>
      </c>
      <c r="Q955" s="167"/>
      <c r="S955" s="201">
        <f t="shared" si="94"/>
        <v>1950</v>
      </c>
      <c r="T955" s="201">
        <f t="shared" si="95"/>
        <v>1950</v>
      </c>
      <c r="U955" s="201">
        <f t="shared" si="95"/>
        <v>0</v>
      </c>
      <c r="V955" s="201">
        <f t="shared" si="95"/>
        <v>1950</v>
      </c>
      <c r="W955" s="201">
        <f t="shared" si="95"/>
        <v>1950</v>
      </c>
      <c r="X955" s="201">
        <f t="shared" si="95"/>
        <v>0</v>
      </c>
    </row>
    <row r="956" spans="1:24" s="169" customFormat="1" ht="13.8">
      <c r="A956" s="192"/>
      <c r="B956" s="170" t="s">
        <v>690</v>
      </c>
      <c r="C956" s="183" t="str">
        <f t="shared" si="90"/>
        <v/>
      </c>
      <c r="D956" s="182" t="str">
        <f t="shared" si="91"/>
        <v/>
      </c>
      <c r="E956" s="206"/>
      <c r="F956" s="207"/>
      <c r="G956" s="207"/>
      <c r="H956" s="205"/>
      <c r="I956" s="167">
        <v>1313000000</v>
      </c>
      <c r="J956" s="166"/>
      <c r="K956" s="167">
        <v>1274000000</v>
      </c>
      <c r="L956" s="168">
        <v>39000000</v>
      </c>
      <c r="M956" s="168">
        <f t="shared" si="92"/>
        <v>1313000000</v>
      </c>
      <c r="N956" s="168"/>
      <c r="O956" s="167">
        <v>1313000000</v>
      </c>
      <c r="P956" s="167">
        <f t="shared" si="93"/>
        <v>1313000000</v>
      </c>
      <c r="Q956" s="167"/>
      <c r="S956" s="201">
        <f t="shared" si="94"/>
        <v>1313</v>
      </c>
      <c r="T956" s="201">
        <f t="shared" si="95"/>
        <v>1313</v>
      </c>
      <c r="U956" s="201">
        <f t="shared" si="95"/>
        <v>0</v>
      </c>
      <c r="V956" s="201">
        <f t="shared" si="95"/>
        <v>1313</v>
      </c>
      <c r="W956" s="201">
        <f t="shared" si="95"/>
        <v>1313</v>
      </c>
      <c r="X956" s="201">
        <f t="shared" si="95"/>
        <v>0</v>
      </c>
    </row>
    <row r="957" spans="1:24" s="169" customFormat="1" ht="13.8">
      <c r="A957" s="193"/>
      <c r="B957" s="187"/>
      <c r="C957" s="183" t="str">
        <f t="shared" si="90"/>
        <v/>
      </c>
      <c r="D957" s="182" t="str">
        <f t="shared" si="91"/>
        <v/>
      </c>
      <c r="E957" s="192" t="s">
        <v>666</v>
      </c>
      <c r="F957" s="192" t="s">
        <v>705</v>
      </c>
      <c r="G957" s="192" t="s">
        <v>706</v>
      </c>
      <c r="H957" s="210" t="s">
        <v>1440</v>
      </c>
      <c r="I957" s="167">
        <v>1274000000</v>
      </c>
      <c r="J957" s="166"/>
      <c r="K957" s="167">
        <v>1274000000</v>
      </c>
      <c r="L957" s="171"/>
      <c r="M957" s="168">
        <f t="shared" si="92"/>
        <v>1274000000</v>
      </c>
      <c r="N957" s="171"/>
      <c r="O957" s="167">
        <v>1274000000</v>
      </c>
      <c r="P957" s="167">
        <f t="shared" si="93"/>
        <v>1274000000</v>
      </c>
      <c r="Q957" s="167"/>
      <c r="S957" s="201">
        <f t="shared" si="94"/>
        <v>1274</v>
      </c>
      <c r="T957" s="201">
        <f t="shared" si="95"/>
        <v>1274</v>
      </c>
      <c r="U957" s="201">
        <f t="shared" si="95"/>
        <v>0</v>
      </c>
      <c r="V957" s="201">
        <f t="shared" si="95"/>
        <v>1274</v>
      </c>
      <c r="W957" s="201">
        <f t="shared" si="95"/>
        <v>1274</v>
      </c>
      <c r="X957" s="201">
        <f t="shared" si="95"/>
        <v>0</v>
      </c>
    </row>
    <row r="958" spans="1:24" s="169" customFormat="1" ht="13.8">
      <c r="A958" s="195"/>
      <c r="B958" s="188"/>
      <c r="C958" s="183" t="str">
        <f t="shared" si="90"/>
        <v/>
      </c>
      <c r="D958" s="182" t="str">
        <f t="shared" si="91"/>
        <v/>
      </c>
      <c r="E958" s="192" t="s">
        <v>679</v>
      </c>
      <c r="F958" s="192" t="s">
        <v>705</v>
      </c>
      <c r="G958" s="192" t="s">
        <v>706</v>
      </c>
      <c r="H958" s="210" t="s">
        <v>1440</v>
      </c>
      <c r="I958" s="167">
        <v>39000000</v>
      </c>
      <c r="J958" s="166"/>
      <c r="K958" s="166"/>
      <c r="L958" s="168">
        <v>39000000</v>
      </c>
      <c r="M958" s="168">
        <f t="shared" si="92"/>
        <v>39000000</v>
      </c>
      <c r="N958" s="168"/>
      <c r="O958" s="167">
        <v>39000000</v>
      </c>
      <c r="P958" s="167">
        <f t="shared" si="93"/>
        <v>39000000</v>
      </c>
      <c r="Q958" s="167"/>
      <c r="S958" s="201">
        <f t="shared" si="94"/>
        <v>39</v>
      </c>
      <c r="T958" s="201">
        <f t="shared" si="95"/>
        <v>39</v>
      </c>
      <c r="U958" s="201">
        <f t="shared" si="95"/>
        <v>0</v>
      </c>
      <c r="V958" s="201">
        <f t="shared" si="95"/>
        <v>39</v>
      </c>
      <c r="W958" s="201">
        <f t="shared" si="95"/>
        <v>39</v>
      </c>
      <c r="X958" s="201">
        <f t="shared" si="95"/>
        <v>0</v>
      </c>
    </row>
    <row r="959" spans="1:24" s="169" customFormat="1" ht="13.8">
      <c r="A959" s="192"/>
      <c r="B959" s="170" t="s">
        <v>686</v>
      </c>
      <c r="C959" s="183" t="str">
        <f t="shared" si="90"/>
        <v/>
      </c>
      <c r="D959" s="182" t="str">
        <f t="shared" si="91"/>
        <v/>
      </c>
      <c r="E959" s="206"/>
      <c r="F959" s="207"/>
      <c r="G959" s="207"/>
      <c r="H959" s="205"/>
      <c r="I959" s="167">
        <v>637000000</v>
      </c>
      <c r="J959" s="166"/>
      <c r="K959" s="167">
        <v>637000000</v>
      </c>
      <c r="L959" s="171"/>
      <c r="M959" s="168">
        <f t="shared" si="92"/>
        <v>637000000</v>
      </c>
      <c r="N959" s="171"/>
      <c r="O959" s="167">
        <v>637000000</v>
      </c>
      <c r="P959" s="167">
        <f t="shared" si="93"/>
        <v>637000000</v>
      </c>
      <c r="Q959" s="167"/>
      <c r="S959" s="201">
        <f t="shared" si="94"/>
        <v>637</v>
      </c>
      <c r="T959" s="201">
        <f t="shared" si="95"/>
        <v>637</v>
      </c>
      <c r="U959" s="201">
        <f t="shared" si="95"/>
        <v>0</v>
      </c>
      <c r="V959" s="201">
        <f t="shared" si="95"/>
        <v>637</v>
      </c>
      <c r="W959" s="201">
        <f t="shared" si="95"/>
        <v>637</v>
      </c>
      <c r="X959" s="201">
        <f t="shared" si="95"/>
        <v>0</v>
      </c>
    </row>
    <row r="960" spans="1:24" s="169" customFormat="1" ht="13.8">
      <c r="A960" s="192"/>
      <c r="B960" s="164"/>
      <c r="C960" s="183" t="str">
        <f t="shared" si="90"/>
        <v/>
      </c>
      <c r="D960" s="182" t="str">
        <f t="shared" si="91"/>
        <v/>
      </c>
      <c r="E960" s="192" t="s">
        <v>681</v>
      </c>
      <c r="F960" s="192" t="s">
        <v>705</v>
      </c>
      <c r="G960" s="192" t="s">
        <v>706</v>
      </c>
      <c r="H960" s="210" t="s">
        <v>1440</v>
      </c>
      <c r="I960" s="167">
        <v>637000000</v>
      </c>
      <c r="J960" s="166"/>
      <c r="K960" s="167">
        <v>637000000</v>
      </c>
      <c r="L960" s="171"/>
      <c r="M960" s="168">
        <f t="shared" si="92"/>
        <v>637000000</v>
      </c>
      <c r="N960" s="171"/>
      <c r="O960" s="167">
        <v>637000000</v>
      </c>
      <c r="P960" s="167">
        <f t="shared" si="93"/>
        <v>637000000</v>
      </c>
      <c r="Q960" s="167"/>
      <c r="S960" s="201">
        <f t="shared" si="94"/>
        <v>637</v>
      </c>
      <c r="T960" s="201">
        <f t="shared" si="95"/>
        <v>637</v>
      </c>
      <c r="U960" s="201">
        <f t="shared" si="95"/>
        <v>0</v>
      </c>
      <c r="V960" s="201">
        <f t="shared" si="95"/>
        <v>637</v>
      </c>
      <c r="W960" s="201">
        <f t="shared" si="95"/>
        <v>637</v>
      </c>
      <c r="X960" s="201">
        <f t="shared" si="95"/>
        <v>0</v>
      </c>
    </row>
    <row r="961" spans="1:24" s="169" customFormat="1" ht="13.8">
      <c r="A961" s="192" t="s">
        <v>1094</v>
      </c>
      <c r="B961" s="170" t="s">
        <v>701</v>
      </c>
      <c r="C961" s="183" t="str">
        <f t="shared" si="90"/>
        <v/>
      </c>
      <c r="D961" s="182" t="str">
        <f t="shared" si="91"/>
        <v/>
      </c>
      <c r="E961" s="206"/>
      <c r="F961" s="207"/>
      <c r="G961" s="207"/>
      <c r="H961" s="205"/>
      <c r="I961" s="167">
        <v>358000000</v>
      </c>
      <c r="J961" s="166"/>
      <c r="K961" s="166"/>
      <c r="L961" s="168">
        <v>358000000</v>
      </c>
      <c r="M961" s="168">
        <f t="shared" si="92"/>
        <v>358000000</v>
      </c>
      <c r="N961" s="168"/>
      <c r="O961" s="166"/>
      <c r="P961" s="167">
        <f t="shared" si="93"/>
        <v>0</v>
      </c>
      <c r="Q961" s="166"/>
      <c r="S961" s="201">
        <f t="shared" si="94"/>
        <v>358</v>
      </c>
      <c r="T961" s="201">
        <f t="shared" si="95"/>
        <v>358</v>
      </c>
      <c r="U961" s="201">
        <f t="shared" si="95"/>
        <v>0</v>
      </c>
      <c r="V961" s="201">
        <f t="shared" si="95"/>
        <v>0</v>
      </c>
      <c r="W961" s="201">
        <f t="shared" si="95"/>
        <v>0</v>
      </c>
      <c r="X961" s="201">
        <f t="shared" si="95"/>
        <v>0</v>
      </c>
    </row>
    <row r="962" spans="1:24" s="169" customFormat="1" ht="13.8">
      <c r="A962" s="192"/>
      <c r="B962" s="164"/>
      <c r="C962" s="183" t="str">
        <f t="shared" si="90"/>
        <v/>
      </c>
      <c r="D962" s="182" t="str">
        <f t="shared" si="91"/>
        <v/>
      </c>
      <c r="E962" s="192" t="s">
        <v>667</v>
      </c>
      <c r="F962" s="192" t="s">
        <v>705</v>
      </c>
      <c r="G962" s="192" t="s">
        <v>775</v>
      </c>
      <c r="H962" s="210" t="s">
        <v>1455</v>
      </c>
      <c r="I962" s="167">
        <v>358000000</v>
      </c>
      <c r="J962" s="166"/>
      <c r="K962" s="166"/>
      <c r="L962" s="168">
        <v>358000000</v>
      </c>
      <c r="M962" s="168">
        <f t="shared" si="92"/>
        <v>358000000</v>
      </c>
      <c r="N962" s="168"/>
      <c r="O962" s="166"/>
      <c r="P962" s="167">
        <f t="shared" si="93"/>
        <v>0</v>
      </c>
      <c r="Q962" s="166"/>
      <c r="S962" s="201">
        <f t="shared" si="94"/>
        <v>358</v>
      </c>
      <c r="T962" s="201">
        <f t="shared" si="95"/>
        <v>358</v>
      </c>
      <c r="U962" s="201">
        <f t="shared" si="95"/>
        <v>0</v>
      </c>
      <c r="V962" s="201">
        <f t="shared" si="95"/>
        <v>0</v>
      </c>
      <c r="W962" s="201">
        <f t="shared" si="95"/>
        <v>0</v>
      </c>
      <c r="X962" s="201">
        <f t="shared" si="95"/>
        <v>0</v>
      </c>
    </row>
    <row r="963" spans="1:24" s="169" customFormat="1" ht="26.4">
      <c r="A963" s="192" t="s">
        <v>1095</v>
      </c>
      <c r="B963" s="170" t="s">
        <v>1096</v>
      </c>
      <c r="C963" s="183" t="str">
        <f t="shared" si="90"/>
        <v>1050722</v>
      </c>
      <c r="D963" s="182" t="str">
        <f t="shared" si="91"/>
        <v>-Hạt Kiểm lâm huyện Kon Rầy</v>
      </c>
      <c r="E963" s="206"/>
      <c r="F963" s="207"/>
      <c r="G963" s="207"/>
      <c r="H963" s="205"/>
      <c r="I963" s="167">
        <v>2821096000</v>
      </c>
      <c r="J963" s="166"/>
      <c r="K963" s="167">
        <v>2502500000</v>
      </c>
      <c r="L963" s="168">
        <v>318596000</v>
      </c>
      <c r="M963" s="168">
        <f t="shared" si="92"/>
        <v>2821096000</v>
      </c>
      <c r="N963" s="168"/>
      <c r="O963" s="167">
        <v>2821035088</v>
      </c>
      <c r="P963" s="167">
        <f t="shared" si="93"/>
        <v>2821035088</v>
      </c>
      <c r="Q963" s="167"/>
      <c r="S963" s="201">
        <f t="shared" si="94"/>
        <v>2821.096</v>
      </c>
      <c r="T963" s="201">
        <f t="shared" si="95"/>
        <v>2821.096</v>
      </c>
      <c r="U963" s="201">
        <f t="shared" si="95"/>
        <v>0</v>
      </c>
      <c r="V963" s="201">
        <f t="shared" si="95"/>
        <v>2821.0350880000001</v>
      </c>
      <c r="W963" s="201">
        <f t="shared" si="95"/>
        <v>2821.0350880000001</v>
      </c>
      <c r="X963" s="201">
        <f t="shared" si="95"/>
        <v>0</v>
      </c>
    </row>
    <row r="964" spans="1:24" s="169" customFormat="1" ht="13.8">
      <c r="A964" s="192"/>
      <c r="B964" s="173"/>
      <c r="C964" s="183" t="str">
        <f t="shared" si="90"/>
        <v/>
      </c>
      <c r="D964" s="182" t="str">
        <f t="shared" si="91"/>
        <v/>
      </c>
      <c r="E964" s="192"/>
      <c r="F964" s="192"/>
      <c r="G964" s="192"/>
      <c r="H964" s="210"/>
      <c r="I964" s="174"/>
      <c r="J964" s="174"/>
      <c r="K964" s="174"/>
      <c r="L964" s="175"/>
      <c r="M964" s="168">
        <f t="shared" si="92"/>
        <v>0</v>
      </c>
      <c r="N964" s="175"/>
      <c r="O964" s="174"/>
      <c r="P964" s="167">
        <f t="shared" si="93"/>
        <v>0</v>
      </c>
      <c r="Q964" s="174"/>
      <c r="S964" s="201">
        <f t="shared" si="94"/>
        <v>0</v>
      </c>
      <c r="T964" s="201">
        <f t="shared" si="95"/>
        <v>0</v>
      </c>
      <c r="U964" s="201">
        <f t="shared" si="95"/>
        <v>0</v>
      </c>
      <c r="V964" s="201">
        <f t="shared" si="95"/>
        <v>0</v>
      </c>
      <c r="W964" s="201">
        <f t="shared" si="95"/>
        <v>0</v>
      </c>
      <c r="X964" s="201">
        <f t="shared" si="95"/>
        <v>0</v>
      </c>
    </row>
    <row r="965" spans="1:24" s="169" customFormat="1" ht="13.8">
      <c r="A965" s="192" t="s">
        <v>1097</v>
      </c>
      <c r="B965" s="164" t="s">
        <v>675</v>
      </c>
      <c r="C965" s="183" t="str">
        <f t="shared" si="90"/>
        <v/>
      </c>
      <c r="D965" s="182" t="str">
        <f t="shared" si="91"/>
        <v/>
      </c>
      <c r="E965" s="206"/>
      <c r="F965" s="207"/>
      <c r="G965" s="207"/>
      <c r="H965" s="205"/>
      <c r="I965" s="167">
        <v>2821096000</v>
      </c>
      <c r="J965" s="166"/>
      <c r="K965" s="167">
        <v>2502500000</v>
      </c>
      <c r="L965" s="168">
        <v>318596000</v>
      </c>
      <c r="M965" s="168">
        <f t="shared" si="92"/>
        <v>2821096000</v>
      </c>
      <c r="N965" s="168"/>
      <c r="O965" s="167">
        <v>2821035088</v>
      </c>
      <c r="P965" s="167">
        <f t="shared" si="93"/>
        <v>2821035088</v>
      </c>
      <c r="Q965" s="167"/>
      <c r="S965" s="201">
        <f t="shared" si="94"/>
        <v>2821.096</v>
      </c>
      <c r="T965" s="201">
        <f t="shared" si="95"/>
        <v>2821.096</v>
      </c>
      <c r="U965" s="201">
        <f t="shared" si="95"/>
        <v>0</v>
      </c>
      <c r="V965" s="201">
        <f t="shared" si="95"/>
        <v>2821.0350880000001</v>
      </c>
      <c r="W965" s="201">
        <f t="shared" si="95"/>
        <v>2821.0350880000001</v>
      </c>
      <c r="X965" s="201">
        <f t="shared" si="95"/>
        <v>0</v>
      </c>
    </row>
    <row r="966" spans="1:24" s="169" customFormat="1" ht="13.8">
      <c r="A966" s="192"/>
      <c r="B966" s="164" t="s">
        <v>676</v>
      </c>
      <c r="C966" s="183" t="str">
        <f t="shared" si="90"/>
        <v/>
      </c>
      <c r="D966" s="182" t="str">
        <f t="shared" si="91"/>
        <v/>
      </c>
      <c r="E966" s="206"/>
      <c r="F966" s="207"/>
      <c r="G966" s="207"/>
      <c r="H966" s="205"/>
      <c r="I966" s="167">
        <v>2452500000</v>
      </c>
      <c r="J966" s="166"/>
      <c r="K966" s="167">
        <v>2383500000</v>
      </c>
      <c r="L966" s="168">
        <v>69000000</v>
      </c>
      <c r="M966" s="168">
        <f t="shared" si="92"/>
        <v>2452500000</v>
      </c>
      <c r="N966" s="168"/>
      <c r="O966" s="167">
        <v>2452500000</v>
      </c>
      <c r="P966" s="167">
        <f t="shared" si="93"/>
        <v>2452500000</v>
      </c>
      <c r="Q966" s="167"/>
      <c r="S966" s="201">
        <f t="shared" si="94"/>
        <v>2452.5</v>
      </c>
      <c r="T966" s="201">
        <f t="shared" si="95"/>
        <v>2452.5</v>
      </c>
      <c r="U966" s="201">
        <f t="shared" si="95"/>
        <v>0</v>
      </c>
      <c r="V966" s="201">
        <f t="shared" si="95"/>
        <v>2452.5</v>
      </c>
      <c r="W966" s="201">
        <f t="shared" si="95"/>
        <v>2452.5</v>
      </c>
      <c r="X966" s="201">
        <f t="shared" si="95"/>
        <v>0</v>
      </c>
    </row>
    <row r="967" spans="1:24" s="169" customFormat="1" ht="13.8">
      <c r="A967" s="193"/>
      <c r="B967" s="187"/>
      <c r="C967" s="183" t="str">
        <f t="shared" si="90"/>
        <v/>
      </c>
      <c r="D967" s="182" t="str">
        <f t="shared" si="91"/>
        <v/>
      </c>
      <c r="E967" s="192" t="s">
        <v>666</v>
      </c>
      <c r="F967" s="192" t="s">
        <v>698</v>
      </c>
      <c r="G967" s="192" t="s">
        <v>695</v>
      </c>
      <c r="H967" s="210" t="s">
        <v>1440</v>
      </c>
      <c r="I967" s="167">
        <v>2383500000</v>
      </c>
      <c r="J967" s="166"/>
      <c r="K967" s="167">
        <v>2383500000</v>
      </c>
      <c r="L967" s="171"/>
      <c r="M967" s="168">
        <f t="shared" si="92"/>
        <v>2383500000</v>
      </c>
      <c r="N967" s="171"/>
      <c r="O967" s="167">
        <v>2383500000</v>
      </c>
      <c r="P967" s="167">
        <f t="shared" si="93"/>
        <v>2383500000</v>
      </c>
      <c r="Q967" s="167"/>
      <c r="S967" s="201">
        <f t="shared" si="94"/>
        <v>2383.5</v>
      </c>
      <c r="T967" s="201">
        <f t="shared" si="95"/>
        <v>2383.5</v>
      </c>
      <c r="U967" s="201">
        <f t="shared" si="95"/>
        <v>0</v>
      </c>
      <c r="V967" s="201">
        <f t="shared" si="95"/>
        <v>2383.5</v>
      </c>
      <c r="W967" s="201">
        <f t="shared" si="95"/>
        <v>2383.5</v>
      </c>
      <c r="X967" s="201">
        <f t="shared" si="95"/>
        <v>0</v>
      </c>
    </row>
    <row r="968" spans="1:24" s="169" customFormat="1" ht="13.8">
      <c r="A968" s="195"/>
      <c r="B968" s="188"/>
      <c r="C968" s="183" t="str">
        <f t="shared" si="90"/>
        <v/>
      </c>
      <c r="D968" s="182" t="str">
        <f t="shared" si="91"/>
        <v/>
      </c>
      <c r="E968" s="192" t="s">
        <v>679</v>
      </c>
      <c r="F968" s="192" t="s">
        <v>698</v>
      </c>
      <c r="G968" s="192" t="s">
        <v>695</v>
      </c>
      <c r="H968" s="210" t="s">
        <v>1440</v>
      </c>
      <c r="I968" s="167">
        <v>69000000</v>
      </c>
      <c r="J968" s="166"/>
      <c r="K968" s="166"/>
      <c r="L968" s="168">
        <v>69000000</v>
      </c>
      <c r="M968" s="168">
        <f t="shared" si="92"/>
        <v>69000000</v>
      </c>
      <c r="N968" s="168"/>
      <c r="O968" s="167">
        <v>69000000</v>
      </c>
      <c r="P968" s="167">
        <f t="shared" si="93"/>
        <v>69000000</v>
      </c>
      <c r="Q968" s="167"/>
      <c r="S968" s="201">
        <f t="shared" si="94"/>
        <v>69</v>
      </c>
      <c r="T968" s="201">
        <f t="shared" si="95"/>
        <v>69</v>
      </c>
      <c r="U968" s="201">
        <f t="shared" si="95"/>
        <v>0</v>
      </c>
      <c r="V968" s="201">
        <f t="shared" si="95"/>
        <v>69</v>
      </c>
      <c r="W968" s="201">
        <f t="shared" si="95"/>
        <v>69</v>
      </c>
      <c r="X968" s="201">
        <f t="shared" si="95"/>
        <v>0</v>
      </c>
    </row>
    <row r="969" spans="1:24" s="169" customFormat="1" ht="13.8">
      <c r="A969" s="192"/>
      <c r="B969" s="164" t="s">
        <v>680</v>
      </c>
      <c r="C969" s="183" t="str">
        <f t="shared" si="90"/>
        <v/>
      </c>
      <c r="D969" s="182" t="str">
        <f t="shared" si="91"/>
        <v/>
      </c>
      <c r="E969" s="206"/>
      <c r="F969" s="207"/>
      <c r="G969" s="207"/>
      <c r="H969" s="205"/>
      <c r="I969" s="167">
        <v>368596000</v>
      </c>
      <c r="J969" s="166"/>
      <c r="K969" s="167">
        <v>119000000</v>
      </c>
      <c r="L969" s="168">
        <v>249596000</v>
      </c>
      <c r="M969" s="168">
        <f t="shared" si="92"/>
        <v>368596000</v>
      </c>
      <c r="N969" s="168"/>
      <c r="O969" s="167">
        <v>368535088</v>
      </c>
      <c r="P969" s="167">
        <f t="shared" si="93"/>
        <v>368535088</v>
      </c>
      <c r="Q969" s="167"/>
      <c r="S969" s="201">
        <f t="shared" si="94"/>
        <v>368.596</v>
      </c>
      <c r="T969" s="201">
        <f t="shared" si="95"/>
        <v>368.596</v>
      </c>
      <c r="U969" s="201">
        <f t="shared" si="95"/>
        <v>0</v>
      </c>
      <c r="V969" s="201">
        <f t="shared" si="95"/>
        <v>368.53508799999997</v>
      </c>
      <c r="W969" s="201">
        <f t="shared" si="95"/>
        <v>368.53508799999997</v>
      </c>
      <c r="X969" s="201">
        <f t="shared" si="95"/>
        <v>0</v>
      </c>
    </row>
    <row r="970" spans="1:24" s="169" customFormat="1" ht="13.8">
      <c r="A970" s="193"/>
      <c r="B970" s="187"/>
      <c r="C970" s="183" t="str">
        <f t="shared" si="90"/>
        <v/>
      </c>
      <c r="D970" s="182" t="str">
        <f t="shared" si="91"/>
        <v/>
      </c>
      <c r="E970" s="192" t="s">
        <v>681</v>
      </c>
      <c r="F970" s="192" t="s">
        <v>698</v>
      </c>
      <c r="G970" s="192" t="s">
        <v>699</v>
      </c>
      <c r="H970" s="210" t="s">
        <v>1440</v>
      </c>
      <c r="I970" s="167">
        <v>119000000</v>
      </c>
      <c r="J970" s="166"/>
      <c r="K970" s="167">
        <v>119000000</v>
      </c>
      <c r="L970" s="171"/>
      <c r="M970" s="168">
        <f t="shared" si="92"/>
        <v>119000000</v>
      </c>
      <c r="N970" s="171"/>
      <c r="O970" s="167">
        <v>118939088</v>
      </c>
      <c r="P970" s="167">
        <f t="shared" si="93"/>
        <v>118939088</v>
      </c>
      <c r="Q970" s="167"/>
      <c r="S970" s="201">
        <f t="shared" si="94"/>
        <v>119</v>
      </c>
      <c r="T970" s="201">
        <f t="shared" si="95"/>
        <v>119</v>
      </c>
      <c r="U970" s="201">
        <f t="shared" si="95"/>
        <v>0</v>
      </c>
      <c r="V970" s="201">
        <f t="shared" si="95"/>
        <v>118.939088</v>
      </c>
      <c r="W970" s="201">
        <f t="shared" si="95"/>
        <v>118.939088</v>
      </c>
      <c r="X970" s="201">
        <f t="shared" si="95"/>
        <v>0</v>
      </c>
    </row>
    <row r="971" spans="1:24" s="169" customFormat="1" ht="13.8">
      <c r="A971" s="195"/>
      <c r="B971" s="188"/>
      <c r="C971" s="183" t="str">
        <f t="shared" si="90"/>
        <v/>
      </c>
      <c r="D971" s="182" t="str">
        <f t="shared" si="91"/>
        <v/>
      </c>
      <c r="E971" s="192" t="s">
        <v>681</v>
      </c>
      <c r="F971" s="192" t="s">
        <v>698</v>
      </c>
      <c r="G971" s="192" t="s">
        <v>695</v>
      </c>
      <c r="H971" s="210" t="s">
        <v>1440</v>
      </c>
      <c r="I971" s="167">
        <v>249596000</v>
      </c>
      <c r="J971" s="166"/>
      <c r="K971" s="166"/>
      <c r="L971" s="168">
        <v>249596000</v>
      </c>
      <c r="M971" s="168">
        <f t="shared" si="92"/>
        <v>249596000</v>
      </c>
      <c r="N971" s="168"/>
      <c r="O971" s="167">
        <v>249596000</v>
      </c>
      <c r="P971" s="167">
        <f t="shared" si="93"/>
        <v>249596000</v>
      </c>
      <c r="Q971" s="167"/>
      <c r="S971" s="201">
        <f t="shared" si="94"/>
        <v>249.596</v>
      </c>
      <c r="T971" s="201">
        <f t="shared" si="95"/>
        <v>249.596</v>
      </c>
      <c r="U971" s="201">
        <f t="shared" si="95"/>
        <v>0</v>
      </c>
      <c r="V971" s="201">
        <f t="shared" si="95"/>
        <v>249.596</v>
      </c>
      <c r="W971" s="201">
        <f t="shared" si="95"/>
        <v>249.596</v>
      </c>
      <c r="X971" s="201">
        <f t="shared" si="95"/>
        <v>0</v>
      </c>
    </row>
    <row r="972" spans="1:24" s="169" customFormat="1" ht="13.8">
      <c r="A972" s="192" t="s">
        <v>1098</v>
      </c>
      <c r="B972" s="164" t="s">
        <v>1099</v>
      </c>
      <c r="C972" s="183" t="str">
        <f t="shared" si="90"/>
        <v>1050724</v>
      </c>
      <c r="D972" s="182" t="str">
        <f t="shared" si="91"/>
        <v>-Trường Trung cãp NghỄ</v>
      </c>
      <c r="E972" s="206"/>
      <c r="F972" s="207"/>
      <c r="G972" s="207"/>
      <c r="H972" s="205"/>
      <c r="I972" s="167">
        <v>10485549332</v>
      </c>
      <c r="J972" s="167">
        <v>26221332</v>
      </c>
      <c r="K972" s="167">
        <v>6756000000</v>
      </c>
      <c r="L972" s="168">
        <v>3703328000</v>
      </c>
      <c r="M972" s="168">
        <f t="shared" si="92"/>
        <v>10485549332</v>
      </c>
      <c r="N972" s="168"/>
      <c r="O972" s="167">
        <v>7226570726</v>
      </c>
      <c r="P972" s="167">
        <f t="shared" si="93"/>
        <v>7226570726</v>
      </c>
      <c r="Q972" s="167"/>
      <c r="S972" s="201">
        <f t="shared" si="94"/>
        <v>10485.549332000001</v>
      </c>
      <c r="T972" s="201">
        <f t="shared" si="95"/>
        <v>10485.549332000001</v>
      </c>
      <c r="U972" s="201">
        <f t="shared" si="95"/>
        <v>0</v>
      </c>
      <c r="V972" s="201">
        <f t="shared" si="95"/>
        <v>7226.5707259999999</v>
      </c>
      <c r="W972" s="201">
        <f t="shared" si="95"/>
        <v>7226.5707259999999</v>
      </c>
      <c r="X972" s="201">
        <f t="shared" si="95"/>
        <v>0</v>
      </c>
    </row>
    <row r="973" spans="1:24" s="169" customFormat="1" ht="13.8">
      <c r="A973" s="192" t="s">
        <v>1100</v>
      </c>
      <c r="B973" s="164" t="s">
        <v>675</v>
      </c>
      <c r="C973" s="183" t="str">
        <f t="shared" si="90"/>
        <v/>
      </c>
      <c r="D973" s="182" t="str">
        <f t="shared" si="91"/>
        <v/>
      </c>
      <c r="E973" s="206"/>
      <c r="F973" s="207"/>
      <c r="G973" s="207"/>
      <c r="H973" s="205"/>
      <c r="I973" s="167">
        <v>8485549332</v>
      </c>
      <c r="J973" s="167">
        <v>26221332</v>
      </c>
      <c r="K973" s="167">
        <v>6756000000</v>
      </c>
      <c r="L973" s="168">
        <v>1703328000</v>
      </c>
      <c r="M973" s="168">
        <f t="shared" si="92"/>
        <v>8485549332</v>
      </c>
      <c r="N973" s="168"/>
      <c r="O973" s="167">
        <v>7226570726</v>
      </c>
      <c r="P973" s="167">
        <f t="shared" si="93"/>
        <v>7226570726</v>
      </c>
      <c r="Q973" s="167"/>
      <c r="S973" s="201">
        <f t="shared" si="94"/>
        <v>8485.5493320000005</v>
      </c>
      <c r="T973" s="201">
        <f t="shared" si="95"/>
        <v>8485.5493320000005</v>
      </c>
      <c r="U973" s="201">
        <f t="shared" si="95"/>
        <v>0</v>
      </c>
      <c r="V973" s="201">
        <f t="shared" si="95"/>
        <v>7226.5707259999999</v>
      </c>
      <c r="W973" s="201">
        <f t="shared" si="95"/>
        <v>7226.5707259999999</v>
      </c>
      <c r="X973" s="201">
        <f t="shared" si="95"/>
        <v>0</v>
      </c>
    </row>
    <row r="974" spans="1:24" s="169" customFormat="1" ht="13.8">
      <c r="A974" s="192"/>
      <c r="B974" s="164" t="s">
        <v>676</v>
      </c>
      <c r="C974" s="183" t="str">
        <f t="shared" si="90"/>
        <v/>
      </c>
      <c r="D974" s="182" t="str">
        <f t="shared" si="91"/>
        <v/>
      </c>
      <c r="E974" s="206"/>
      <c r="F974" s="207"/>
      <c r="G974" s="207"/>
      <c r="H974" s="205"/>
      <c r="I974" s="167">
        <v>6602536332</v>
      </c>
      <c r="J974" s="167">
        <v>26221332</v>
      </c>
      <c r="K974" s="167">
        <v>5796315000</v>
      </c>
      <c r="L974" s="168">
        <v>780000000</v>
      </c>
      <c r="M974" s="168">
        <f t="shared" si="92"/>
        <v>6602536332</v>
      </c>
      <c r="N974" s="168"/>
      <c r="O974" s="167">
        <v>6296385041</v>
      </c>
      <c r="P974" s="167">
        <f t="shared" si="93"/>
        <v>6296385041</v>
      </c>
      <c r="Q974" s="167"/>
      <c r="S974" s="201">
        <f t="shared" si="94"/>
        <v>6602.5363319999997</v>
      </c>
      <c r="T974" s="201">
        <f t="shared" si="95"/>
        <v>6602.5363319999997</v>
      </c>
      <c r="U974" s="201">
        <f t="shared" si="95"/>
        <v>0</v>
      </c>
      <c r="V974" s="201">
        <f t="shared" si="95"/>
        <v>6296.3850409999995</v>
      </c>
      <c r="W974" s="201">
        <f t="shared" si="95"/>
        <v>6296.3850409999995</v>
      </c>
      <c r="X974" s="201">
        <f t="shared" si="95"/>
        <v>0</v>
      </c>
    </row>
    <row r="975" spans="1:24" s="169" customFormat="1" ht="13.8">
      <c r="A975" s="193"/>
      <c r="B975" s="187"/>
      <c r="C975" s="183" t="str">
        <f t="shared" si="90"/>
        <v/>
      </c>
      <c r="D975" s="182" t="str">
        <f t="shared" si="91"/>
        <v/>
      </c>
      <c r="E975" s="192" t="s">
        <v>666</v>
      </c>
      <c r="F975" s="192" t="s">
        <v>765</v>
      </c>
      <c r="G975" s="192" t="s">
        <v>761</v>
      </c>
      <c r="H975" s="210" t="s">
        <v>1440</v>
      </c>
      <c r="I975" s="167">
        <v>5799090265</v>
      </c>
      <c r="J975" s="167">
        <v>2775265</v>
      </c>
      <c r="K975" s="167">
        <v>5796315000</v>
      </c>
      <c r="L975" s="171"/>
      <c r="M975" s="168">
        <f t="shared" si="92"/>
        <v>5799090265</v>
      </c>
      <c r="N975" s="171"/>
      <c r="O975" s="167">
        <v>5782173157</v>
      </c>
      <c r="P975" s="167">
        <f t="shared" si="93"/>
        <v>5782173157</v>
      </c>
      <c r="Q975" s="167"/>
      <c r="S975" s="201">
        <f t="shared" si="94"/>
        <v>5799.0902649999998</v>
      </c>
      <c r="T975" s="201">
        <f t="shared" si="95"/>
        <v>5799.0902649999998</v>
      </c>
      <c r="U975" s="201">
        <f t="shared" si="95"/>
        <v>0</v>
      </c>
      <c r="V975" s="201">
        <f t="shared" si="95"/>
        <v>5782.1731570000002</v>
      </c>
      <c r="W975" s="201">
        <f t="shared" si="95"/>
        <v>5782.1731570000002</v>
      </c>
      <c r="X975" s="201">
        <f t="shared" si="95"/>
        <v>0</v>
      </c>
    </row>
    <row r="976" spans="1:24" s="169" customFormat="1" ht="13.8">
      <c r="A976" s="194"/>
      <c r="B976" s="184"/>
      <c r="C976" s="183" t="str">
        <f t="shared" si="90"/>
        <v/>
      </c>
      <c r="D976" s="182" t="str">
        <f t="shared" si="91"/>
        <v/>
      </c>
      <c r="E976" s="192" t="s">
        <v>679</v>
      </c>
      <c r="F976" s="192" t="s">
        <v>765</v>
      </c>
      <c r="G976" s="192" t="s">
        <v>761</v>
      </c>
      <c r="H976" s="210" t="s">
        <v>1440</v>
      </c>
      <c r="I976" s="167">
        <v>15000000</v>
      </c>
      <c r="J976" s="167">
        <v>15000000</v>
      </c>
      <c r="K976" s="166"/>
      <c r="L976" s="171"/>
      <c r="M976" s="168">
        <f t="shared" si="92"/>
        <v>15000000</v>
      </c>
      <c r="N976" s="171"/>
      <c r="O976" s="167">
        <v>14124488</v>
      </c>
      <c r="P976" s="167">
        <f t="shared" si="93"/>
        <v>14124488</v>
      </c>
      <c r="Q976" s="167"/>
      <c r="S976" s="201">
        <f t="shared" si="94"/>
        <v>15</v>
      </c>
      <c r="T976" s="201">
        <f t="shared" si="95"/>
        <v>15</v>
      </c>
      <c r="U976" s="201">
        <f t="shared" si="95"/>
        <v>0</v>
      </c>
      <c r="V976" s="201">
        <f t="shared" si="95"/>
        <v>14.124487999999999</v>
      </c>
      <c r="W976" s="201">
        <f t="shared" si="95"/>
        <v>14.124487999999999</v>
      </c>
      <c r="X976" s="201">
        <f t="shared" si="95"/>
        <v>0</v>
      </c>
    </row>
    <row r="977" spans="1:24" s="169" customFormat="1" ht="13.8">
      <c r="A977" s="195"/>
      <c r="B977" s="188"/>
      <c r="C977" s="183" t="str">
        <f t="shared" si="90"/>
        <v/>
      </c>
      <c r="D977" s="182" t="str">
        <f t="shared" si="91"/>
        <v/>
      </c>
      <c r="E977" s="192" t="s">
        <v>669</v>
      </c>
      <c r="F977" s="192" t="s">
        <v>765</v>
      </c>
      <c r="G977" s="192" t="s">
        <v>761</v>
      </c>
      <c r="H977" s="210" t="s">
        <v>1440</v>
      </c>
      <c r="I977" s="167">
        <v>788446067</v>
      </c>
      <c r="J977" s="167">
        <v>8446067</v>
      </c>
      <c r="K977" s="166"/>
      <c r="L977" s="168">
        <v>780000000</v>
      </c>
      <c r="M977" s="168">
        <f t="shared" si="92"/>
        <v>788446067</v>
      </c>
      <c r="N977" s="168"/>
      <c r="O977" s="167">
        <v>500087396</v>
      </c>
      <c r="P977" s="167">
        <f t="shared" si="93"/>
        <v>500087396</v>
      </c>
      <c r="Q977" s="167"/>
      <c r="S977" s="201">
        <f t="shared" si="94"/>
        <v>788.44606699999997</v>
      </c>
      <c r="T977" s="201">
        <f t="shared" si="95"/>
        <v>788.44606699999997</v>
      </c>
      <c r="U977" s="201">
        <f t="shared" si="95"/>
        <v>0</v>
      </c>
      <c r="V977" s="201">
        <f t="shared" si="95"/>
        <v>500.08739600000001</v>
      </c>
      <c r="W977" s="201">
        <f t="shared" si="95"/>
        <v>500.08739600000001</v>
      </c>
      <c r="X977" s="201">
        <f t="shared" si="95"/>
        <v>0</v>
      </c>
    </row>
    <row r="978" spans="1:24" s="169" customFormat="1" ht="13.8">
      <c r="A978" s="192"/>
      <c r="B978" s="164" t="s">
        <v>680</v>
      </c>
      <c r="C978" s="183" t="str">
        <f t="shared" si="90"/>
        <v/>
      </c>
      <c r="D978" s="182" t="str">
        <f t="shared" si="91"/>
        <v/>
      </c>
      <c r="E978" s="206"/>
      <c r="F978" s="207"/>
      <c r="G978" s="207"/>
      <c r="H978" s="205"/>
      <c r="I978" s="167">
        <v>1883013000</v>
      </c>
      <c r="J978" s="166"/>
      <c r="K978" s="167">
        <v>959685000</v>
      </c>
      <c r="L978" s="168">
        <v>923328000</v>
      </c>
      <c r="M978" s="168">
        <f t="shared" si="92"/>
        <v>1883013000</v>
      </c>
      <c r="N978" s="168"/>
      <c r="O978" s="167">
        <v>930185685</v>
      </c>
      <c r="P978" s="167">
        <f t="shared" si="93"/>
        <v>930185685</v>
      </c>
      <c r="Q978" s="167"/>
      <c r="S978" s="201">
        <f t="shared" si="94"/>
        <v>1883.0129999999999</v>
      </c>
      <c r="T978" s="201">
        <f t="shared" si="95"/>
        <v>1883.0129999999999</v>
      </c>
      <c r="U978" s="201">
        <f t="shared" si="95"/>
        <v>0</v>
      </c>
      <c r="V978" s="201">
        <f t="shared" si="95"/>
        <v>930.18568500000003</v>
      </c>
      <c r="W978" s="201">
        <f t="shared" si="95"/>
        <v>930.18568500000003</v>
      </c>
      <c r="X978" s="201">
        <f t="shared" si="95"/>
        <v>0</v>
      </c>
    </row>
    <row r="979" spans="1:24" s="169" customFormat="1" ht="13.8">
      <c r="A979" s="193"/>
      <c r="B979" s="187"/>
      <c r="C979" s="183" t="str">
        <f t="shared" si="90"/>
        <v/>
      </c>
      <c r="D979" s="182" t="str">
        <f t="shared" si="91"/>
        <v/>
      </c>
      <c r="E979" s="192" t="s">
        <v>681</v>
      </c>
      <c r="F979" s="192" t="s">
        <v>765</v>
      </c>
      <c r="G979" s="192" t="s">
        <v>761</v>
      </c>
      <c r="H979" s="210" t="s">
        <v>1440</v>
      </c>
      <c r="I979" s="167">
        <v>559685000</v>
      </c>
      <c r="J979" s="166"/>
      <c r="K979" s="167">
        <v>559685000</v>
      </c>
      <c r="L979" s="171"/>
      <c r="M979" s="168">
        <f t="shared" si="92"/>
        <v>559685000</v>
      </c>
      <c r="N979" s="171"/>
      <c r="O979" s="167">
        <v>544208860</v>
      </c>
      <c r="P979" s="167">
        <f t="shared" si="93"/>
        <v>544208860</v>
      </c>
      <c r="Q979" s="167"/>
      <c r="S979" s="201">
        <f t="shared" si="94"/>
        <v>559.68499999999995</v>
      </c>
      <c r="T979" s="201">
        <f t="shared" si="95"/>
        <v>559.68499999999995</v>
      </c>
      <c r="U979" s="201">
        <f t="shared" si="95"/>
        <v>0</v>
      </c>
      <c r="V979" s="201">
        <f t="shared" si="95"/>
        <v>544.20885999999996</v>
      </c>
      <c r="W979" s="201">
        <f t="shared" si="95"/>
        <v>544.20885999999996</v>
      </c>
      <c r="X979" s="201">
        <f t="shared" si="95"/>
        <v>0</v>
      </c>
    </row>
    <row r="980" spans="1:24" s="169" customFormat="1" ht="13.8">
      <c r="A980" s="194"/>
      <c r="B980" s="184"/>
      <c r="C980" s="183" t="str">
        <f t="shared" si="90"/>
        <v/>
      </c>
      <c r="D980" s="182" t="str">
        <f t="shared" si="91"/>
        <v/>
      </c>
      <c r="E980" s="192" t="s">
        <v>679</v>
      </c>
      <c r="F980" s="192" t="s">
        <v>765</v>
      </c>
      <c r="G980" s="192" t="s">
        <v>761</v>
      </c>
      <c r="H980" s="210" t="s">
        <v>1440</v>
      </c>
      <c r="I980" s="167">
        <v>400000000</v>
      </c>
      <c r="J980" s="166"/>
      <c r="K980" s="167">
        <v>400000000</v>
      </c>
      <c r="L980" s="171"/>
      <c r="M980" s="168">
        <f t="shared" si="92"/>
        <v>400000000</v>
      </c>
      <c r="N980" s="171"/>
      <c r="O980" s="167">
        <v>385976825</v>
      </c>
      <c r="P980" s="167">
        <f t="shared" si="93"/>
        <v>385976825</v>
      </c>
      <c r="Q980" s="167"/>
      <c r="S980" s="201">
        <f t="shared" si="94"/>
        <v>400</v>
      </c>
      <c r="T980" s="201">
        <f t="shared" si="95"/>
        <v>400</v>
      </c>
      <c r="U980" s="201">
        <f t="shared" si="95"/>
        <v>0</v>
      </c>
      <c r="V980" s="201">
        <f t="shared" si="95"/>
        <v>385.97682500000002</v>
      </c>
      <c r="W980" s="201">
        <f t="shared" si="95"/>
        <v>385.97682500000002</v>
      </c>
      <c r="X980" s="201">
        <f t="shared" si="95"/>
        <v>0</v>
      </c>
    </row>
    <row r="981" spans="1:24" s="169" customFormat="1" ht="13.8">
      <c r="A981" s="195"/>
      <c r="B981" s="188"/>
      <c r="C981" s="183" t="str">
        <f t="shared" si="90"/>
        <v/>
      </c>
      <c r="D981" s="182" t="str">
        <f t="shared" si="91"/>
        <v/>
      </c>
      <c r="E981" s="192" t="s">
        <v>667</v>
      </c>
      <c r="F981" s="192" t="s">
        <v>765</v>
      </c>
      <c r="G981" s="192" t="s">
        <v>761</v>
      </c>
      <c r="H981" s="210" t="s">
        <v>1440</v>
      </c>
      <c r="I981" s="167">
        <v>923328000</v>
      </c>
      <c r="J981" s="166"/>
      <c r="K981" s="166"/>
      <c r="L981" s="168">
        <v>923328000</v>
      </c>
      <c r="M981" s="168">
        <f t="shared" si="92"/>
        <v>923328000</v>
      </c>
      <c r="N981" s="168"/>
      <c r="O981" s="166"/>
      <c r="P981" s="167">
        <f t="shared" si="93"/>
        <v>0</v>
      </c>
      <c r="Q981" s="166"/>
      <c r="S981" s="201">
        <f t="shared" si="94"/>
        <v>923.32799999999997</v>
      </c>
      <c r="T981" s="201">
        <f t="shared" si="95"/>
        <v>923.32799999999997</v>
      </c>
      <c r="U981" s="201">
        <f t="shared" si="95"/>
        <v>0</v>
      </c>
      <c r="V981" s="201">
        <f t="shared" si="95"/>
        <v>0</v>
      </c>
      <c r="W981" s="201">
        <f t="shared" si="95"/>
        <v>0</v>
      </c>
      <c r="X981" s="201">
        <f t="shared" si="95"/>
        <v>0</v>
      </c>
    </row>
    <row r="982" spans="1:24" s="169" customFormat="1" ht="13.8">
      <c r="A982" s="192" t="s">
        <v>1101</v>
      </c>
      <c r="B982" s="164" t="s">
        <v>731</v>
      </c>
      <c r="C982" s="183" t="str">
        <f t="shared" ref="C982:C1045" si="96">IF(B982&lt;&gt;"",IF(AND(LEFT(B982,1)&gt;="0",LEFT(B982,1)&lt;="9"),LEFT(B982,7),""),"")</f>
        <v/>
      </c>
      <c r="D982" s="182" t="str">
        <f t="shared" si="91"/>
        <v/>
      </c>
      <c r="E982" s="206"/>
      <c r="F982" s="207"/>
      <c r="G982" s="207"/>
      <c r="H982" s="205"/>
      <c r="I982" s="167">
        <v>2000000000</v>
      </c>
      <c r="J982" s="166"/>
      <c r="K982" s="166"/>
      <c r="L982" s="168">
        <v>2000000000</v>
      </c>
      <c r="M982" s="168">
        <f t="shared" si="92"/>
        <v>2000000000</v>
      </c>
      <c r="N982" s="168"/>
      <c r="O982" s="166"/>
      <c r="P982" s="167">
        <f t="shared" si="93"/>
        <v>0</v>
      </c>
      <c r="Q982" s="166"/>
      <c r="S982" s="201">
        <f t="shared" si="94"/>
        <v>2000</v>
      </c>
      <c r="T982" s="201">
        <f t="shared" si="95"/>
        <v>2000</v>
      </c>
      <c r="U982" s="201">
        <f t="shared" si="95"/>
        <v>0</v>
      </c>
      <c r="V982" s="201">
        <f t="shared" si="95"/>
        <v>0</v>
      </c>
      <c r="W982" s="201">
        <f t="shared" si="95"/>
        <v>0</v>
      </c>
      <c r="X982" s="201">
        <f t="shared" si="95"/>
        <v>0</v>
      </c>
    </row>
    <row r="983" spans="1:24" s="169" customFormat="1" ht="13.8">
      <c r="A983" s="192"/>
      <c r="B983" s="164"/>
      <c r="C983" s="183" t="str">
        <f t="shared" si="96"/>
        <v/>
      </c>
      <c r="D983" s="182" t="str">
        <f t="shared" ref="D983:D1046" si="97">IF(C983&lt;&gt;"",RIGHT(B983,LEN(B983)-7),"")</f>
        <v/>
      </c>
      <c r="E983" s="192" t="s">
        <v>667</v>
      </c>
      <c r="F983" s="192" t="s">
        <v>765</v>
      </c>
      <c r="G983" s="192" t="s">
        <v>761</v>
      </c>
      <c r="H983" s="210" t="s">
        <v>1445</v>
      </c>
      <c r="I983" s="167">
        <v>2000000000</v>
      </c>
      <c r="J983" s="166"/>
      <c r="K983" s="166"/>
      <c r="L983" s="168">
        <v>2000000000</v>
      </c>
      <c r="M983" s="168">
        <f t="shared" ref="M983:M1046" si="98">I983-N983</f>
        <v>2000000000</v>
      </c>
      <c r="N983" s="168"/>
      <c r="O983" s="166"/>
      <c r="P983" s="167">
        <f t="shared" ref="P983:P1046" si="99">O983-Q983</f>
        <v>0</v>
      </c>
      <c r="Q983" s="166"/>
      <c r="S983" s="201">
        <f t="shared" ref="S983:S1046" si="100">I983/1000000</f>
        <v>2000</v>
      </c>
      <c r="T983" s="201">
        <f t="shared" si="95"/>
        <v>2000</v>
      </c>
      <c r="U983" s="201">
        <f t="shared" si="95"/>
        <v>0</v>
      </c>
      <c r="V983" s="201">
        <f t="shared" si="95"/>
        <v>0</v>
      </c>
      <c r="W983" s="201">
        <f t="shared" si="95"/>
        <v>0</v>
      </c>
      <c r="X983" s="201">
        <f t="shared" si="95"/>
        <v>0</v>
      </c>
    </row>
    <row r="984" spans="1:24" s="169" customFormat="1" ht="26.4">
      <c r="A984" s="192" t="s">
        <v>1102</v>
      </c>
      <c r="B984" s="176" t="s">
        <v>1103</v>
      </c>
      <c r="C984" s="183" t="str">
        <f t="shared" si="96"/>
        <v>1050726</v>
      </c>
      <c r="D984" s="182" t="str">
        <f t="shared" si="97"/>
        <v>-Trung tâm Y tẽ huyện Kon Rẫy</v>
      </c>
      <c r="E984" s="206"/>
      <c r="F984" s="207"/>
      <c r="G984" s="207"/>
      <c r="H984" s="205"/>
      <c r="I984" s="167">
        <v>15653265169</v>
      </c>
      <c r="J984" s="166"/>
      <c r="K984" s="167">
        <v>15520964169</v>
      </c>
      <c r="L984" s="168">
        <v>132301000</v>
      </c>
      <c r="M984" s="168">
        <f t="shared" si="98"/>
        <v>15653265169</v>
      </c>
      <c r="N984" s="168"/>
      <c r="O984" s="167">
        <v>15049982841</v>
      </c>
      <c r="P984" s="167">
        <f t="shared" si="99"/>
        <v>15049982841</v>
      </c>
      <c r="Q984" s="167"/>
      <c r="S984" s="201">
        <f t="shared" si="100"/>
        <v>15653.265169</v>
      </c>
      <c r="T984" s="201">
        <f t="shared" si="95"/>
        <v>15653.265169</v>
      </c>
      <c r="U984" s="201">
        <f t="shared" si="95"/>
        <v>0</v>
      </c>
      <c r="V984" s="201">
        <f t="shared" si="95"/>
        <v>15049.982840999999</v>
      </c>
      <c r="W984" s="201">
        <f t="shared" si="95"/>
        <v>15049.982840999999</v>
      </c>
      <c r="X984" s="201">
        <f t="shared" si="95"/>
        <v>0</v>
      </c>
    </row>
    <row r="985" spans="1:24" s="169" customFormat="1" ht="13.8">
      <c r="A985" s="192" t="s">
        <v>1104</v>
      </c>
      <c r="B985" s="164" t="s">
        <v>675</v>
      </c>
      <c r="C985" s="183" t="str">
        <f t="shared" si="96"/>
        <v/>
      </c>
      <c r="D985" s="182" t="str">
        <f t="shared" si="97"/>
        <v/>
      </c>
      <c r="E985" s="206"/>
      <c r="F985" s="207"/>
      <c r="G985" s="207"/>
      <c r="H985" s="205"/>
      <c r="I985" s="167">
        <v>15371165169</v>
      </c>
      <c r="J985" s="166"/>
      <c r="K985" s="167">
        <v>15520964169</v>
      </c>
      <c r="L985" s="168">
        <v>-149799000</v>
      </c>
      <c r="M985" s="168">
        <f t="shared" si="98"/>
        <v>15371165169</v>
      </c>
      <c r="N985" s="168"/>
      <c r="O985" s="167">
        <v>14976848841</v>
      </c>
      <c r="P985" s="167">
        <f t="shared" si="99"/>
        <v>14976848841</v>
      </c>
      <c r="Q985" s="167"/>
      <c r="S985" s="201">
        <f t="shared" si="100"/>
        <v>15371.165169</v>
      </c>
      <c r="T985" s="201">
        <f t="shared" si="95"/>
        <v>15371.165169</v>
      </c>
      <c r="U985" s="201">
        <f t="shared" si="95"/>
        <v>0</v>
      </c>
      <c r="V985" s="201">
        <f t="shared" si="95"/>
        <v>14976.848841000001</v>
      </c>
      <c r="W985" s="201">
        <f t="shared" si="95"/>
        <v>14976.848841000001</v>
      </c>
      <c r="X985" s="201">
        <f t="shared" si="95"/>
        <v>0</v>
      </c>
    </row>
    <row r="986" spans="1:24" s="169" customFormat="1" ht="13.8">
      <c r="A986" s="192"/>
      <c r="B986" s="164" t="s">
        <v>676</v>
      </c>
      <c r="C986" s="183" t="str">
        <f t="shared" si="96"/>
        <v/>
      </c>
      <c r="D986" s="182" t="str">
        <f t="shared" si="97"/>
        <v/>
      </c>
      <c r="E986" s="206"/>
      <c r="F986" s="207"/>
      <c r="G986" s="207"/>
      <c r="H986" s="205"/>
      <c r="I986" s="167">
        <v>11624190000</v>
      </c>
      <c r="J986" s="166"/>
      <c r="K986" s="167">
        <v>12525000000</v>
      </c>
      <c r="L986" s="168">
        <v>-900810000</v>
      </c>
      <c r="M986" s="168">
        <f t="shared" si="98"/>
        <v>11624190000</v>
      </c>
      <c r="N986" s="168"/>
      <c r="O986" s="167">
        <v>11624190000</v>
      </c>
      <c r="P986" s="167">
        <f t="shared" si="99"/>
        <v>11624190000</v>
      </c>
      <c r="Q986" s="167"/>
      <c r="S986" s="201">
        <f t="shared" si="100"/>
        <v>11624.19</v>
      </c>
      <c r="T986" s="201">
        <f t="shared" si="95"/>
        <v>11624.19</v>
      </c>
      <c r="U986" s="201">
        <f t="shared" si="95"/>
        <v>0</v>
      </c>
      <c r="V986" s="201">
        <f t="shared" si="95"/>
        <v>11624.19</v>
      </c>
      <c r="W986" s="201">
        <f t="shared" si="95"/>
        <v>11624.19</v>
      </c>
      <c r="X986" s="201">
        <f t="shared" si="95"/>
        <v>0</v>
      </c>
    </row>
    <row r="987" spans="1:24" s="169" customFormat="1" ht="13.8">
      <c r="A987" s="193"/>
      <c r="B987" s="187"/>
      <c r="C987" s="183" t="str">
        <f t="shared" si="96"/>
        <v/>
      </c>
      <c r="D987" s="182" t="str">
        <f t="shared" si="97"/>
        <v/>
      </c>
      <c r="E987" s="192" t="s">
        <v>666</v>
      </c>
      <c r="F987" s="192" t="s">
        <v>705</v>
      </c>
      <c r="G987" s="192" t="s">
        <v>976</v>
      </c>
      <c r="H987" s="210" t="s">
        <v>1440</v>
      </c>
      <c r="I987" s="167">
        <v>7059990000</v>
      </c>
      <c r="J987" s="166"/>
      <c r="K987" s="167">
        <v>7964000000</v>
      </c>
      <c r="L987" s="168">
        <v>-904010000</v>
      </c>
      <c r="M987" s="168">
        <f t="shared" si="98"/>
        <v>7059990000</v>
      </c>
      <c r="N987" s="168"/>
      <c r="O987" s="167">
        <v>7059990000</v>
      </c>
      <c r="P987" s="167">
        <f t="shared" si="99"/>
        <v>7059990000</v>
      </c>
      <c r="Q987" s="167"/>
      <c r="S987" s="201">
        <f t="shared" si="100"/>
        <v>7059.99</v>
      </c>
      <c r="T987" s="201">
        <f t="shared" si="95"/>
        <v>7059.99</v>
      </c>
      <c r="U987" s="201">
        <f t="shared" si="95"/>
        <v>0</v>
      </c>
      <c r="V987" s="201">
        <f t="shared" si="95"/>
        <v>7059.99</v>
      </c>
      <c r="W987" s="201">
        <f t="shared" si="95"/>
        <v>7059.99</v>
      </c>
      <c r="X987" s="201">
        <f t="shared" si="95"/>
        <v>0</v>
      </c>
    </row>
    <row r="988" spans="1:24" s="169" customFormat="1" ht="13.8">
      <c r="A988" s="194"/>
      <c r="B988" s="184"/>
      <c r="C988" s="183" t="str">
        <f t="shared" si="96"/>
        <v/>
      </c>
      <c r="D988" s="182" t="str">
        <f t="shared" si="97"/>
        <v/>
      </c>
      <c r="E988" s="192" t="s">
        <v>666</v>
      </c>
      <c r="F988" s="192" t="s">
        <v>705</v>
      </c>
      <c r="G988" s="192" t="s">
        <v>775</v>
      </c>
      <c r="H988" s="210" t="s">
        <v>1440</v>
      </c>
      <c r="I988" s="167">
        <v>4548200000</v>
      </c>
      <c r="J988" s="166"/>
      <c r="K988" s="167">
        <v>4561000000</v>
      </c>
      <c r="L988" s="168">
        <v>-12800000</v>
      </c>
      <c r="M988" s="168">
        <f t="shared" si="98"/>
        <v>4548200000</v>
      </c>
      <c r="N988" s="168"/>
      <c r="O988" s="167">
        <v>4548200000</v>
      </c>
      <c r="P988" s="167">
        <f t="shared" si="99"/>
        <v>4548200000</v>
      </c>
      <c r="Q988" s="167"/>
      <c r="S988" s="201">
        <f t="shared" si="100"/>
        <v>4548.2</v>
      </c>
      <c r="T988" s="201">
        <f t="shared" si="95"/>
        <v>4548.2</v>
      </c>
      <c r="U988" s="201">
        <f t="shared" si="95"/>
        <v>0</v>
      </c>
      <c r="V988" s="201">
        <f t="shared" si="95"/>
        <v>4548.2</v>
      </c>
      <c r="W988" s="201">
        <f t="shared" si="95"/>
        <v>4548.2</v>
      </c>
      <c r="X988" s="201">
        <f t="shared" si="95"/>
        <v>0</v>
      </c>
    </row>
    <row r="989" spans="1:24" s="169" customFormat="1" ht="13.8">
      <c r="A989" s="195"/>
      <c r="B989" s="188"/>
      <c r="C989" s="183" t="str">
        <f t="shared" si="96"/>
        <v/>
      </c>
      <c r="D989" s="182" t="str">
        <f t="shared" si="97"/>
        <v/>
      </c>
      <c r="E989" s="192" t="s">
        <v>679</v>
      </c>
      <c r="F989" s="192" t="s">
        <v>705</v>
      </c>
      <c r="G989" s="192" t="s">
        <v>775</v>
      </c>
      <c r="H989" s="210" t="s">
        <v>1440</v>
      </c>
      <c r="I989" s="167">
        <v>16000000</v>
      </c>
      <c r="J989" s="166"/>
      <c r="K989" s="166"/>
      <c r="L989" s="168">
        <v>16000000</v>
      </c>
      <c r="M989" s="168">
        <f t="shared" si="98"/>
        <v>16000000</v>
      </c>
      <c r="N989" s="168"/>
      <c r="O989" s="167">
        <v>16000000</v>
      </c>
      <c r="P989" s="167">
        <f t="shared" si="99"/>
        <v>16000000</v>
      </c>
      <c r="Q989" s="167"/>
      <c r="S989" s="201">
        <f t="shared" si="100"/>
        <v>16</v>
      </c>
      <c r="T989" s="201">
        <f t="shared" si="95"/>
        <v>16</v>
      </c>
      <c r="U989" s="201">
        <f t="shared" si="95"/>
        <v>0</v>
      </c>
      <c r="V989" s="201">
        <f t="shared" si="95"/>
        <v>16</v>
      </c>
      <c r="W989" s="201">
        <f t="shared" si="95"/>
        <v>16</v>
      </c>
      <c r="X989" s="201">
        <f t="shared" si="95"/>
        <v>0</v>
      </c>
    </row>
    <row r="990" spans="1:24" s="169" customFormat="1" ht="13.8">
      <c r="A990" s="192"/>
      <c r="B990" s="164" t="s">
        <v>680</v>
      </c>
      <c r="C990" s="183" t="str">
        <f t="shared" si="96"/>
        <v/>
      </c>
      <c r="D990" s="182" t="str">
        <f t="shared" si="97"/>
        <v/>
      </c>
      <c r="E990" s="206"/>
      <c r="F990" s="207"/>
      <c r="G990" s="207"/>
      <c r="H990" s="205"/>
      <c r="I990" s="167">
        <v>3746975169</v>
      </c>
      <c r="J990" s="166"/>
      <c r="K990" s="167">
        <v>2995964169</v>
      </c>
      <c r="L990" s="168">
        <v>751011000</v>
      </c>
      <c r="M990" s="168">
        <f t="shared" si="98"/>
        <v>3746975169</v>
      </c>
      <c r="N990" s="168"/>
      <c r="O990" s="167">
        <v>3352658841</v>
      </c>
      <c r="P990" s="167">
        <f t="shared" si="99"/>
        <v>3352658841</v>
      </c>
      <c r="Q990" s="167"/>
      <c r="S990" s="201">
        <f t="shared" si="100"/>
        <v>3746.9751689999998</v>
      </c>
      <c r="T990" s="201">
        <f t="shared" si="95"/>
        <v>3746.9751689999998</v>
      </c>
      <c r="U990" s="201">
        <f t="shared" si="95"/>
        <v>0</v>
      </c>
      <c r="V990" s="201">
        <f t="shared" si="95"/>
        <v>3352.6588409999999</v>
      </c>
      <c r="W990" s="201">
        <f t="shared" si="95"/>
        <v>3352.6588409999999</v>
      </c>
      <c r="X990" s="201">
        <f t="shared" si="95"/>
        <v>0</v>
      </c>
    </row>
    <row r="991" spans="1:24" s="169" customFormat="1" ht="13.8">
      <c r="A991" s="193"/>
      <c r="B991" s="187"/>
      <c r="C991" s="183" t="str">
        <f t="shared" si="96"/>
        <v/>
      </c>
      <c r="D991" s="182" t="str">
        <f t="shared" si="97"/>
        <v/>
      </c>
      <c r="E991" s="192" t="s">
        <v>681</v>
      </c>
      <c r="F991" s="192" t="s">
        <v>705</v>
      </c>
      <c r="G991" s="192" t="s">
        <v>976</v>
      </c>
      <c r="H991" s="210" t="s">
        <v>1440</v>
      </c>
      <c r="I991" s="167">
        <v>1492021000</v>
      </c>
      <c r="J991" s="166"/>
      <c r="K991" s="167">
        <v>904010000</v>
      </c>
      <c r="L991" s="168">
        <v>588011000</v>
      </c>
      <c r="M991" s="168">
        <f t="shared" si="98"/>
        <v>1492021000</v>
      </c>
      <c r="N991" s="168"/>
      <c r="O991" s="167">
        <v>1236721000</v>
      </c>
      <c r="P991" s="167">
        <f t="shared" si="99"/>
        <v>1236721000</v>
      </c>
      <c r="Q991" s="167"/>
      <c r="S991" s="201">
        <f t="shared" si="100"/>
        <v>1492.021</v>
      </c>
      <c r="T991" s="201">
        <f t="shared" si="95"/>
        <v>1492.021</v>
      </c>
      <c r="U991" s="201">
        <f t="shared" si="95"/>
        <v>0</v>
      </c>
      <c r="V991" s="201">
        <f t="shared" si="95"/>
        <v>1236.721</v>
      </c>
      <c r="W991" s="201">
        <f t="shared" si="95"/>
        <v>1236.721</v>
      </c>
      <c r="X991" s="201">
        <f t="shared" si="95"/>
        <v>0</v>
      </c>
    </row>
    <row r="992" spans="1:24" s="169" customFormat="1" ht="13.8">
      <c r="A992" s="194"/>
      <c r="B992" s="184"/>
      <c r="C992" s="183" t="str">
        <f t="shared" si="96"/>
        <v/>
      </c>
      <c r="D992" s="182" t="str">
        <f t="shared" si="97"/>
        <v/>
      </c>
      <c r="E992" s="192" t="s">
        <v>681</v>
      </c>
      <c r="F992" s="192" t="s">
        <v>705</v>
      </c>
      <c r="G992" s="192" t="s">
        <v>775</v>
      </c>
      <c r="H992" s="210" t="s">
        <v>1440</v>
      </c>
      <c r="I992" s="167">
        <v>2091954169</v>
      </c>
      <c r="J992" s="166"/>
      <c r="K992" s="167">
        <v>2091954169</v>
      </c>
      <c r="L992" s="171"/>
      <c r="M992" s="168">
        <f t="shared" si="98"/>
        <v>2091954169</v>
      </c>
      <c r="N992" s="171"/>
      <c r="O992" s="167">
        <v>2075097569</v>
      </c>
      <c r="P992" s="167">
        <f t="shared" si="99"/>
        <v>2075097569</v>
      </c>
      <c r="Q992" s="167"/>
      <c r="S992" s="201">
        <f t="shared" si="100"/>
        <v>2091.9541690000001</v>
      </c>
      <c r="T992" s="201">
        <f t="shared" si="95"/>
        <v>2091.9541690000001</v>
      </c>
      <c r="U992" s="201">
        <f t="shared" si="95"/>
        <v>0</v>
      </c>
      <c r="V992" s="201">
        <f t="shared" si="95"/>
        <v>2075.097569</v>
      </c>
      <c r="W992" s="201">
        <f t="shared" si="95"/>
        <v>2075.097569</v>
      </c>
      <c r="X992" s="201">
        <f t="shared" si="95"/>
        <v>0</v>
      </c>
    </row>
    <row r="993" spans="1:24" s="169" customFormat="1" ht="13.8">
      <c r="A993" s="195"/>
      <c r="B993" s="188"/>
      <c r="C993" s="183" t="str">
        <f t="shared" si="96"/>
        <v/>
      </c>
      <c r="D993" s="182" t="str">
        <f t="shared" si="97"/>
        <v/>
      </c>
      <c r="E993" s="192" t="s">
        <v>667</v>
      </c>
      <c r="F993" s="192" t="s">
        <v>705</v>
      </c>
      <c r="G993" s="192" t="s">
        <v>775</v>
      </c>
      <c r="H993" s="210" t="s">
        <v>1440</v>
      </c>
      <c r="I993" s="167">
        <v>163000000</v>
      </c>
      <c r="J993" s="166"/>
      <c r="K993" s="166"/>
      <c r="L993" s="168">
        <v>163000000</v>
      </c>
      <c r="M993" s="168">
        <f t="shared" si="98"/>
        <v>163000000</v>
      </c>
      <c r="N993" s="168"/>
      <c r="O993" s="167">
        <v>40840272</v>
      </c>
      <c r="P993" s="167">
        <f t="shared" si="99"/>
        <v>40840272</v>
      </c>
      <c r="Q993" s="167"/>
      <c r="S993" s="201">
        <f t="shared" si="100"/>
        <v>163</v>
      </c>
      <c r="T993" s="201">
        <f t="shared" si="95"/>
        <v>163</v>
      </c>
      <c r="U993" s="201">
        <f t="shared" si="95"/>
        <v>0</v>
      </c>
      <c r="V993" s="201">
        <f t="shared" si="95"/>
        <v>40.840271999999999</v>
      </c>
      <c r="W993" s="201">
        <f t="shared" si="95"/>
        <v>40.840271999999999</v>
      </c>
      <c r="X993" s="201">
        <f t="shared" si="95"/>
        <v>0</v>
      </c>
    </row>
    <row r="994" spans="1:24" s="169" customFormat="1" ht="13.8">
      <c r="A994" s="192" t="s">
        <v>1105</v>
      </c>
      <c r="B994" s="164" t="s">
        <v>731</v>
      </c>
      <c r="C994" s="183" t="str">
        <f t="shared" si="96"/>
        <v/>
      </c>
      <c r="D994" s="182" t="str">
        <f t="shared" si="97"/>
        <v/>
      </c>
      <c r="E994" s="206"/>
      <c r="F994" s="207"/>
      <c r="G994" s="207"/>
      <c r="H994" s="205"/>
      <c r="I994" s="167">
        <v>282100000</v>
      </c>
      <c r="J994" s="166"/>
      <c r="K994" s="166"/>
      <c r="L994" s="168">
        <v>282100000</v>
      </c>
      <c r="M994" s="168">
        <f t="shared" si="98"/>
        <v>282100000</v>
      </c>
      <c r="N994" s="168"/>
      <c r="O994" s="167">
        <v>73134000</v>
      </c>
      <c r="P994" s="167">
        <f t="shared" si="99"/>
        <v>73134000</v>
      </c>
      <c r="Q994" s="167"/>
      <c r="S994" s="201">
        <f t="shared" si="100"/>
        <v>282.10000000000002</v>
      </c>
      <c r="T994" s="201">
        <f t="shared" si="95"/>
        <v>282.10000000000002</v>
      </c>
      <c r="U994" s="201">
        <f t="shared" si="95"/>
        <v>0</v>
      </c>
      <c r="V994" s="201">
        <f t="shared" si="95"/>
        <v>73.134</v>
      </c>
      <c r="W994" s="201">
        <f t="shared" si="95"/>
        <v>73.134</v>
      </c>
      <c r="X994" s="201">
        <f t="shared" si="95"/>
        <v>0</v>
      </c>
    </row>
    <row r="995" spans="1:24" s="169" customFormat="1" ht="13.8">
      <c r="A995" s="192"/>
      <c r="B995" s="173"/>
      <c r="C995" s="183" t="str">
        <f t="shared" si="96"/>
        <v/>
      </c>
      <c r="D995" s="182" t="str">
        <f t="shared" si="97"/>
        <v/>
      </c>
      <c r="E995" s="192"/>
      <c r="F995" s="192"/>
      <c r="G995" s="192"/>
      <c r="H995" s="210"/>
      <c r="I995" s="174"/>
      <c r="J995" s="174"/>
      <c r="K995" s="174"/>
      <c r="L995" s="175"/>
      <c r="M995" s="168">
        <f t="shared" si="98"/>
        <v>0</v>
      </c>
      <c r="N995" s="175"/>
      <c r="O995" s="174"/>
      <c r="P995" s="167">
        <f t="shared" si="99"/>
        <v>0</v>
      </c>
      <c r="Q995" s="174"/>
      <c r="S995" s="201">
        <f t="shared" si="100"/>
        <v>0</v>
      </c>
      <c r="T995" s="201">
        <f t="shared" si="95"/>
        <v>0</v>
      </c>
      <c r="U995" s="201">
        <f t="shared" si="95"/>
        <v>0</v>
      </c>
      <c r="V995" s="201">
        <f t="shared" si="95"/>
        <v>0</v>
      </c>
      <c r="W995" s="201">
        <f t="shared" si="95"/>
        <v>0</v>
      </c>
      <c r="X995" s="201">
        <f t="shared" si="95"/>
        <v>0</v>
      </c>
    </row>
    <row r="996" spans="1:24" s="169" customFormat="1" ht="13.8">
      <c r="A996" s="193"/>
      <c r="B996" s="187"/>
      <c r="C996" s="183" t="str">
        <f t="shared" si="96"/>
        <v/>
      </c>
      <c r="D996" s="182" t="str">
        <f t="shared" si="97"/>
        <v/>
      </c>
      <c r="E996" s="192" t="s">
        <v>667</v>
      </c>
      <c r="F996" s="192" t="s">
        <v>705</v>
      </c>
      <c r="G996" s="192" t="s">
        <v>775</v>
      </c>
      <c r="H996" s="210" t="s">
        <v>1455</v>
      </c>
      <c r="I996" s="167">
        <v>261000000</v>
      </c>
      <c r="J996" s="166"/>
      <c r="K996" s="166"/>
      <c r="L996" s="168">
        <v>261000000</v>
      </c>
      <c r="M996" s="168">
        <f t="shared" si="98"/>
        <v>261000000</v>
      </c>
      <c r="N996" s="168"/>
      <c r="O996" s="167">
        <v>65634000</v>
      </c>
      <c r="P996" s="167">
        <f t="shared" si="99"/>
        <v>65634000</v>
      </c>
      <c r="Q996" s="167"/>
      <c r="S996" s="201">
        <f t="shared" si="100"/>
        <v>261</v>
      </c>
      <c r="T996" s="201">
        <f t="shared" si="95"/>
        <v>261</v>
      </c>
      <c r="U996" s="201">
        <f t="shared" si="95"/>
        <v>0</v>
      </c>
      <c r="V996" s="201">
        <f t="shared" si="95"/>
        <v>65.634</v>
      </c>
      <c r="W996" s="201">
        <f t="shared" si="95"/>
        <v>65.634</v>
      </c>
      <c r="X996" s="201">
        <f t="shared" si="95"/>
        <v>0</v>
      </c>
    </row>
    <row r="997" spans="1:24" s="169" customFormat="1" ht="13.8">
      <c r="A997" s="195"/>
      <c r="B997" s="188"/>
      <c r="C997" s="183" t="str">
        <f t="shared" si="96"/>
        <v/>
      </c>
      <c r="D997" s="182" t="str">
        <f t="shared" si="97"/>
        <v/>
      </c>
      <c r="E997" s="192" t="s">
        <v>667</v>
      </c>
      <c r="F997" s="192" t="s">
        <v>705</v>
      </c>
      <c r="G997" s="192" t="s">
        <v>981</v>
      </c>
      <c r="H997" s="210" t="s">
        <v>1455</v>
      </c>
      <c r="I997" s="167">
        <v>21100000</v>
      </c>
      <c r="J997" s="166"/>
      <c r="K997" s="166"/>
      <c r="L997" s="168">
        <v>21100000</v>
      </c>
      <c r="M997" s="168">
        <f t="shared" si="98"/>
        <v>21100000</v>
      </c>
      <c r="N997" s="168"/>
      <c r="O997" s="167">
        <v>7500000</v>
      </c>
      <c r="P997" s="167">
        <f t="shared" si="99"/>
        <v>7500000</v>
      </c>
      <c r="Q997" s="167"/>
      <c r="S997" s="201">
        <f t="shared" si="100"/>
        <v>21.1</v>
      </c>
      <c r="T997" s="201">
        <f t="shared" si="95"/>
        <v>21.1</v>
      </c>
      <c r="U997" s="201">
        <f t="shared" si="95"/>
        <v>0</v>
      </c>
      <c r="V997" s="201">
        <f t="shared" si="95"/>
        <v>7.5</v>
      </c>
      <c r="W997" s="201">
        <f t="shared" si="95"/>
        <v>7.5</v>
      </c>
      <c r="X997" s="201">
        <f t="shared" si="95"/>
        <v>0</v>
      </c>
    </row>
    <row r="998" spans="1:24" s="169" customFormat="1" ht="13.8">
      <c r="A998" s="192" t="s">
        <v>1106</v>
      </c>
      <c r="B998" s="170" t="s">
        <v>1107</v>
      </c>
      <c r="C998" s="183" t="str">
        <f t="shared" si="96"/>
        <v>1053629</v>
      </c>
      <c r="D998" s="182" t="str">
        <f t="shared" si="97"/>
        <v>-BỘ Công An</v>
      </c>
      <c r="E998" s="206"/>
      <c r="F998" s="207"/>
      <c r="G998" s="207"/>
      <c r="H998" s="205"/>
      <c r="I998" s="167">
        <v>12781500000</v>
      </c>
      <c r="J998" s="167">
        <v>132000000</v>
      </c>
      <c r="K998" s="167">
        <v>9125000000</v>
      </c>
      <c r="L998" s="168">
        <v>3524500000</v>
      </c>
      <c r="M998" s="168">
        <f t="shared" si="98"/>
        <v>12781500000</v>
      </c>
      <c r="N998" s="168"/>
      <c r="O998" s="167">
        <v>10291500000</v>
      </c>
      <c r="P998" s="167">
        <f t="shared" si="99"/>
        <v>10291500000</v>
      </c>
      <c r="Q998" s="167"/>
      <c r="S998" s="201">
        <f t="shared" si="100"/>
        <v>12781.5</v>
      </c>
      <c r="T998" s="201">
        <f t="shared" ref="T998:X1048" si="101">M998/1000000</f>
        <v>12781.5</v>
      </c>
      <c r="U998" s="201">
        <f t="shared" si="101"/>
        <v>0</v>
      </c>
      <c r="V998" s="201">
        <f t="shared" si="101"/>
        <v>10291.5</v>
      </c>
      <c r="W998" s="201">
        <f t="shared" si="101"/>
        <v>10291.5</v>
      </c>
      <c r="X998" s="201">
        <f t="shared" si="101"/>
        <v>0</v>
      </c>
    </row>
    <row r="999" spans="1:24" s="169" customFormat="1" ht="13.8">
      <c r="A999" s="192" t="s">
        <v>1108</v>
      </c>
      <c r="B999" s="170" t="s">
        <v>675</v>
      </c>
      <c r="C999" s="183" t="str">
        <f t="shared" si="96"/>
        <v/>
      </c>
      <c r="D999" s="182" t="str">
        <f t="shared" si="97"/>
        <v/>
      </c>
      <c r="E999" s="206"/>
      <c r="F999" s="207"/>
      <c r="G999" s="207"/>
      <c r="H999" s="205"/>
      <c r="I999" s="167">
        <v>10291500000</v>
      </c>
      <c r="J999" s="167">
        <v>132000000</v>
      </c>
      <c r="K999" s="167">
        <v>9125000000</v>
      </c>
      <c r="L999" s="168">
        <v>1034500000</v>
      </c>
      <c r="M999" s="168">
        <f t="shared" si="98"/>
        <v>10291500000</v>
      </c>
      <c r="N999" s="168"/>
      <c r="O999" s="167">
        <v>10291500000</v>
      </c>
      <c r="P999" s="167">
        <f t="shared" si="99"/>
        <v>10291500000</v>
      </c>
      <c r="Q999" s="167"/>
      <c r="S999" s="201">
        <f t="shared" si="100"/>
        <v>10291.5</v>
      </c>
      <c r="T999" s="201">
        <f t="shared" si="101"/>
        <v>10291.5</v>
      </c>
      <c r="U999" s="201">
        <f t="shared" si="101"/>
        <v>0</v>
      </c>
      <c r="V999" s="201">
        <f t="shared" si="101"/>
        <v>10291.5</v>
      </c>
      <c r="W999" s="201">
        <f t="shared" si="101"/>
        <v>10291.5</v>
      </c>
      <c r="X999" s="201">
        <f t="shared" si="101"/>
        <v>0</v>
      </c>
    </row>
    <row r="1000" spans="1:24" s="169" customFormat="1" ht="13.8">
      <c r="A1000" s="192"/>
      <c r="B1000" s="170" t="s">
        <v>680</v>
      </c>
      <c r="C1000" s="183" t="str">
        <f t="shared" si="96"/>
        <v/>
      </c>
      <c r="D1000" s="182" t="str">
        <f t="shared" si="97"/>
        <v/>
      </c>
      <c r="E1000" s="206"/>
      <c r="F1000" s="207"/>
      <c r="G1000" s="207"/>
      <c r="H1000" s="205"/>
      <c r="I1000" s="167">
        <v>10291500000</v>
      </c>
      <c r="J1000" s="167">
        <v>132000000</v>
      </c>
      <c r="K1000" s="167">
        <v>9125000000</v>
      </c>
      <c r="L1000" s="168">
        <v>1034500000</v>
      </c>
      <c r="M1000" s="168">
        <f t="shared" si="98"/>
        <v>10291500000</v>
      </c>
      <c r="N1000" s="168"/>
      <c r="O1000" s="167">
        <v>10291500000</v>
      </c>
      <c r="P1000" s="167">
        <f t="shared" si="99"/>
        <v>10291500000</v>
      </c>
      <c r="Q1000" s="167"/>
      <c r="S1000" s="201">
        <f t="shared" si="100"/>
        <v>10291.5</v>
      </c>
      <c r="T1000" s="201">
        <f t="shared" si="101"/>
        <v>10291.5</v>
      </c>
      <c r="U1000" s="201">
        <f t="shared" si="101"/>
        <v>0</v>
      </c>
      <c r="V1000" s="201">
        <f t="shared" si="101"/>
        <v>10291.5</v>
      </c>
      <c r="W1000" s="201">
        <f t="shared" si="101"/>
        <v>10291.5</v>
      </c>
      <c r="X1000" s="201">
        <f t="shared" si="101"/>
        <v>0</v>
      </c>
    </row>
    <row r="1001" spans="1:24" s="169" customFormat="1" ht="13.8">
      <c r="A1001" s="193"/>
      <c r="B1001" s="187"/>
      <c r="C1001" s="183" t="str">
        <f t="shared" si="96"/>
        <v/>
      </c>
      <c r="D1001" s="182" t="str">
        <f t="shared" si="97"/>
        <v/>
      </c>
      <c r="E1001" s="192" t="s">
        <v>681</v>
      </c>
      <c r="F1001" s="192" t="s">
        <v>1109</v>
      </c>
      <c r="G1001" s="192" t="s">
        <v>1110</v>
      </c>
      <c r="H1001" s="210" t="s">
        <v>1440</v>
      </c>
      <c r="I1001" s="167">
        <v>10102500000</v>
      </c>
      <c r="J1001" s="167">
        <v>132000000</v>
      </c>
      <c r="K1001" s="167">
        <v>9125000000</v>
      </c>
      <c r="L1001" s="168">
        <v>845500000</v>
      </c>
      <c r="M1001" s="168">
        <f t="shared" si="98"/>
        <v>10102500000</v>
      </c>
      <c r="N1001" s="168"/>
      <c r="O1001" s="167">
        <v>10102500000</v>
      </c>
      <c r="P1001" s="167">
        <f t="shared" si="99"/>
        <v>10102500000</v>
      </c>
      <c r="Q1001" s="167"/>
      <c r="S1001" s="201">
        <f t="shared" si="100"/>
        <v>10102.5</v>
      </c>
      <c r="T1001" s="201">
        <f t="shared" si="101"/>
        <v>10102.5</v>
      </c>
      <c r="U1001" s="201">
        <f t="shared" si="101"/>
        <v>0</v>
      </c>
      <c r="V1001" s="201">
        <f t="shared" si="101"/>
        <v>10102.5</v>
      </c>
      <c r="W1001" s="201">
        <f t="shared" si="101"/>
        <v>10102.5</v>
      </c>
      <c r="X1001" s="201">
        <f t="shared" si="101"/>
        <v>0</v>
      </c>
    </row>
    <row r="1002" spans="1:24" s="169" customFormat="1" ht="13.8">
      <c r="A1002" s="195"/>
      <c r="B1002" s="188"/>
      <c r="C1002" s="183" t="str">
        <f t="shared" si="96"/>
        <v/>
      </c>
      <c r="D1002" s="182" t="str">
        <f t="shared" si="97"/>
        <v/>
      </c>
      <c r="E1002" s="192" t="s">
        <v>667</v>
      </c>
      <c r="F1002" s="192" t="s">
        <v>1109</v>
      </c>
      <c r="G1002" s="192" t="s">
        <v>1110</v>
      </c>
      <c r="H1002" s="210" t="s">
        <v>1440</v>
      </c>
      <c r="I1002" s="167">
        <v>189000000</v>
      </c>
      <c r="J1002" s="166"/>
      <c r="K1002" s="166"/>
      <c r="L1002" s="168">
        <v>189000000</v>
      </c>
      <c r="M1002" s="168">
        <f t="shared" si="98"/>
        <v>189000000</v>
      </c>
      <c r="N1002" s="168"/>
      <c r="O1002" s="167">
        <v>189000000</v>
      </c>
      <c r="P1002" s="167">
        <f t="shared" si="99"/>
        <v>189000000</v>
      </c>
      <c r="Q1002" s="167"/>
      <c r="S1002" s="201">
        <f t="shared" si="100"/>
        <v>189</v>
      </c>
      <c r="T1002" s="201">
        <f t="shared" si="101"/>
        <v>189</v>
      </c>
      <c r="U1002" s="201">
        <f t="shared" si="101"/>
        <v>0</v>
      </c>
      <c r="V1002" s="201">
        <f t="shared" si="101"/>
        <v>189</v>
      </c>
      <c r="W1002" s="201">
        <f t="shared" si="101"/>
        <v>189</v>
      </c>
      <c r="X1002" s="201">
        <f t="shared" si="101"/>
        <v>0</v>
      </c>
    </row>
    <row r="1003" spans="1:24" s="169" customFormat="1" ht="13.8">
      <c r="A1003" s="192" t="s">
        <v>1111</v>
      </c>
      <c r="B1003" s="170" t="s">
        <v>731</v>
      </c>
      <c r="C1003" s="183" t="str">
        <f t="shared" si="96"/>
        <v/>
      </c>
      <c r="D1003" s="182" t="str">
        <f t="shared" si="97"/>
        <v/>
      </c>
      <c r="E1003" s="206"/>
      <c r="F1003" s="207"/>
      <c r="G1003" s="207"/>
      <c r="H1003" s="205"/>
      <c r="I1003" s="167">
        <v>2490000000</v>
      </c>
      <c r="J1003" s="166"/>
      <c r="K1003" s="166"/>
      <c r="L1003" s="168">
        <v>2490000000</v>
      </c>
      <c r="M1003" s="168">
        <f t="shared" si="98"/>
        <v>2490000000</v>
      </c>
      <c r="N1003" s="168"/>
      <c r="O1003" s="166"/>
      <c r="P1003" s="167">
        <f t="shared" si="99"/>
        <v>0</v>
      </c>
      <c r="Q1003" s="166"/>
      <c r="S1003" s="201">
        <f t="shared" si="100"/>
        <v>2490</v>
      </c>
      <c r="T1003" s="201">
        <f t="shared" si="101"/>
        <v>2490</v>
      </c>
      <c r="U1003" s="201">
        <f t="shared" si="101"/>
        <v>0</v>
      </c>
      <c r="V1003" s="201">
        <f t="shared" si="101"/>
        <v>0</v>
      </c>
      <c r="W1003" s="201">
        <f t="shared" si="101"/>
        <v>0</v>
      </c>
      <c r="X1003" s="201">
        <f t="shared" si="101"/>
        <v>0</v>
      </c>
    </row>
    <row r="1004" spans="1:24" s="169" customFormat="1" ht="13.8">
      <c r="A1004" s="192"/>
      <c r="B1004" s="164"/>
      <c r="C1004" s="183" t="str">
        <f t="shared" si="96"/>
        <v/>
      </c>
      <c r="D1004" s="182" t="str">
        <f t="shared" si="97"/>
        <v/>
      </c>
      <c r="E1004" s="192" t="s">
        <v>667</v>
      </c>
      <c r="F1004" s="192" t="s">
        <v>1109</v>
      </c>
      <c r="G1004" s="192" t="s">
        <v>1110</v>
      </c>
      <c r="H1004" s="210" t="s">
        <v>1456</v>
      </c>
      <c r="I1004" s="167">
        <v>2490000000</v>
      </c>
      <c r="J1004" s="166"/>
      <c r="K1004" s="166"/>
      <c r="L1004" s="168">
        <v>2490000000</v>
      </c>
      <c r="M1004" s="168">
        <f t="shared" si="98"/>
        <v>2490000000</v>
      </c>
      <c r="N1004" s="168"/>
      <c r="O1004" s="166"/>
      <c r="P1004" s="167">
        <f t="shared" si="99"/>
        <v>0</v>
      </c>
      <c r="Q1004" s="166"/>
      <c r="S1004" s="201">
        <f t="shared" si="100"/>
        <v>2490</v>
      </c>
      <c r="T1004" s="201">
        <f t="shared" si="101"/>
        <v>2490</v>
      </c>
      <c r="U1004" s="201">
        <f t="shared" si="101"/>
        <v>0</v>
      </c>
      <c r="V1004" s="201">
        <f t="shared" si="101"/>
        <v>0</v>
      </c>
      <c r="W1004" s="201">
        <f t="shared" si="101"/>
        <v>0</v>
      </c>
      <c r="X1004" s="201">
        <f t="shared" si="101"/>
        <v>0</v>
      </c>
    </row>
    <row r="1005" spans="1:24" s="169" customFormat="1" ht="13.8">
      <c r="A1005" s="192" t="s">
        <v>1112</v>
      </c>
      <c r="B1005" s="170" t="s">
        <v>1113</v>
      </c>
      <c r="C1005" s="183" t="str">
        <f t="shared" si="96"/>
        <v>1053630</v>
      </c>
      <c r="D1005" s="182" t="str">
        <f t="shared" si="97"/>
        <v>-BỘ Quốc phòng</v>
      </c>
      <c r="E1005" s="206"/>
      <c r="F1005" s="207"/>
      <c r="G1005" s="207"/>
      <c r="H1005" s="205"/>
      <c r="I1005" s="167">
        <v>43322000000</v>
      </c>
      <c r="J1005" s="166"/>
      <c r="K1005" s="167">
        <v>41545000000</v>
      </c>
      <c r="L1005" s="168">
        <v>1777000000</v>
      </c>
      <c r="M1005" s="168">
        <f t="shared" si="98"/>
        <v>43322000000</v>
      </c>
      <c r="N1005" s="168"/>
      <c r="O1005" s="167">
        <v>43322000000</v>
      </c>
      <c r="P1005" s="167">
        <f t="shared" si="99"/>
        <v>43322000000</v>
      </c>
      <c r="Q1005" s="167"/>
      <c r="S1005" s="201">
        <f t="shared" si="100"/>
        <v>43322</v>
      </c>
      <c r="T1005" s="201">
        <f t="shared" si="101"/>
        <v>43322</v>
      </c>
      <c r="U1005" s="201">
        <f t="shared" si="101"/>
        <v>0</v>
      </c>
      <c r="V1005" s="201">
        <f t="shared" si="101"/>
        <v>43322</v>
      </c>
      <c r="W1005" s="201">
        <f t="shared" si="101"/>
        <v>43322</v>
      </c>
      <c r="X1005" s="201">
        <f t="shared" si="101"/>
        <v>0</v>
      </c>
    </row>
    <row r="1006" spans="1:24" s="169" customFormat="1" ht="13.8">
      <c r="A1006" s="192" t="s">
        <v>1114</v>
      </c>
      <c r="B1006" s="170" t="s">
        <v>675</v>
      </c>
      <c r="C1006" s="183" t="str">
        <f t="shared" si="96"/>
        <v/>
      </c>
      <c r="D1006" s="182" t="str">
        <f t="shared" si="97"/>
        <v/>
      </c>
      <c r="E1006" s="206"/>
      <c r="F1006" s="207"/>
      <c r="G1006" s="207"/>
      <c r="H1006" s="205"/>
      <c r="I1006" s="167">
        <v>43322000000</v>
      </c>
      <c r="J1006" s="166"/>
      <c r="K1006" s="167">
        <v>41545000000</v>
      </c>
      <c r="L1006" s="168">
        <v>1777000000</v>
      </c>
      <c r="M1006" s="168">
        <f t="shared" si="98"/>
        <v>43322000000</v>
      </c>
      <c r="N1006" s="168"/>
      <c r="O1006" s="167">
        <v>43322000000</v>
      </c>
      <c r="P1006" s="167">
        <f t="shared" si="99"/>
        <v>43322000000</v>
      </c>
      <c r="Q1006" s="167"/>
      <c r="S1006" s="201">
        <f t="shared" si="100"/>
        <v>43322</v>
      </c>
      <c r="T1006" s="201">
        <f t="shared" si="101"/>
        <v>43322</v>
      </c>
      <c r="U1006" s="201">
        <f t="shared" si="101"/>
        <v>0</v>
      </c>
      <c r="V1006" s="201">
        <f t="shared" si="101"/>
        <v>43322</v>
      </c>
      <c r="W1006" s="201">
        <f t="shared" si="101"/>
        <v>43322</v>
      </c>
      <c r="X1006" s="201">
        <f t="shared" si="101"/>
        <v>0</v>
      </c>
    </row>
    <row r="1007" spans="1:24" s="169" customFormat="1" ht="13.8">
      <c r="A1007" s="192"/>
      <c r="B1007" s="170" t="s">
        <v>680</v>
      </c>
      <c r="C1007" s="183" t="str">
        <f t="shared" si="96"/>
        <v/>
      </c>
      <c r="D1007" s="182" t="str">
        <f t="shared" si="97"/>
        <v/>
      </c>
      <c r="E1007" s="206"/>
      <c r="F1007" s="207"/>
      <c r="G1007" s="207"/>
      <c r="H1007" s="205"/>
      <c r="I1007" s="167">
        <v>43322000000</v>
      </c>
      <c r="J1007" s="166"/>
      <c r="K1007" s="167">
        <v>41545000000</v>
      </c>
      <c r="L1007" s="168">
        <v>1777000000</v>
      </c>
      <c r="M1007" s="168">
        <f t="shared" si="98"/>
        <v>43322000000</v>
      </c>
      <c r="N1007" s="168"/>
      <c r="O1007" s="167">
        <v>43322000000</v>
      </c>
      <c r="P1007" s="167">
        <f t="shared" si="99"/>
        <v>43322000000</v>
      </c>
      <c r="Q1007" s="167"/>
      <c r="S1007" s="201">
        <f t="shared" si="100"/>
        <v>43322</v>
      </c>
      <c r="T1007" s="201">
        <f t="shared" si="101"/>
        <v>43322</v>
      </c>
      <c r="U1007" s="201">
        <f t="shared" si="101"/>
        <v>0</v>
      </c>
      <c r="V1007" s="201">
        <f t="shared" si="101"/>
        <v>43322</v>
      </c>
      <c r="W1007" s="201">
        <f t="shared" si="101"/>
        <v>43322</v>
      </c>
      <c r="X1007" s="201">
        <f t="shared" si="101"/>
        <v>0</v>
      </c>
    </row>
    <row r="1008" spans="1:24" s="169" customFormat="1" ht="13.8">
      <c r="A1008" s="193"/>
      <c r="B1008" s="187"/>
      <c r="C1008" s="183" t="str">
        <f t="shared" si="96"/>
        <v/>
      </c>
      <c r="D1008" s="182" t="str">
        <f t="shared" si="97"/>
        <v/>
      </c>
      <c r="E1008" s="192" t="s">
        <v>681</v>
      </c>
      <c r="F1008" s="192" t="s">
        <v>760</v>
      </c>
      <c r="G1008" s="192" t="s">
        <v>1115</v>
      </c>
      <c r="H1008" s="210" t="s">
        <v>1440</v>
      </c>
      <c r="I1008" s="167">
        <v>42338000000</v>
      </c>
      <c r="J1008" s="166"/>
      <c r="K1008" s="167">
        <v>41545000000</v>
      </c>
      <c r="L1008" s="168">
        <v>793000000</v>
      </c>
      <c r="M1008" s="168">
        <f t="shared" si="98"/>
        <v>42338000000</v>
      </c>
      <c r="N1008" s="168"/>
      <c r="O1008" s="167">
        <v>42338000000</v>
      </c>
      <c r="P1008" s="167">
        <f t="shared" si="99"/>
        <v>42338000000</v>
      </c>
      <c r="Q1008" s="167"/>
      <c r="S1008" s="201">
        <f t="shared" si="100"/>
        <v>42338</v>
      </c>
      <c r="T1008" s="201">
        <f t="shared" si="101"/>
        <v>42338</v>
      </c>
      <c r="U1008" s="201">
        <f t="shared" si="101"/>
        <v>0</v>
      </c>
      <c r="V1008" s="201">
        <f t="shared" si="101"/>
        <v>42338</v>
      </c>
      <c r="W1008" s="201">
        <f t="shared" si="101"/>
        <v>42338</v>
      </c>
      <c r="X1008" s="201">
        <f t="shared" si="101"/>
        <v>0</v>
      </c>
    </row>
    <row r="1009" spans="1:24" s="169" customFormat="1" ht="13.8">
      <c r="A1009" s="195"/>
      <c r="B1009" s="188"/>
      <c r="C1009" s="183" t="str">
        <f t="shared" si="96"/>
        <v/>
      </c>
      <c r="D1009" s="182" t="str">
        <f t="shared" si="97"/>
        <v/>
      </c>
      <c r="E1009" s="192" t="s">
        <v>667</v>
      </c>
      <c r="F1009" s="192" t="s">
        <v>760</v>
      </c>
      <c r="G1009" s="192" t="s">
        <v>1115</v>
      </c>
      <c r="H1009" s="210" t="s">
        <v>1440</v>
      </c>
      <c r="I1009" s="167">
        <v>984000000</v>
      </c>
      <c r="J1009" s="166"/>
      <c r="K1009" s="166"/>
      <c r="L1009" s="168">
        <v>984000000</v>
      </c>
      <c r="M1009" s="168">
        <f t="shared" si="98"/>
        <v>984000000</v>
      </c>
      <c r="N1009" s="168"/>
      <c r="O1009" s="167">
        <v>984000000</v>
      </c>
      <c r="P1009" s="167">
        <f t="shared" si="99"/>
        <v>984000000</v>
      </c>
      <c r="Q1009" s="167"/>
      <c r="S1009" s="201">
        <f t="shared" si="100"/>
        <v>984</v>
      </c>
      <c r="T1009" s="201">
        <f t="shared" si="101"/>
        <v>984</v>
      </c>
      <c r="U1009" s="201">
        <f t="shared" si="101"/>
        <v>0</v>
      </c>
      <c r="V1009" s="201">
        <f t="shared" si="101"/>
        <v>984</v>
      </c>
      <c r="W1009" s="201">
        <f t="shared" si="101"/>
        <v>984</v>
      </c>
      <c r="X1009" s="201">
        <f t="shared" si="101"/>
        <v>0</v>
      </c>
    </row>
    <row r="1010" spans="1:24" s="169" customFormat="1" ht="26.4">
      <c r="A1010" s="192" t="s">
        <v>1116</v>
      </c>
      <c r="B1010" s="170" t="s">
        <v>1117</v>
      </c>
      <c r="C1010" s="183" t="str">
        <f t="shared" si="96"/>
        <v>1058267</v>
      </c>
      <c r="D1010" s="182" t="str">
        <f t="shared" si="97"/>
        <v>-Trường Chính tri tỉnh Kontum</v>
      </c>
      <c r="E1010" s="206"/>
      <c r="F1010" s="207"/>
      <c r="G1010" s="207"/>
      <c r="H1010" s="205"/>
      <c r="I1010" s="167">
        <v>7054900000</v>
      </c>
      <c r="J1010" s="167">
        <v>1015200000</v>
      </c>
      <c r="K1010" s="167">
        <v>5952000000</v>
      </c>
      <c r="L1010" s="168">
        <v>87700000</v>
      </c>
      <c r="M1010" s="168">
        <f t="shared" si="98"/>
        <v>7054900000</v>
      </c>
      <c r="N1010" s="168"/>
      <c r="O1010" s="167">
        <v>7016444403</v>
      </c>
      <c r="P1010" s="167">
        <f t="shared" si="99"/>
        <v>7016444403</v>
      </c>
      <c r="Q1010" s="167"/>
      <c r="S1010" s="201">
        <f t="shared" si="100"/>
        <v>7054.9</v>
      </c>
      <c r="T1010" s="201">
        <f t="shared" si="101"/>
        <v>7054.9</v>
      </c>
      <c r="U1010" s="201">
        <f t="shared" si="101"/>
        <v>0</v>
      </c>
      <c r="V1010" s="201">
        <f t="shared" si="101"/>
        <v>7016.4444030000004</v>
      </c>
      <c r="W1010" s="201">
        <f t="shared" si="101"/>
        <v>7016.4444030000004</v>
      </c>
      <c r="X1010" s="201">
        <f t="shared" si="101"/>
        <v>0</v>
      </c>
    </row>
    <row r="1011" spans="1:24" s="169" customFormat="1" ht="13.8">
      <c r="A1011" s="192" t="s">
        <v>1118</v>
      </c>
      <c r="B1011" s="170" t="s">
        <v>675</v>
      </c>
      <c r="C1011" s="183" t="str">
        <f t="shared" si="96"/>
        <v/>
      </c>
      <c r="D1011" s="182" t="str">
        <f t="shared" si="97"/>
        <v/>
      </c>
      <c r="E1011" s="206"/>
      <c r="F1011" s="207"/>
      <c r="G1011" s="207"/>
      <c r="H1011" s="205"/>
      <c r="I1011" s="167">
        <v>7054900000</v>
      </c>
      <c r="J1011" s="167">
        <v>1015200000</v>
      </c>
      <c r="K1011" s="167">
        <v>5952000000</v>
      </c>
      <c r="L1011" s="168">
        <v>87700000</v>
      </c>
      <c r="M1011" s="168">
        <f t="shared" si="98"/>
        <v>7054900000</v>
      </c>
      <c r="N1011" s="168"/>
      <c r="O1011" s="167">
        <v>7016444403</v>
      </c>
      <c r="P1011" s="167">
        <f t="shared" si="99"/>
        <v>7016444403</v>
      </c>
      <c r="Q1011" s="167"/>
      <c r="S1011" s="201">
        <f t="shared" si="100"/>
        <v>7054.9</v>
      </c>
      <c r="T1011" s="201">
        <f t="shared" si="101"/>
        <v>7054.9</v>
      </c>
      <c r="U1011" s="201">
        <f t="shared" si="101"/>
        <v>0</v>
      </c>
      <c r="V1011" s="201">
        <f t="shared" si="101"/>
        <v>7016.4444030000004</v>
      </c>
      <c r="W1011" s="201">
        <f t="shared" si="101"/>
        <v>7016.4444030000004</v>
      </c>
      <c r="X1011" s="201">
        <f t="shared" si="101"/>
        <v>0</v>
      </c>
    </row>
    <row r="1012" spans="1:24" s="169" customFormat="1" ht="13.8">
      <c r="A1012" s="192"/>
      <c r="B1012" s="170" t="s">
        <v>676</v>
      </c>
      <c r="C1012" s="183" t="str">
        <f t="shared" si="96"/>
        <v/>
      </c>
      <c r="D1012" s="182" t="str">
        <f t="shared" si="97"/>
        <v/>
      </c>
      <c r="E1012" s="206"/>
      <c r="F1012" s="207"/>
      <c r="G1012" s="207"/>
      <c r="H1012" s="205"/>
      <c r="I1012" s="167">
        <v>4133700000</v>
      </c>
      <c r="J1012" s="166"/>
      <c r="K1012" s="167">
        <v>4046000000</v>
      </c>
      <c r="L1012" s="168">
        <v>87700000</v>
      </c>
      <c r="M1012" s="168">
        <f t="shared" si="98"/>
        <v>4133700000</v>
      </c>
      <c r="N1012" s="168"/>
      <c r="O1012" s="167">
        <v>4133700000</v>
      </c>
      <c r="P1012" s="167">
        <f t="shared" si="99"/>
        <v>4133700000</v>
      </c>
      <c r="Q1012" s="167"/>
      <c r="S1012" s="201">
        <f t="shared" si="100"/>
        <v>4133.7</v>
      </c>
      <c r="T1012" s="201">
        <f t="shared" si="101"/>
        <v>4133.7</v>
      </c>
      <c r="U1012" s="201">
        <f t="shared" si="101"/>
        <v>0</v>
      </c>
      <c r="V1012" s="201">
        <f t="shared" si="101"/>
        <v>4133.7</v>
      </c>
      <c r="W1012" s="201">
        <f t="shared" si="101"/>
        <v>4133.7</v>
      </c>
      <c r="X1012" s="201">
        <f t="shared" si="101"/>
        <v>0</v>
      </c>
    </row>
    <row r="1013" spans="1:24" s="169" customFormat="1" ht="13.8">
      <c r="A1013" s="193"/>
      <c r="B1013" s="187"/>
      <c r="C1013" s="183" t="str">
        <f t="shared" si="96"/>
        <v/>
      </c>
      <c r="D1013" s="182" t="str">
        <f t="shared" si="97"/>
        <v/>
      </c>
      <c r="E1013" s="192" t="s">
        <v>666</v>
      </c>
      <c r="F1013" s="192" t="s">
        <v>968</v>
      </c>
      <c r="G1013" s="192" t="s">
        <v>992</v>
      </c>
      <c r="H1013" s="210" t="s">
        <v>1440</v>
      </c>
      <c r="I1013" s="167">
        <v>4046000000</v>
      </c>
      <c r="J1013" s="166"/>
      <c r="K1013" s="167">
        <v>4046000000</v>
      </c>
      <c r="L1013" s="171"/>
      <c r="M1013" s="168">
        <f t="shared" si="98"/>
        <v>4046000000</v>
      </c>
      <c r="N1013" s="171"/>
      <c r="O1013" s="167">
        <v>4046000000</v>
      </c>
      <c r="P1013" s="167">
        <f t="shared" si="99"/>
        <v>4046000000</v>
      </c>
      <c r="Q1013" s="167"/>
      <c r="S1013" s="201">
        <f t="shared" si="100"/>
        <v>4046</v>
      </c>
      <c r="T1013" s="201">
        <f t="shared" si="101"/>
        <v>4046</v>
      </c>
      <c r="U1013" s="201">
        <f t="shared" si="101"/>
        <v>0</v>
      </c>
      <c r="V1013" s="201">
        <f t="shared" si="101"/>
        <v>4046</v>
      </c>
      <c r="W1013" s="201">
        <f t="shared" si="101"/>
        <v>4046</v>
      </c>
      <c r="X1013" s="201">
        <f t="shared" si="101"/>
        <v>0</v>
      </c>
    </row>
    <row r="1014" spans="1:24" s="169" customFormat="1" ht="13.8">
      <c r="A1014" s="195"/>
      <c r="B1014" s="188"/>
      <c r="C1014" s="183" t="str">
        <f t="shared" si="96"/>
        <v/>
      </c>
      <c r="D1014" s="182" t="str">
        <f t="shared" si="97"/>
        <v/>
      </c>
      <c r="E1014" s="192" t="s">
        <v>679</v>
      </c>
      <c r="F1014" s="192" t="s">
        <v>968</v>
      </c>
      <c r="G1014" s="192" t="s">
        <v>992</v>
      </c>
      <c r="H1014" s="210" t="s">
        <v>1440</v>
      </c>
      <c r="I1014" s="167">
        <v>87700000</v>
      </c>
      <c r="J1014" s="166"/>
      <c r="K1014" s="166"/>
      <c r="L1014" s="168">
        <v>87700000</v>
      </c>
      <c r="M1014" s="168">
        <f t="shared" si="98"/>
        <v>87700000</v>
      </c>
      <c r="N1014" s="168"/>
      <c r="O1014" s="167">
        <v>87700000</v>
      </c>
      <c r="P1014" s="167">
        <f t="shared" si="99"/>
        <v>87700000</v>
      </c>
      <c r="Q1014" s="167"/>
      <c r="S1014" s="201">
        <f t="shared" si="100"/>
        <v>87.7</v>
      </c>
      <c r="T1014" s="201">
        <f t="shared" si="101"/>
        <v>87.7</v>
      </c>
      <c r="U1014" s="201">
        <f t="shared" si="101"/>
        <v>0</v>
      </c>
      <c r="V1014" s="201">
        <f t="shared" si="101"/>
        <v>87.7</v>
      </c>
      <c r="W1014" s="201">
        <f t="shared" si="101"/>
        <v>87.7</v>
      </c>
      <c r="X1014" s="201">
        <f t="shared" si="101"/>
        <v>0</v>
      </c>
    </row>
    <row r="1015" spans="1:24" s="169" customFormat="1" ht="13.8">
      <c r="A1015" s="192"/>
      <c r="B1015" s="170" t="s">
        <v>680</v>
      </c>
      <c r="C1015" s="183" t="str">
        <f t="shared" si="96"/>
        <v/>
      </c>
      <c r="D1015" s="182" t="str">
        <f t="shared" si="97"/>
        <v/>
      </c>
      <c r="E1015" s="206"/>
      <c r="F1015" s="207"/>
      <c r="G1015" s="207"/>
      <c r="H1015" s="205"/>
      <c r="I1015" s="167">
        <v>2921200000</v>
      </c>
      <c r="J1015" s="167">
        <v>1015200000</v>
      </c>
      <c r="K1015" s="167">
        <v>1906000000</v>
      </c>
      <c r="L1015" s="171"/>
      <c r="M1015" s="168">
        <f t="shared" si="98"/>
        <v>2921200000</v>
      </c>
      <c r="N1015" s="171"/>
      <c r="O1015" s="167">
        <v>2882744403</v>
      </c>
      <c r="P1015" s="167">
        <f t="shared" si="99"/>
        <v>2882744403</v>
      </c>
      <c r="Q1015" s="167"/>
      <c r="S1015" s="201">
        <f t="shared" si="100"/>
        <v>2921.2</v>
      </c>
      <c r="T1015" s="201">
        <f t="shared" si="101"/>
        <v>2921.2</v>
      </c>
      <c r="U1015" s="201">
        <f t="shared" si="101"/>
        <v>0</v>
      </c>
      <c r="V1015" s="201">
        <f t="shared" si="101"/>
        <v>2882.7444030000001</v>
      </c>
      <c r="W1015" s="201">
        <f t="shared" si="101"/>
        <v>2882.7444030000001</v>
      </c>
      <c r="X1015" s="201">
        <f t="shared" si="101"/>
        <v>0</v>
      </c>
    </row>
    <row r="1016" spans="1:24" s="169" customFormat="1" ht="13.8">
      <c r="A1016" s="192"/>
      <c r="B1016" s="164"/>
      <c r="C1016" s="183" t="str">
        <f t="shared" si="96"/>
        <v/>
      </c>
      <c r="D1016" s="182" t="str">
        <f t="shared" si="97"/>
        <v/>
      </c>
      <c r="E1016" s="192" t="s">
        <v>681</v>
      </c>
      <c r="F1016" s="192" t="s">
        <v>968</v>
      </c>
      <c r="G1016" s="192" t="s">
        <v>992</v>
      </c>
      <c r="H1016" s="210" t="s">
        <v>1440</v>
      </c>
      <c r="I1016" s="167">
        <v>2921200000</v>
      </c>
      <c r="J1016" s="167">
        <v>1015200000</v>
      </c>
      <c r="K1016" s="167">
        <v>1906000000</v>
      </c>
      <c r="L1016" s="171"/>
      <c r="M1016" s="168">
        <f t="shared" si="98"/>
        <v>2921200000</v>
      </c>
      <c r="N1016" s="171"/>
      <c r="O1016" s="167">
        <v>2882744403</v>
      </c>
      <c r="P1016" s="167">
        <f t="shared" si="99"/>
        <v>2882744403</v>
      </c>
      <c r="Q1016" s="167"/>
      <c r="S1016" s="201">
        <f t="shared" si="100"/>
        <v>2921.2</v>
      </c>
      <c r="T1016" s="201">
        <f t="shared" si="101"/>
        <v>2921.2</v>
      </c>
      <c r="U1016" s="201">
        <f t="shared" si="101"/>
        <v>0</v>
      </c>
      <c r="V1016" s="201">
        <f t="shared" si="101"/>
        <v>2882.7444030000001</v>
      </c>
      <c r="W1016" s="201">
        <f t="shared" si="101"/>
        <v>2882.7444030000001</v>
      </c>
      <c r="X1016" s="201">
        <f t="shared" si="101"/>
        <v>0</v>
      </c>
    </row>
    <row r="1017" spans="1:24" s="169" customFormat="1" ht="26.4">
      <c r="A1017" s="192" t="s">
        <v>1119</v>
      </c>
      <c r="B1017" s="165" t="s">
        <v>1120</v>
      </c>
      <c r="C1017" s="183" t="str">
        <f t="shared" si="96"/>
        <v>1058269</v>
      </c>
      <c r="D1017" s="182" t="str">
        <f t="shared" si="97"/>
        <v>-SỜ Khoa học và Công nghệ :ỉnh Kontum</v>
      </c>
      <c r="E1017" s="206"/>
      <c r="F1017" s="207"/>
      <c r="G1017" s="207"/>
      <c r="H1017" s="205"/>
      <c r="I1017" s="167">
        <v>20147985360</v>
      </c>
      <c r="J1017" s="167">
        <v>2791041360</v>
      </c>
      <c r="K1017" s="167">
        <v>11210000000</v>
      </c>
      <c r="L1017" s="168">
        <v>6146944000</v>
      </c>
      <c r="M1017" s="168">
        <f t="shared" si="98"/>
        <v>20147985360</v>
      </c>
      <c r="N1017" s="168"/>
      <c r="O1017" s="167">
        <v>10107450166</v>
      </c>
      <c r="P1017" s="167">
        <f t="shared" si="99"/>
        <v>10107450166</v>
      </c>
      <c r="Q1017" s="167"/>
      <c r="S1017" s="201">
        <f t="shared" si="100"/>
        <v>20147.985359999999</v>
      </c>
      <c r="T1017" s="201">
        <f t="shared" si="101"/>
        <v>20147.985359999999</v>
      </c>
      <c r="U1017" s="201">
        <f t="shared" si="101"/>
        <v>0</v>
      </c>
      <c r="V1017" s="201">
        <f t="shared" si="101"/>
        <v>10107.450166000001</v>
      </c>
      <c r="W1017" s="201">
        <f t="shared" si="101"/>
        <v>10107.450166000001</v>
      </c>
      <c r="X1017" s="201">
        <f t="shared" si="101"/>
        <v>0</v>
      </c>
    </row>
    <row r="1018" spans="1:24" s="169" customFormat="1" ht="13.8">
      <c r="A1018" s="192" t="s">
        <v>1121</v>
      </c>
      <c r="B1018" s="170" t="s">
        <v>675</v>
      </c>
      <c r="C1018" s="183" t="str">
        <f t="shared" si="96"/>
        <v/>
      </c>
      <c r="D1018" s="182" t="str">
        <f t="shared" si="97"/>
        <v/>
      </c>
      <c r="E1018" s="206"/>
      <c r="F1018" s="207"/>
      <c r="G1018" s="207"/>
      <c r="H1018" s="205"/>
      <c r="I1018" s="167">
        <v>20147985360</v>
      </c>
      <c r="J1018" s="167">
        <v>2791041360</v>
      </c>
      <c r="K1018" s="167">
        <v>11210000000</v>
      </c>
      <c r="L1018" s="168">
        <v>6146944000</v>
      </c>
      <c r="M1018" s="168">
        <f t="shared" si="98"/>
        <v>20147985360</v>
      </c>
      <c r="N1018" s="168"/>
      <c r="O1018" s="167">
        <v>10107450166</v>
      </c>
      <c r="P1018" s="167">
        <f t="shared" si="99"/>
        <v>10107450166</v>
      </c>
      <c r="Q1018" s="167"/>
      <c r="S1018" s="201">
        <f t="shared" si="100"/>
        <v>20147.985359999999</v>
      </c>
      <c r="T1018" s="201">
        <f t="shared" si="101"/>
        <v>20147.985359999999</v>
      </c>
      <c r="U1018" s="201">
        <f t="shared" si="101"/>
        <v>0</v>
      </c>
      <c r="V1018" s="201">
        <f t="shared" si="101"/>
        <v>10107.450166000001</v>
      </c>
      <c r="W1018" s="201">
        <f t="shared" si="101"/>
        <v>10107.450166000001</v>
      </c>
      <c r="X1018" s="201">
        <f t="shared" si="101"/>
        <v>0</v>
      </c>
    </row>
    <row r="1019" spans="1:24" s="169" customFormat="1" ht="13.8">
      <c r="A1019" s="192"/>
      <c r="B1019" s="170" t="s">
        <v>676</v>
      </c>
      <c r="C1019" s="183" t="str">
        <f t="shared" si="96"/>
        <v/>
      </c>
      <c r="D1019" s="182" t="str">
        <f t="shared" si="97"/>
        <v/>
      </c>
      <c r="E1019" s="206"/>
      <c r="F1019" s="207"/>
      <c r="G1019" s="207"/>
      <c r="H1019" s="205"/>
      <c r="I1019" s="167">
        <v>3049200000</v>
      </c>
      <c r="J1019" s="166"/>
      <c r="K1019" s="167">
        <v>2977000000</v>
      </c>
      <c r="L1019" s="168">
        <v>72200000</v>
      </c>
      <c r="M1019" s="168">
        <f t="shared" si="98"/>
        <v>3049200000</v>
      </c>
      <c r="N1019" s="168"/>
      <c r="O1019" s="167">
        <v>3049200000</v>
      </c>
      <c r="P1019" s="167">
        <f t="shared" si="99"/>
        <v>3049200000</v>
      </c>
      <c r="Q1019" s="167"/>
      <c r="S1019" s="201">
        <f t="shared" si="100"/>
        <v>3049.2</v>
      </c>
      <c r="T1019" s="201">
        <f t="shared" si="101"/>
        <v>3049.2</v>
      </c>
      <c r="U1019" s="201">
        <f t="shared" si="101"/>
        <v>0</v>
      </c>
      <c r="V1019" s="201">
        <f t="shared" si="101"/>
        <v>3049.2</v>
      </c>
      <c r="W1019" s="201">
        <f t="shared" si="101"/>
        <v>3049.2</v>
      </c>
      <c r="X1019" s="201">
        <f t="shared" si="101"/>
        <v>0</v>
      </c>
    </row>
    <row r="1020" spans="1:24" s="169" customFormat="1" ht="13.8">
      <c r="A1020" s="193"/>
      <c r="B1020" s="187"/>
      <c r="C1020" s="183" t="str">
        <f t="shared" si="96"/>
        <v/>
      </c>
      <c r="D1020" s="182" t="str">
        <f t="shared" si="97"/>
        <v/>
      </c>
      <c r="E1020" s="192" t="s">
        <v>666</v>
      </c>
      <c r="F1020" s="192" t="s">
        <v>1122</v>
      </c>
      <c r="G1020" s="192" t="s">
        <v>695</v>
      </c>
      <c r="H1020" s="210" t="s">
        <v>1440</v>
      </c>
      <c r="I1020" s="167">
        <v>2977000000</v>
      </c>
      <c r="J1020" s="166"/>
      <c r="K1020" s="167">
        <v>2977000000</v>
      </c>
      <c r="L1020" s="171"/>
      <c r="M1020" s="168">
        <f t="shared" si="98"/>
        <v>2977000000</v>
      </c>
      <c r="N1020" s="171"/>
      <c r="O1020" s="167">
        <v>2977000000</v>
      </c>
      <c r="P1020" s="167">
        <f t="shared" si="99"/>
        <v>2977000000</v>
      </c>
      <c r="Q1020" s="167"/>
      <c r="S1020" s="201">
        <f t="shared" si="100"/>
        <v>2977</v>
      </c>
      <c r="T1020" s="201">
        <f t="shared" si="101"/>
        <v>2977</v>
      </c>
      <c r="U1020" s="201">
        <f t="shared" si="101"/>
        <v>0</v>
      </c>
      <c r="V1020" s="201">
        <f t="shared" si="101"/>
        <v>2977</v>
      </c>
      <c r="W1020" s="201">
        <f t="shared" si="101"/>
        <v>2977</v>
      </c>
      <c r="X1020" s="201">
        <f t="shared" si="101"/>
        <v>0</v>
      </c>
    </row>
    <row r="1021" spans="1:24" s="169" customFormat="1" ht="13.8">
      <c r="A1021" s="195"/>
      <c r="B1021" s="188"/>
      <c r="C1021" s="183" t="str">
        <f t="shared" si="96"/>
        <v/>
      </c>
      <c r="D1021" s="182" t="str">
        <f t="shared" si="97"/>
        <v/>
      </c>
      <c r="E1021" s="192" t="s">
        <v>679</v>
      </c>
      <c r="F1021" s="192" t="s">
        <v>1122</v>
      </c>
      <c r="G1021" s="192" t="s">
        <v>695</v>
      </c>
      <c r="H1021" s="210" t="s">
        <v>1440</v>
      </c>
      <c r="I1021" s="167">
        <v>72200000</v>
      </c>
      <c r="J1021" s="166"/>
      <c r="K1021" s="166"/>
      <c r="L1021" s="168">
        <v>72200000</v>
      </c>
      <c r="M1021" s="168">
        <f t="shared" si="98"/>
        <v>72200000</v>
      </c>
      <c r="N1021" s="168"/>
      <c r="O1021" s="167">
        <v>72200000</v>
      </c>
      <c r="P1021" s="167">
        <f t="shared" si="99"/>
        <v>72200000</v>
      </c>
      <c r="Q1021" s="167"/>
      <c r="S1021" s="201">
        <f t="shared" si="100"/>
        <v>72.2</v>
      </c>
      <c r="T1021" s="201">
        <f t="shared" si="101"/>
        <v>72.2</v>
      </c>
      <c r="U1021" s="201">
        <f t="shared" si="101"/>
        <v>0</v>
      </c>
      <c r="V1021" s="201">
        <f t="shared" si="101"/>
        <v>72.2</v>
      </c>
      <c r="W1021" s="201">
        <f t="shared" si="101"/>
        <v>72.2</v>
      </c>
      <c r="X1021" s="201">
        <f t="shared" si="101"/>
        <v>0</v>
      </c>
    </row>
    <row r="1022" spans="1:24" s="169" customFormat="1" ht="13.8">
      <c r="A1022" s="192"/>
      <c r="B1022" s="170" t="s">
        <v>680</v>
      </c>
      <c r="C1022" s="183" t="str">
        <f t="shared" si="96"/>
        <v/>
      </c>
      <c r="D1022" s="182" t="str">
        <f t="shared" si="97"/>
        <v/>
      </c>
      <c r="E1022" s="206"/>
      <c r="F1022" s="207"/>
      <c r="G1022" s="207"/>
      <c r="H1022" s="205"/>
      <c r="I1022" s="167">
        <v>17098785360</v>
      </c>
      <c r="J1022" s="167">
        <v>2791041360</v>
      </c>
      <c r="K1022" s="167">
        <v>8233000000</v>
      </c>
      <c r="L1022" s="168">
        <v>6074744000</v>
      </c>
      <c r="M1022" s="168">
        <f t="shared" si="98"/>
        <v>17098785360</v>
      </c>
      <c r="N1022" s="168"/>
      <c r="O1022" s="167">
        <v>7058250166</v>
      </c>
      <c r="P1022" s="167">
        <f t="shared" si="99"/>
        <v>7058250166</v>
      </c>
      <c r="Q1022" s="167"/>
      <c r="S1022" s="201">
        <f t="shared" si="100"/>
        <v>17098.785360000002</v>
      </c>
      <c r="T1022" s="201">
        <f t="shared" si="101"/>
        <v>17098.785360000002</v>
      </c>
      <c r="U1022" s="201">
        <f t="shared" si="101"/>
        <v>0</v>
      </c>
      <c r="V1022" s="201">
        <f t="shared" si="101"/>
        <v>7058.2501659999998</v>
      </c>
      <c r="W1022" s="201">
        <f t="shared" si="101"/>
        <v>7058.2501659999998</v>
      </c>
      <c r="X1022" s="201">
        <f t="shared" si="101"/>
        <v>0</v>
      </c>
    </row>
    <row r="1023" spans="1:24" s="169" customFormat="1" ht="13.8">
      <c r="A1023" s="193"/>
      <c r="B1023" s="187"/>
      <c r="C1023" s="183" t="str">
        <f t="shared" si="96"/>
        <v/>
      </c>
      <c r="D1023" s="182" t="str">
        <f t="shared" si="97"/>
        <v/>
      </c>
      <c r="E1023" s="192" t="s">
        <v>681</v>
      </c>
      <c r="F1023" s="192" t="s">
        <v>1122</v>
      </c>
      <c r="G1023" s="192" t="s">
        <v>785</v>
      </c>
      <c r="H1023" s="210" t="s">
        <v>1440</v>
      </c>
      <c r="I1023" s="167">
        <v>6625238576</v>
      </c>
      <c r="J1023" s="167">
        <v>2791041360</v>
      </c>
      <c r="K1023" s="167">
        <v>1168000000</v>
      </c>
      <c r="L1023" s="168">
        <v>2666197216</v>
      </c>
      <c r="M1023" s="168">
        <f t="shared" si="98"/>
        <v>6625238576</v>
      </c>
      <c r="N1023" s="168"/>
      <c r="O1023" s="167">
        <v>5353401029</v>
      </c>
      <c r="P1023" s="167">
        <f t="shared" si="99"/>
        <v>5353401029</v>
      </c>
      <c r="Q1023" s="167"/>
      <c r="S1023" s="201">
        <f t="shared" si="100"/>
        <v>6625.2385759999997</v>
      </c>
      <c r="T1023" s="201">
        <f t="shared" si="101"/>
        <v>6625.2385759999997</v>
      </c>
      <c r="U1023" s="201">
        <f t="shared" si="101"/>
        <v>0</v>
      </c>
      <c r="V1023" s="201">
        <f t="shared" si="101"/>
        <v>5353.4010289999997</v>
      </c>
      <c r="W1023" s="201">
        <f t="shared" si="101"/>
        <v>5353.4010289999997</v>
      </c>
      <c r="X1023" s="201">
        <f t="shared" si="101"/>
        <v>0</v>
      </c>
    </row>
    <row r="1024" spans="1:24" s="169" customFormat="1" ht="13.8">
      <c r="A1024" s="194"/>
      <c r="B1024" s="184"/>
      <c r="C1024" s="183" t="str">
        <f t="shared" si="96"/>
        <v/>
      </c>
      <c r="D1024" s="182" t="str">
        <f t="shared" si="97"/>
        <v/>
      </c>
      <c r="E1024" s="192" t="s">
        <v>668</v>
      </c>
      <c r="F1024" s="192" t="s">
        <v>1122</v>
      </c>
      <c r="G1024" s="192" t="s">
        <v>785</v>
      </c>
      <c r="H1024" s="210" t="s">
        <v>1440</v>
      </c>
      <c r="I1024" s="167">
        <v>10336802784</v>
      </c>
      <c r="J1024" s="166"/>
      <c r="K1024" s="167">
        <v>7050000000</v>
      </c>
      <c r="L1024" s="168">
        <v>3286802784</v>
      </c>
      <c r="M1024" s="168">
        <f t="shared" si="98"/>
        <v>10336802784</v>
      </c>
      <c r="N1024" s="168"/>
      <c r="O1024" s="167">
        <v>1568105137</v>
      </c>
      <c r="P1024" s="167">
        <f t="shared" si="99"/>
        <v>1568105137</v>
      </c>
      <c r="Q1024" s="167"/>
      <c r="S1024" s="201">
        <f t="shared" si="100"/>
        <v>10336.802784</v>
      </c>
      <c r="T1024" s="201">
        <f t="shared" si="101"/>
        <v>10336.802784</v>
      </c>
      <c r="U1024" s="201">
        <f t="shared" si="101"/>
        <v>0</v>
      </c>
      <c r="V1024" s="201">
        <f t="shared" si="101"/>
        <v>1568.105137</v>
      </c>
      <c r="W1024" s="201">
        <f t="shared" si="101"/>
        <v>1568.105137</v>
      </c>
      <c r="X1024" s="201">
        <f t="shared" si="101"/>
        <v>0</v>
      </c>
    </row>
    <row r="1025" spans="1:24" s="169" customFormat="1" ht="13.8">
      <c r="A1025" s="195"/>
      <c r="B1025" s="188"/>
      <c r="C1025" s="183" t="str">
        <f t="shared" si="96"/>
        <v/>
      </c>
      <c r="D1025" s="182" t="str">
        <f t="shared" si="97"/>
        <v/>
      </c>
      <c r="E1025" s="192" t="s">
        <v>681</v>
      </c>
      <c r="F1025" s="192" t="s">
        <v>1122</v>
      </c>
      <c r="G1025" s="192" t="s">
        <v>695</v>
      </c>
      <c r="H1025" s="210" t="s">
        <v>1440</v>
      </c>
      <c r="I1025" s="167">
        <v>136744000</v>
      </c>
      <c r="J1025" s="166"/>
      <c r="K1025" s="167">
        <v>15000000</v>
      </c>
      <c r="L1025" s="168">
        <v>121744000</v>
      </c>
      <c r="M1025" s="168">
        <f t="shared" si="98"/>
        <v>136744000</v>
      </c>
      <c r="N1025" s="168"/>
      <c r="O1025" s="167">
        <v>136744000</v>
      </c>
      <c r="P1025" s="167">
        <f t="shared" si="99"/>
        <v>136744000</v>
      </c>
      <c r="Q1025" s="167"/>
      <c r="S1025" s="201">
        <f t="shared" si="100"/>
        <v>136.744</v>
      </c>
      <c r="T1025" s="201">
        <f t="shared" si="101"/>
        <v>136.744</v>
      </c>
      <c r="U1025" s="201">
        <f t="shared" si="101"/>
        <v>0</v>
      </c>
      <c r="V1025" s="201">
        <f t="shared" si="101"/>
        <v>136.744</v>
      </c>
      <c r="W1025" s="201">
        <f t="shared" si="101"/>
        <v>136.744</v>
      </c>
      <c r="X1025" s="201">
        <f t="shared" si="101"/>
        <v>0</v>
      </c>
    </row>
    <row r="1026" spans="1:24" s="169" customFormat="1" ht="13.8">
      <c r="A1026" s="192"/>
      <c r="B1026" s="173"/>
      <c r="C1026" s="183" t="str">
        <f t="shared" si="96"/>
        <v/>
      </c>
      <c r="D1026" s="182" t="str">
        <f t="shared" si="97"/>
        <v/>
      </c>
      <c r="E1026" s="192"/>
      <c r="F1026" s="192"/>
      <c r="G1026" s="192"/>
      <c r="H1026" s="210"/>
      <c r="I1026" s="174"/>
      <c r="J1026" s="174"/>
      <c r="K1026" s="174"/>
      <c r="L1026" s="175"/>
      <c r="M1026" s="168">
        <f t="shared" si="98"/>
        <v>0</v>
      </c>
      <c r="N1026" s="175"/>
      <c r="O1026" s="174"/>
      <c r="P1026" s="167">
        <f t="shared" si="99"/>
        <v>0</v>
      </c>
      <c r="Q1026" s="174"/>
      <c r="S1026" s="201">
        <f t="shared" si="100"/>
        <v>0</v>
      </c>
      <c r="T1026" s="201">
        <f t="shared" si="101"/>
        <v>0</v>
      </c>
      <c r="U1026" s="201">
        <f t="shared" si="101"/>
        <v>0</v>
      </c>
      <c r="V1026" s="201">
        <f t="shared" si="101"/>
        <v>0</v>
      </c>
      <c r="W1026" s="201">
        <f t="shared" si="101"/>
        <v>0</v>
      </c>
      <c r="X1026" s="201">
        <f t="shared" si="101"/>
        <v>0</v>
      </c>
    </row>
    <row r="1027" spans="1:24" s="169" customFormat="1" ht="26.4">
      <c r="A1027" s="192" t="s">
        <v>1123</v>
      </c>
      <c r="B1027" s="165" t="s">
        <v>1124</v>
      </c>
      <c r="C1027" s="183" t="str">
        <f t="shared" si="96"/>
        <v>1060648</v>
      </c>
      <c r="D1027" s="182" t="str">
        <f t="shared" si="97"/>
        <v>-BQL Rừng phòng hộ Đăk Long</v>
      </c>
      <c r="E1027" s="206"/>
      <c r="F1027" s="207"/>
      <c r="G1027" s="207"/>
      <c r="H1027" s="205"/>
      <c r="I1027" s="167">
        <v>4421000000</v>
      </c>
      <c r="J1027" s="166"/>
      <c r="K1027" s="167">
        <v>2758000000</v>
      </c>
      <c r="L1027" s="168">
        <v>1663000000</v>
      </c>
      <c r="M1027" s="168">
        <f t="shared" si="98"/>
        <v>4421000000</v>
      </c>
      <c r="N1027" s="168"/>
      <c r="O1027" s="167">
        <v>4421000000</v>
      </c>
      <c r="P1027" s="167">
        <f t="shared" si="99"/>
        <v>4421000000</v>
      </c>
      <c r="Q1027" s="167"/>
      <c r="S1027" s="201">
        <f t="shared" si="100"/>
        <v>4421</v>
      </c>
      <c r="T1027" s="201">
        <f t="shared" si="101"/>
        <v>4421</v>
      </c>
      <c r="U1027" s="201">
        <f t="shared" si="101"/>
        <v>0</v>
      </c>
      <c r="V1027" s="201">
        <f t="shared" si="101"/>
        <v>4421</v>
      </c>
      <c r="W1027" s="201">
        <f t="shared" si="101"/>
        <v>4421</v>
      </c>
      <c r="X1027" s="201">
        <f t="shared" si="101"/>
        <v>0</v>
      </c>
    </row>
    <row r="1028" spans="1:24" s="169" customFormat="1" ht="13.8">
      <c r="A1028" s="192" t="s">
        <v>1125</v>
      </c>
      <c r="B1028" s="170" t="s">
        <v>689</v>
      </c>
      <c r="C1028" s="183" t="str">
        <f t="shared" si="96"/>
        <v/>
      </c>
      <c r="D1028" s="182" t="str">
        <f t="shared" si="97"/>
        <v/>
      </c>
      <c r="E1028" s="206"/>
      <c r="F1028" s="207"/>
      <c r="G1028" s="207"/>
      <c r="H1028" s="205"/>
      <c r="I1028" s="167">
        <v>2843000000</v>
      </c>
      <c r="J1028" s="166"/>
      <c r="K1028" s="167">
        <v>2758000000</v>
      </c>
      <c r="L1028" s="168">
        <v>85000000</v>
      </c>
      <c r="M1028" s="168">
        <f t="shared" si="98"/>
        <v>2843000000</v>
      </c>
      <c r="N1028" s="168"/>
      <c r="O1028" s="167">
        <v>2843000000</v>
      </c>
      <c r="P1028" s="167">
        <f t="shared" si="99"/>
        <v>2843000000</v>
      </c>
      <c r="Q1028" s="167"/>
      <c r="S1028" s="201">
        <f t="shared" si="100"/>
        <v>2843</v>
      </c>
      <c r="T1028" s="201">
        <f t="shared" si="101"/>
        <v>2843</v>
      </c>
      <c r="U1028" s="201">
        <f t="shared" si="101"/>
        <v>0</v>
      </c>
      <c r="V1028" s="201">
        <f t="shared" si="101"/>
        <v>2843</v>
      </c>
      <c r="W1028" s="201">
        <f t="shared" si="101"/>
        <v>2843</v>
      </c>
      <c r="X1028" s="201">
        <f t="shared" si="101"/>
        <v>0</v>
      </c>
    </row>
    <row r="1029" spans="1:24" s="169" customFormat="1" ht="13.8">
      <c r="A1029" s="192"/>
      <c r="B1029" s="170" t="s">
        <v>686</v>
      </c>
      <c r="C1029" s="183" t="str">
        <f t="shared" si="96"/>
        <v/>
      </c>
      <c r="D1029" s="182" t="str">
        <f t="shared" si="97"/>
        <v/>
      </c>
      <c r="E1029" s="206"/>
      <c r="F1029" s="207"/>
      <c r="G1029" s="207"/>
      <c r="H1029" s="205"/>
      <c r="I1029" s="167">
        <v>2843000000</v>
      </c>
      <c r="J1029" s="166"/>
      <c r="K1029" s="167">
        <v>2758000000</v>
      </c>
      <c r="L1029" s="168">
        <v>85000000</v>
      </c>
      <c r="M1029" s="168">
        <f t="shared" si="98"/>
        <v>2843000000</v>
      </c>
      <c r="N1029" s="168"/>
      <c r="O1029" s="167">
        <v>2843000000</v>
      </c>
      <c r="P1029" s="167">
        <f t="shared" si="99"/>
        <v>2843000000</v>
      </c>
      <c r="Q1029" s="167"/>
      <c r="S1029" s="201">
        <f t="shared" si="100"/>
        <v>2843</v>
      </c>
      <c r="T1029" s="201">
        <f t="shared" si="101"/>
        <v>2843</v>
      </c>
      <c r="U1029" s="201">
        <f t="shared" si="101"/>
        <v>0</v>
      </c>
      <c r="V1029" s="201">
        <f t="shared" si="101"/>
        <v>2843</v>
      </c>
      <c r="W1029" s="201">
        <f t="shared" si="101"/>
        <v>2843</v>
      </c>
      <c r="X1029" s="201">
        <f t="shared" si="101"/>
        <v>0</v>
      </c>
    </row>
    <row r="1030" spans="1:24" s="169" customFormat="1" ht="13.8">
      <c r="A1030" s="193"/>
      <c r="B1030" s="187"/>
      <c r="C1030" s="183" t="str">
        <f t="shared" si="96"/>
        <v/>
      </c>
      <c r="D1030" s="182" t="str">
        <f t="shared" si="97"/>
        <v/>
      </c>
      <c r="E1030" s="192" t="s">
        <v>681</v>
      </c>
      <c r="F1030" s="192" t="s">
        <v>698</v>
      </c>
      <c r="G1030" s="192" t="s">
        <v>699</v>
      </c>
      <c r="H1030" s="210" t="s">
        <v>1440</v>
      </c>
      <c r="I1030" s="167">
        <v>2758000000</v>
      </c>
      <c r="J1030" s="166"/>
      <c r="K1030" s="167">
        <v>2758000000</v>
      </c>
      <c r="L1030" s="171"/>
      <c r="M1030" s="168">
        <f t="shared" si="98"/>
        <v>2758000000</v>
      </c>
      <c r="N1030" s="171"/>
      <c r="O1030" s="167">
        <v>2758000000</v>
      </c>
      <c r="P1030" s="167">
        <f t="shared" si="99"/>
        <v>2758000000</v>
      </c>
      <c r="Q1030" s="167"/>
      <c r="S1030" s="201">
        <f t="shared" si="100"/>
        <v>2758</v>
      </c>
      <c r="T1030" s="201">
        <f t="shared" si="101"/>
        <v>2758</v>
      </c>
      <c r="U1030" s="201">
        <f t="shared" si="101"/>
        <v>0</v>
      </c>
      <c r="V1030" s="201">
        <f t="shared" si="101"/>
        <v>2758</v>
      </c>
      <c r="W1030" s="201">
        <f t="shared" si="101"/>
        <v>2758</v>
      </c>
      <c r="X1030" s="201">
        <f t="shared" si="101"/>
        <v>0</v>
      </c>
    </row>
    <row r="1031" spans="1:24" s="169" customFormat="1" ht="13.8">
      <c r="A1031" s="195"/>
      <c r="B1031" s="188"/>
      <c r="C1031" s="183" t="str">
        <f t="shared" si="96"/>
        <v/>
      </c>
      <c r="D1031" s="182" t="str">
        <f t="shared" si="97"/>
        <v/>
      </c>
      <c r="E1031" s="192" t="s">
        <v>679</v>
      </c>
      <c r="F1031" s="192" t="s">
        <v>698</v>
      </c>
      <c r="G1031" s="192" t="s">
        <v>699</v>
      </c>
      <c r="H1031" s="210" t="s">
        <v>1440</v>
      </c>
      <c r="I1031" s="167">
        <v>85000000</v>
      </c>
      <c r="J1031" s="166"/>
      <c r="K1031" s="166"/>
      <c r="L1031" s="168">
        <v>85000000</v>
      </c>
      <c r="M1031" s="168">
        <f t="shared" si="98"/>
        <v>85000000</v>
      </c>
      <c r="N1031" s="168"/>
      <c r="O1031" s="167">
        <v>85000000</v>
      </c>
      <c r="P1031" s="167">
        <f t="shared" si="99"/>
        <v>85000000</v>
      </c>
      <c r="Q1031" s="167"/>
      <c r="S1031" s="201">
        <f t="shared" si="100"/>
        <v>85</v>
      </c>
      <c r="T1031" s="201">
        <f t="shared" si="101"/>
        <v>85</v>
      </c>
      <c r="U1031" s="201">
        <f t="shared" si="101"/>
        <v>0</v>
      </c>
      <c r="V1031" s="201">
        <f t="shared" si="101"/>
        <v>85</v>
      </c>
      <c r="W1031" s="201">
        <f t="shared" si="101"/>
        <v>85</v>
      </c>
      <c r="X1031" s="201">
        <f t="shared" si="101"/>
        <v>0</v>
      </c>
    </row>
    <row r="1032" spans="1:24" s="169" customFormat="1" ht="13.8">
      <c r="A1032" s="192" t="s">
        <v>1126</v>
      </c>
      <c r="B1032" s="170" t="s">
        <v>701</v>
      </c>
      <c r="C1032" s="183" t="str">
        <f t="shared" si="96"/>
        <v/>
      </c>
      <c r="D1032" s="182" t="str">
        <f t="shared" si="97"/>
        <v/>
      </c>
      <c r="E1032" s="206"/>
      <c r="F1032" s="207"/>
      <c r="G1032" s="207"/>
      <c r="H1032" s="205"/>
      <c r="I1032" s="167">
        <v>1578000000</v>
      </c>
      <c r="J1032" s="166"/>
      <c r="K1032" s="166"/>
      <c r="L1032" s="168">
        <v>1578000000</v>
      </c>
      <c r="M1032" s="168">
        <f t="shared" si="98"/>
        <v>1578000000</v>
      </c>
      <c r="N1032" s="168"/>
      <c r="O1032" s="167">
        <v>1578000000</v>
      </c>
      <c r="P1032" s="167">
        <f t="shared" si="99"/>
        <v>1578000000</v>
      </c>
      <c r="Q1032" s="167"/>
      <c r="S1032" s="201">
        <f t="shared" si="100"/>
        <v>1578</v>
      </c>
      <c r="T1032" s="201">
        <f t="shared" si="101"/>
        <v>1578</v>
      </c>
      <c r="U1032" s="201">
        <f t="shared" si="101"/>
        <v>0</v>
      </c>
      <c r="V1032" s="201">
        <f t="shared" si="101"/>
        <v>1578</v>
      </c>
      <c r="W1032" s="201">
        <f t="shared" si="101"/>
        <v>1578</v>
      </c>
      <c r="X1032" s="201">
        <f t="shared" si="101"/>
        <v>0</v>
      </c>
    </row>
    <row r="1033" spans="1:24" s="169" customFormat="1" ht="13.8">
      <c r="A1033" s="192"/>
      <c r="B1033" s="164"/>
      <c r="C1033" s="183" t="str">
        <f t="shared" si="96"/>
        <v/>
      </c>
      <c r="D1033" s="182" t="str">
        <f t="shared" si="97"/>
        <v/>
      </c>
      <c r="E1033" s="192" t="s">
        <v>667</v>
      </c>
      <c r="F1033" s="192" t="s">
        <v>698</v>
      </c>
      <c r="G1033" s="192" t="s">
        <v>699</v>
      </c>
      <c r="H1033" s="210" t="s">
        <v>1441</v>
      </c>
      <c r="I1033" s="167">
        <v>1578000000</v>
      </c>
      <c r="J1033" s="166"/>
      <c r="K1033" s="166"/>
      <c r="L1033" s="168">
        <v>1578000000</v>
      </c>
      <c r="M1033" s="168">
        <f t="shared" si="98"/>
        <v>1578000000</v>
      </c>
      <c r="N1033" s="168"/>
      <c r="O1033" s="167">
        <v>1578000000</v>
      </c>
      <c r="P1033" s="167">
        <f t="shared" si="99"/>
        <v>1578000000</v>
      </c>
      <c r="Q1033" s="167"/>
      <c r="S1033" s="201">
        <f t="shared" si="100"/>
        <v>1578</v>
      </c>
      <c r="T1033" s="201">
        <f t="shared" si="101"/>
        <v>1578</v>
      </c>
      <c r="U1033" s="201">
        <f t="shared" si="101"/>
        <v>0</v>
      </c>
      <c r="V1033" s="201">
        <f t="shared" si="101"/>
        <v>1578</v>
      </c>
      <c r="W1033" s="201">
        <f t="shared" si="101"/>
        <v>1578</v>
      </c>
      <c r="X1033" s="201">
        <f t="shared" si="101"/>
        <v>0</v>
      </c>
    </row>
    <row r="1034" spans="1:24" s="169" customFormat="1" ht="39.6">
      <c r="A1034" s="192" t="s">
        <v>1127</v>
      </c>
      <c r="B1034" s="165" t="s">
        <v>1128</v>
      </c>
      <c r="C1034" s="183" t="str">
        <f t="shared" si="96"/>
        <v>1060884</v>
      </c>
      <c r="D1034" s="182" t="str">
        <f t="shared" si="97"/>
        <v>-Trung Tâm Khuyẽn Công -Xúc tiễn thương mại và Tư vãn công nghiệp tỉnh Kon Tum</v>
      </c>
      <c r="E1034" s="206"/>
      <c r="F1034" s="207"/>
      <c r="G1034" s="207"/>
      <c r="H1034" s="205"/>
      <c r="I1034" s="167">
        <v>2767971685</v>
      </c>
      <c r="J1034" s="167">
        <v>646685</v>
      </c>
      <c r="K1034" s="167">
        <v>3590000000</v>
      </c>
      <c r="L1034" s="168">
        <v>-822675000</v>
      </c>
      <c r="M1034" s="168">
        <f t="shared" si="98"/>
        <v>2767971685</v>
      </c>
      <c r="N1034" s="168"/>
      <c r="O1034" s="167">
        <v>2634948685</v>
      </c>
      <c r="P1034" s="167">
        <f t="shared" si="99"/>
        <v>2634948685</v>
      </c>
      <c r="Q1034" s="167"/>
      <c r="S1034" s="201">
        <f t="shared" si="100"/>
        <v>2767.971685</v>
      </c>
      <c r="T1034" s="201">
        <f t="shared" si="101"/>
        <v>2767.971685</v>
      </c>
      <c r="U1034" s="201">
        <f t="shared" si="101"/>
        <v>0</v>
      </c>
      <c r="V1034" s="201">
        <f t="shared" si="101"/>
        <v>2634.9486849999998</v>
      </c>
      <c r="W1034" s="201">
        <f t="shared" si="101"/>
        <v>2634.9486849999998</v>
      </c>
      <c r="X1034" s="201">
        <f t="shared" si="101"/>
        <v>0</v>
      </c>
    </row>
    <row r="1035" spans="1:24" s="169" customFormat="1" ht="13.8">
      <c r="A1035" s="192" t="s">
        <v>1129</v>
      </c>
      <c r="B1035" s="170" t="s">
        <v>689</v>
      </c>
      <c r="C1035" s="183" t="str">
        <f t="shared" si="96"/>
        <v/>
      </c>
      <c r="D1035" s="182" t="str">
        <f t="shared" si="97"/>
        <v/>
      </c>
      <c r="E1035" s="206"/>
      <c r="F1035" s="207"/>
      <c r="G1035" s="207"/>
      <c r="H1035" s="205"/>
      <c r="I1035" s="167">
        <v>2767971685</v>
      </c>
      <c r="J1035" s="167">
        <v>646685</v>
      </c>
      <c r="K1035" s="167">
        <v>3590000000</v>
      </c>
      <c r="L1035" s="168">
        <v>-822675000</v>
      </c>
      <c r="M1035" s="168">
        <f t="shared" si="98"/>
        <v>2767971685</v>
      </c>
      <c r="N1035" s="168"/>
      <c r="O1035" s="167">
        <v>2634948685</v>
      </c>
      <c r="P1035" s="167">
        <f t="shared" si="99"/>
        <v>2634948685</v>
      </c>
      <c r="Q1035" s="167"/>
      <c r="S1035" s="201">
        <f t="shared" si="100"/>
        <v>2767.971685</v>
      </c>
      <c r="T1035" s="201">
        <f t="shared" si="101"/>
        <v>2767.971685</v>
      </c>
      <c r="U1035" s="201">
        <f t="shared" si="101"/>
        <v>0</v>
      </c>
      <c r="V1035" s="201">
        <f t="shared" si="101"/>
        <v>2634.9486849999998</v>
      </c>
      <c r="W1035" s="201">
        <f t="shared" si="101"/>
        <v>2634.9486849999998</v>
      </c>
      <c r="X1035" s="201">
        <f t="shared" si="101"/>
        <v>0</v>
      </c>
    </row>
    <row r="1036" spans="1:24" s="169" customFormat="1" ht="13.8">
      <c r="A1036" s="192"/>
      <c r="B1036" s="170" t="s">
        <v>690</v>
      </c>
      <c r="C1036" s="183" t="str">
        <f t="shared" si="96"/>
        <v/>
      </c>
      <c r="D1036" s="182" t="str">
        <f t="shared" si="97"/>
        <v/>
      </c>
      <c r="E1036" s="206"/>
      <c r="F1036" s="207"/>
      <c r="G1036" s="207"/>
      <c r="H1036" s="205"/>
      <c r="I1036" s="167">
        <v>1019646685</v>
      </c>
      <c r="J1036" s="167">
        <v>646685</v>
      </c>
      <c r="K1036" s="167">
        <v>1019000000</v>
      </c>
      <c r="L1036" s="171"/>
      <c r="M1036" s="168">
        <f t="shared" si="98"/>
        <v>1019646685</v>
      </c>
      <c r="N1036" s="171"/>
      <c r="O1036" s="167">
        <v>1019646685</v>
      </c>
      <c r="P1036" s="167">
        <f t="shared" si="99"/>
        <v>1019646685</v>
      </c>
      <c r="Q1036" s="167"/>
      <c r="S1036" s="201">
        <f t="shared" si="100"/>
        <v>1019.646685</v>
      </c>
      <c r="T1036" s="201">
        <f t="shared" si="101"/>
        <v>1019.646685</v>
      </c>
      <c r="U1036" s="201">
        <f t="shared" si="101"/>
        <v>0</v>
      </c>
      <c r="V1036" s="201">
        <f t="shared" si="101"/>
        <v>1019.646685</v>
      </c>
      <c r="W1036" s="201">
        <f t="shared" si="101"/>
        <v>1019.646685</v>
      </c>
      <c r="X1036" s="201">
        <f t="shared" si="101"/>
        <v>0</v>
      </c>
    </row>
    <row r="1037" spans="1:24" s="169" customFormat="1" ht="13.8">
      <c r="A1037" s="192"/>
      <c r="B1037" s="164"/>
      <c r="C1037" s="183" t="str">
        <f t="shared" si="96"/>
        <v/>
      </c>
      <c r="D1037" s="182" t="str">
        <f t="shared" si="97"/>
        <v/>
      </c>
      <c r="E1037" s="192" t="s">
        <v>666</v>
      </c>
      <c r="F1037" s="192" t="s">
        <v>943</v>
      </c>
      <c r="G1037" s="192" t="s">
        <v>1077</v>
      </c>
      <c r="H1037" s="210" t="s">
        <v>1440</v>
      </c>
      <c r="I1037" s="167">
        <v>1019646685</v>
      </c>
      <c r="J1037" s="167">
        <v>646685</v>
      </c>
      <c r="K1037" s="167">
        <v>1019000000</v>
      </c>
      <c r="L1037" s="171"/>
      <c r="M1037" s="168">
        <f t="shared" si="98"/>
        <v>1019646685</v>
      </c>
      <c r="N1037" s="171"/>
      <c r="O1037" s="167">
        <v>1019646685</v>
      </c>
      <c r="P1037" s="167">
        <f t="shared" si="99"/>
        <v>1019646685</v>
      </c>
      <c r="Q1037" s="167"/>
      <c r="S1037" s="201">
        <f t="shared" si="100"/>
        <v>1019.646685</v>
      </c>
      <c r="T1037" s="201">
        <f t="shared" si="101"/>
        <v>1019.646685</v>
      </c>
      <c r="U1037" s="201">
        <f t="shared" si="101"/>
        <v>0</v>
      </c>
      <c r="V1037" s="201">
        <f t="shared" si="101"/>
        <v>1019.646685</v>
      </c>
      <c r="W1037" s="201">
        <f t="shared" si="101"/>
        <v>1019.646685</v>
      </c>
      <c r="X1037" s="201">
        <f t="shared" si="101"/>
        <v>0</v>
      </c>
    </row>
    <row r="1038" spans="1:24" s="169" customFormat="1" ht="13.8">
      <c r="A1038" s="192"/>
      <c r="B1038" s="170" t="s">
        <v>686</v>
      </c>
      <c r="C1038" s="183" t="str">
        <f t="shared" si="96"/>
        <v/>
      </c>
      <c r="D1038" s="182" t="str">
        <f t="shared" si="97"/>
        <v/>
      </c>
      <c r="E1038" s="206"/>
      <c r="F1038" s="207"/>
      <c r="G1038" s="207"/>
      <c r="H1038" s="205"/>
      <c r="I1038" s="167">
        <v>1748325000</v>
      </c>
      <c r="J1038" s="166"/>
      <c r="K1038" s="167">
        <v>2571000000</v>
      </c>
      <c r="L1038" s="168">
        <v>-822675000</v>
      </c>
      <c r="M1038" s="168">
        <f t="shared" si="98"/>
        <v>1748325000</v>
      </c>
      <c r="N1038" s="168"/>
      <c r="O1038" s="167">
        <v>1615302000</v>
      </c>
      <c r="P1038" s="167">
        <f t="shared" si="99"/>
        <v>1615302000</v>
      </c>
      <c r="Q1038" s="167"/>
      <c r="S1038" s="201">
        <f t="shared" si="100"/>
        <v>1748.325</v>
      </c>
      <c r="T1038" s="201">
        <f t="shared" si="101"/>
        <v>1748.325</v>
      </c>
      <c r="U1038" s="201">
        <f t="shared" si="101"/>
        <v>0</v>
      </c>
      <c r="V1038" s="201">
        <f t="shared" si="101"/>
        <v>1615.3019999999999</v>
      </c>
      <c r="W1038" s="201">
        <f t="shared" si="101"/>
        <v>1615.3019999999999</v>
      </c>
      <c r="X1038" s="201">
        <f t="shared" si="101"/>
        <v>0</v>
      </c>
    </row>
    <row r="1039" spans="1:24" s="169" customFormat="1" ht="13.8">
      <c r="A1039" s="193"/>
      <c r="B1039" s="187"/>
      <c r="C1039" s="183" t="str">
        <f t="shared" si="96"/>
        <v/>
      </c>
      <c r="D1039" s="182" t="str">
        <f t="shared" si="97"/>
        <v/>
      </c>
      <c r="E1039" s="192" t="s">
        <v>681</v>
      </c>
      <c r="F1039" s="192" t="s">
        <v>943</v>
      </c>
      <c r="G1039" s="192" t="s">
        <v>1077</v>
      </c>
      <c r="H1039" s="210" t="s">
        <v>1440</v>
      </c>
      <c r="I1039" s="167">
        <v>1721825000</v>
      </c>
      <c r="J1039" s="166"/>
      <c r="K1039" s="167">
        <v>2571000000</v>
      </c>
      <c r="L1039" s="168">
        <v>-849175000</v>
      </c>
      <c r="M1039" s="168">
        <f t="shared" si="98"/>
        <v>1721825000</v>
      </c>
      <c r="N1039" s="168"/>
      <c r="O1039" s="167">
        <v>1588802000</v>
      </c>
      <c r="P1039" s="167">
        <f t="shared" si="99"/>
        <v>1588802000</v>
      </c>
      <c r="Q1039" s="167"/>
      <c r="S1039" s="201">
        <f t="shared" si="100"/>
        <v>1721.825</v>
      </c>
      <c r="T1039" s="201">
        <f t="shared" si="101"/>
        <v>1721.825</v>
      </c>
      <c r="U1039" s="201">
        <f t="shared" si="101"/>
        <v>0</v>
      </c>
      <c r="V1039" s="201">
        <f t="shared" si="101"/>
        <v>1588.8019999999999</v>
      </c>
      <c r="W1039" s="201">
        <f t="shared" si="101"/>
        <v>1588.8019999999999</v>
      </c>
      <c r="X1039" s="201">
        <f t="shared" si="101"/>
        <v>0</v>
      </c>
    </row>
    <row r="1040" spans="1:24" s="169" customFormat="1" ht="13.8">
      <c r="A1040" s="195"/>
      <c r="B1040" s="188"/>
      <c r="C1040" s="183" t="str">
        <f t="shared" si="96"/>
        <v/>
      </c>
      <c r="D1040" s="182" t="str">
        <f t="shared" si="97"/>
        <v/>
      </c>
      <c r="E1040" s="192" t="s">
        <v>679</v>
      </c>
      <c r="F1040" s="192" t="s">
        <v>943</v>
      </c>
      <c r="G1040" s="192" t="s">
        <v>1077</v>
      </c>
      <c r="H1040" s="210" t="s">
        <v>1440</v>
      </c>
      <c r="I1040" s="167">
        <v>26500000</v>
      </c>
      <c r="J1040" s="166"/>
      <c r="K1040" s="166"/>
      <c r="L1040" s="168">
        <v>26500000</v>
      </c>
      <c r="M1040" s="168">
        <f t="shared" si="98"/>
        <v>26500000</v>
      </c>
      <c r="N1040" s="168"/>
      <c r="O1040" s="167">
        <v>26500000</v>
      </c>
      <c r="P1040" s="167">
        <f t="shared" si="99"/>
        <v>26500000</v>
      </c>
      <c r="Q1040" s="167"/>
      <c r="S1040" s="201">
        <f t="shared" si="100"/>
        <v>26.5</v>
      </c>
      <c r="T1040" s="201">
        <f t="shared" si="101"/>
        <v>26.5</v>
      </c>
      <c r="U1040" s="201">
        <f t="shared" si="101"/>
        <v>0</v>
      </c>
      <c r="V1040" s="201">
        <f t="shared" si="101"/>
        <v>26.5</v>
      </c>
      <c r="W1040" s="201">
        <f t="shared" si="101"/>
        <v>26.5</v>
      </c>
      <c r="X1040" s="201">
        <f t="shared" si="101"/>
        <v>0</v>
      </c>
    </row>
    <row r="1041" spans="1:24" s="169" customFormat="1" ht="26.4">
      <c r="A1041" s="192" t="s">
        <v>1130</v>
      </c>
      <c r="B1041" s="165" t="s">
        <v>1131</v>
      </c>
      <c r="C1041" s="183" t="str">
        <f t="shared" si="96"/>
        <v>1061580</v>
      </c>
      <c r="D1041" s="182" t="str">
        <f t="shared" si="97"/>
        <v>-Trường Dân tộc Nội trú Đakglei</v>
      </c>
      <c r="E1041" s="206"/>
      <c r="F1041" s="207"/>
      <c r="G1041" s="207"/>
      <c r="H1041" s="205"/>
      <c r="I1041" s="167">
        <v>9919142424</v>
      </c>
      <c r="J1041" s="167">
        <v>28570424</v>
      </c>
      <c r="K1041" s="167">
        <v>9715652000</v>
      </c>
      <c r="L1041" s="168">
        <v>174920000</v>
      </c>
      <c r="M1041" s="168">
        <f t="shared" si="98"/>
        <v>9919142424</v>
      </c>
      <c r="N1041" s="168"/>
      <c r="O1041" s="167">
        <v>9552136191</v>
      </c>
      <c r="P1041" s="167">
        <f t="shared" si="99"/>
        <v>9552136191</v>
      </c>
      <c r="Q1041" s="167"/>
      <c r="S1041" s="201">
        <f t="shared" si="100"/>
        <v>9919.1424239999997</v>
      </c>
      <c r="T1041" s="201">
        <f t="shared" si="101"/>
        <v>9919.1424239999997</v>
      </c>
      <c r="U1041" s="201">
        <f t="shared" si="101"/>
        <v>0</v>
      </c>
      <c r="V1041" s="201">
        <f t="shared" si="101"/>
        <v>9552.1361909999996</v>
      </c>
      <c r="W1041" s="201">
        <f t="shared" si="101"/>
        <v>9552.1361909999996</v>
      </c>
      <c r="X1041" s="201">
        <f t="shared" si="101"/>
        <v>0</v>
      </c>
    </row>
    <row r="1042" spans="1:24" s="169" customFormat="1" ht="13.8">
      <c r="A1042" s="192" t="s">
        <v>1132</v>
      </c>
      <c r="B1042" s="170" t="s">
        <v>689</v>
      </c>
      <c r="C1042" s="183" t="str">
        <f t="shared" si="96"/>
        <v/>
      </c>
      <c r="D1042" s="182" t="str">
        <f t="shared" si="97"/>
        <v/>
      </c>
      <c r="E1042" s="206"/>
      <c r="F1042" s="207"/>
      <c r="G1042" s="207"/>
      <c r="H1042" s="205"/>
      <c r="I1042" s="167">
        <v>9919142424</v>
      </c>
      <c r="J1042" s="167">
        <v>28570424</v>
      </c>
      <c r="K1042" s="167">
        <v>9715652000</v>
      </c>
      <c r="L1042" s="168">
        <v>174920000</v>
      </c>
      <c r="M1042" s="168">
        <f t="shared" si="98"/>
        <v>9919142424</v>
      </c>
      <c r="N1042" s="168"/>
      <c r="O1042" s="167">
        <v>9552136191</v>
      </c>
      <c r="P1042" s="167">
        <f t="shared" si="99"/>
        <v>9552136191</v>
      </c>
      <c r="Q1042" s="167"/>
      <c r="S1042" s="201">
        <f t="shared" si="100"/>
        <v>9919.1424239999997</v>
      </c>
      <c r="T1042" s="201">
        <f t="shared" si="101"/>
        <v>9919.1424239999997</v>
      </c>
      <c r="U1042" s="201">
        <f t="shared" si="101"/>
        <v>0</v>
      </c>
      <c r="V1042" s="201">
        <f t="shared" si="101"/>
        <v>9552.1361909999996</v>
      </c>
      <c r="W1042" s="201">
        <f t="shared" si="101"/>
        <v>9552.1361909999996</v>
      </c>
      <c r="X1042" s="201">
        <f t="shared" si="101"/>
        <v>0</v>
      </c>
    </row>
    <row r="1043" spans="1:24" s="169" customFormat="1" ht="13.8">
      <c r="A1043" s="192"/>
      <c r="B1043" s="170" t="s">
        <v>690</v>
      </c>
      <c r="C1043" s="183" t="str">
        <f t="shared" si="96"/>
        <v/>
      </c>
      <c r="D1043" s="182" t="str">
        <f t="shared" si="97"/>
        <v/>
      </c>
      <c r="E1043" s="206"/>
      <c r="F1043" s="207"/>
      <c r="G1043" s="207"/>
      <c r="H1043" s="205"/>
      <c r="I1043" s="167">
        <v>5581884424</v>
      </c>
      <c r="J1043" s="167">
        <v>28570424</v>
      </c>
      <c r="K1043" s="167">
        <v>5393994000</v>
      </c>
      <c r="L1043" s="168">
        <v>159320000</v>
      </c>
      <c r="M1043" s="168">
        <f t="shared" si="98"/>
        <v>5581884424</v>
      </c>
      <c r="N1043" s="168"/>
      <c r="O1043" s="167">
        <v>5451927077</v>
      </c>
      <c r="P1043" s="167">
        <f t="shared" si="99"/>
        <v>5451927077</v>
      </c>
      <c r="Q1043" s="167"/>
      <c r="S1043" s="201">
        <f t="shared" si="100"/>
        <v>5581.8844239999999</v>
      </c>
      <c r="T1043" s="201">
        <f t="shared" si="101"/>
        <v>5581.8844239999999</v>
      </c>
      <c r="U1043" s="201">
        <f t="shared" si="101"/>
        <v>0</v>
      </c>
      <c r="V1043" s="201">
        <f t="shared" si="101"/>
        <v>5451.9270770000003</v>
      </c>
      <c r="W1043" s="201">
        <f t="shared" si="101"/>
        <v>5451.9270770000003</v>
      </c>
      <c r="X1043" s="201">
        <f t="shared" si="101"/>
        <v>0</v>
      </c>
    </row>
    <row r="1044" spans="1:24" s="169" customFormat="1" ht="13.8">
      <c r="A1044" s="193"/>
      <c r="B1044" s="187"/>
      <c r="C1044" s="183" t="str">
        <f t="shared" si="96"/>
        <v/>
      </c>
      <c r="D1044" s="182" t="str">
        <f t="shared" si="97"/>
        <v/>
      </c>
      <c r="E1044" s="192" t="s">
        <v>666</v>
      </c>
      <c r="F1044" s="192" t="s">
        <v>677</v>
      </c>
      <c r="G1044" s="192" t="s">
        <v>685</v>
      </c>
      <c r="H1044" s="210" t="s">
        <v>1440</v>
      </c>
      <c r="I1044" s="167">
        <v>5422564424</v>
      </c>
      <c r="J1044" s="167">
        <v>28570424</v>
      </c>
      <c r="K1044" s="167">
        <v>5393994000</v>
      </c>
      <c r="L1044" s="171"/>
      <c r="M1044" s="168">
        <f t="shared" si="98"/>
        <v>5422564424</v>
      </c>
      <c r="N1044" s="171"/>
      <c r="O1044" s="167">
        <v>5321235666</v>
      </c>
      <c r="P1044" s="167">
        <f t="shared" si="99"/>
        <v>5321235666</v>
      </c>
      <c r="Q1044" s="167"/>
      <c r="S1044" s="201">
        <f t="shared" si="100"/>
        <v>5422.5644240000001</v>
      </c>
      <c r="T1044" s="201">
        <f t="shared" si="101"/>
        <v>5422.5644240000001</v>
      </c>
      <c r="U1044" s="201">
        <f t="shared" si="101"/>
        <v>0</v>
      </c>
      <c r="V1044" s="201">
        <f t="shared" si="101"/>
        <v>5321.2356659999996</v>
      </c>
      <c r="W1044" s="201">
        <f t="shared" si="101"/>
        <v>5321.2356659999996</v>
      </c>
      <c r="X1044" s="201">
        <f t="shared" si="101"/>
        <v>0</v>
      </c>
    </row>
    <row r="1045" spans="1:24" s="169" customFormat="1" ht="13.8">
      <c r="A1045" s="194"/>
      <c r="B1045" s="184"/>
      <c r="C1045" s="183" t="str">
        <f t="shared" si="96"/>
        <v/>
      </c>
      <c r="D1045" s="182" t="str">
        <f t="shared" si="97"/>
        <v/>
      </c>
      <c r="E1045" s="192" t="s">
        <v>679</v>
      </c>
      <c r="F1045" s="192" t="s">
        <v>677</v>
      </c>
      <c r="G1045" s="192" t="s">
        <v>685</v>
      </c>
      <c r="H1045" s="210" t="s">
        <v>1440</v>
      </c>
      <c r="I1045" s="167">
        <v>139000000</v>
      </c>
      <c r="J1045" s="166"/>
      <c r="K1045" s="166"/>
      <c r="L1045" s="168">
        <v>139000000</v>
      </c>
      <c r="M1045" s="168">
        <f t="shared" si="98"/>
        <v>139000000</v>
      </c>
      <c r="N1045" s="168"/>
      <c r="O1045" s="167">
        <v>130691411</v>
      </c>
      <c r="P1045" s="167">
        <f t="shared" si="99"/>
        <v>130691411</v>
      </c>
      <c r="Q1045" s="167"/>
      <c r="S1045" s="201">
        <f t="shared" si="100"/>
        <v>139</v>
      </c>
      <c r="T1045" s="201">
        <f t="shared" si="101"/>
        <v>139</v>
      </c>
      <c r="U1045" s="201">
        <f t="shared" si="101"/>
        <v>0</v>
      </c>
      <c r="V1045" s="201">
        <f t="shared" si="101"/>
        <v>130.69141099999999</v>
      </c>
      <c r="W1045" s="201">
        <f t="shared" si="101"/>
        <v>130.69141099999999</v>
      </c>
      <c r="X1045" s="201">
        <f t="shared" si="101"/>
        <v>0</v>
      </c>
    </row>
    <row r="1046" spans="1:24" s="169" customFormat="1" ht="13.8">
      <c r="A1046" s="195"/>
      <c r="B1046" s="188"/>
      <c r="C1046" s="183" t="str">
        <f t="shared" ref="C1046:C1109" si="102">IF(B1046&lt;&gt;"",IF(AND(LEFT(B1046,1)&gt;="0",LEFT(B1046,1)&lt;="9"),LEFT(B1046,7),""),"")</f>
        <v/>
      </c>
      <c r="D1046" s="182" t="str">
        <f t="shared" si="97"/>
        <v/>
      </c>
      <c r="E1046" s="192" t="s">
        <v>669</v>
      </c>
      <c r="F1046" s="192" t="s">
        <v>677</v>
      </c>
      <c r="G1046" s="192" t="s">
        <v>685</v>
      </c>
      <c r="H1046" s="210" t="s">
        <v>1440</v>
      </c>
      <c r="I1046" s="167">
        <v>20320000</v>
      </c>
      <c r="J1046" s="166"/>
      <c r="K1046" s="166"/>
      <c r="L1046" s="168">
        <v>20320000</v>
      </c>
      <c r="M1046" s="168">
        <f t="shared" si="98"/>
        <v>20320000</v>
      </c>
      <c r="N1046" s="168"/>
      <c r="O1046" s="166"/>
      <c r="P1046" s="167">
        <f t="shared" si="99"/>
        <v>0</v>
      </c>
      <c r="Q1046" s="166"/>
      <c r="S1046" s="201">
        <f t="shared" si="100"/>
        <v>20.32</v>
      </c>
      <c r="T1046" s="201">
        <f t="shared" si="101"/>
        <v>20.32</v>
      </c>
      <c r="U1046" s="201">
        <f t="shared" si="101"/>
        <v>0</v>
      </c>
      <c r="V1046" s="201">
        <f t="shared" si="101"/>
        <v>0</v>
      </c>
      <c r="W1046" s="201">
        <f t="shared" si="101"/>
        <v>0</v>
      </c>
      <c r="X1046" s="201">
        <f t="shared" si="101"/>
        <v>0</v>
      </c>
    </row>
    <row r="1047" spans="1:24" s="169" customFormat="1" ht="13.8">
      <c r="A1047" s="192"/>
      <c r="B1047" s="170" t="s">
        <v>686</v>
      </c>
      <c r="C1047" s="183" t="str">
        <f t="shared" si="102"/>
        <v/>
      </c>
      <c r="D1047" s="182" t="str">
        <f t="shared" ref="D1047:D1110" si="103">IF(C1047&lt;&gt;"",RIGHT(B1047,LEN(B1047)-7),"")</f>
        <v/>
      </c>
      <c r="E1047" s="206"/>
      <c r="F1047" s="207"/>
      <c r="G1047" s="207"/>
      <c r="H1047" s="205"/>
      <c r="I1047" s="167">
        <v>4337258000</v>
      </c>
      <c r="J1047" s="166"/>
      <c r="K1047" s="167">
        <v>4321658000</v>
      </c>
      <c r="L1047" s="168">
        <v>15600000</v>
      </c>
      <c r="M1047" s="168">
        <f t="shared" ref="M1047:M1110" si="104">I1047-N1047</f>
        <v>4337258000</v>
      </c>
      <c r="N1047" s="168"/>
      <c r="O1047" s="167">
        <v>4100209114</v>
      </c>
      <c r="P1047" s="167">
        <f t="shared" ref="P1047:P1110" si="105">O1047-Q1047</f>
        <v>4100209114</v>
      </c>
      <c r="Q1047" s="167"/>
      <c r="S1047" s="201">
        <f t="shared" ref="S1047:S1110" si="106">I1047/1000000</f>
        <v>4337.2579999999998</v>
      </c>
      <c r="T1047" s="201">
        <f t="shared" si="101"/>
        <v>4337.2579999999998</v>
      </c>
      <c r="U1047" s="201">
        <f t="shared" si="101"/>
        <v>0</v>
      </c>
      <c r="V1047" s="201">
        <f t="shared" si="101"/>
        <v>4100.2091140000002</v>
      </c>
      <c r="W1047" s="201">
        <f t="shared" si="101"/>
        <v>4100.2091140000002</v>
      </c>
      <c r="X1047" s="201">
        <f t="shared" si="101"/>
        <v>0</v>
      </c>
    </row>
    <row r="1048" spans="1:24" s="169" customFormat="1" ht="13.8">
      <c r="A1048" s="193"/>
      <c r="B1048" s="187"/>
      <c r="C1048" s="183" t="str">
        <f t="shared" si="102"/>
        <v/>
      </c>
      <c r="D1048" s="182" t="str">
        <f t="shared" si="103"/>
        <v/>
      </c>
      <c r="E1048" s="192" t="s">
        <v>681</v>
      </c>
      <c r="F1048" s="192" t="s">
        <v>677</v>
      </c>
      <c r="G1048" s="192" t="s">
        <v>685</v>
      </c>
      <c r="H1048" s="210" t="s">
        <v>1440</v>
      </c>
      <c r="I1048" s="167">
        <v>855550000</v>
      </c>
      <c r="J1048" s="166"/>
      <c r="K1048" s="167">
        <v>855550000</v>
      </c>
      <c r="L1048" s="171"/>
      <c r="M1048" s="168">
        <f t="shared" si="104"/>
        <v>855550000</v>
      </c>
      <c r="N1048" s="171"/>
      <c r="O1048" s="167">
        <v>835347114</v>
      </c>
      <c r="P1048" s="167">
        <f t="shared" si="105"/>
        <v>835347114</v>
      </c>
      <c r="Q1048" s="167"/>
      <c r="S1048" s="201">
        <f t="shared" si="106"/>
        <v>855.55</v>
      </c>
      <c r="T1048" s="201">
        <f t="shared" si="101"/>
        <v>855.55</v>
      </c>
      <c r="U1048" s="201">
        <f t="shared" si="101"/>
        <v>0</v>
      </c>
      <c r="V1048" s="201">
        <f t="shared" si="101"/>
        <v>835.34711400000003</v>
      </c>
      <c r="W1048" s="201">
        <f t="shared" si="101"/>
        <v>835.34711400000003</v>
      </c>
      <c r="X1048" s="201">
        <f t="shared" si="101"/>
        <v>0</v>
      </c>
    </row>
    <row r="1049" spans="1:24" s="169" customFormat="1" ht="13.8">
      <c r="A1049" s="194"/>
      <c r="B1049" s="184"/>
      <c r="C1049" s="183" t="str">
        <f t="shared" si="102"/>
        <v/>
      </c>
      <c r="D1049" s="182" t="str">
        <f t="shared" si="103"/>
        <v/>
      </c>
      <c r="E1049" s="192" t="s">
        <v>679</v>
      </c>
      <c r="F1049" s="192" t="s">
        <v>677</v>
      </c>
      <c r="G1049" s="192" t="s">
        <v>685</v>
      </c>
      <c r="H1049" s="210" t="s">
        <v>1440</v>
      </c>
      <c r="I1049" s="167">
        <v>2986928000</v>
      </c>
      <c r="J1049" s="166"/>
      <c r="K1049" s="167">
        <v>2986928000</v>
      </c>
      <c r="L1049" s="171"/>
      <c r="M1049" s="168">
        <f t="shared" si="104"/>
        <v>2986928000</v>
      </c>
      <c r="N1049" s="171"/>
      <c r="O1049" s="167">
        <v>2772032000</v>
      </c>
      <c r="P1049" s="167">
        <f t="shared" si="105"/>
        <v>2772032000</v>
      </c>
      <c r="Q1049" s="167"/>
      <c r="S1049" s="201">
        <f t="shared" si="106"/>
        <v>2986.9279999999999</v>
      </c>
      <c r="T1049" s="201">
        <f t="shared" ref="T1049:X1099" si="107">M1049/1000000</f>
        <v>2986.9279999999999</v>
      </c>
      <c r="U1049" s="201">
        <f t="shared" si="107"/>
        <v>0</v>
      </c>
      <c r="V1049" s="201">
        <f t="shared" si="107"/>
        <v>2772.0320000000002</v>
      </c>
      <c r="W1049" s="201">
        <f t="shared" si="107"/>
        <v>2772.0320000000002</v>
      </c>
      <c r="X1049" s="201">
        <f t="shared" si="107"/>
        <v>0</v>
      </c>
    </row>
    <row r="1050" spans="1:24" s="169" customFormat="1" ht="13.8">
      <c r="A1050" s="195"/>
      <c r="B1050" s="188"/>
      <c r="C1050" s="183" t="str">
        <f t="shared" si="102"/>
        <v/>
      </c>
      <c r="D1050" s="182" t="str">
        <f t="shared" si="103"/>
        <v/>
      </c>
      <c r="E1050" s="192" t="s">
        <v>669</v>
      </c>
      <c r="F1050" s="192" t="s">
        <v>677</v>
      </c>
      <c r="G1050" s="192" t="s">
        <v>685</v>
      </c>
      <c r="H1050" s="210" t="s">
        <v>1440</v>
      </c>
      <c r="I1050" s="167">
        <v>494780000</v>
      </c>
      <c r="J1050" s="166"/>
      <c r="K1050" s="167">
        <v>479180000</v>
      </c>
      <c r="L1050" s="168">
        <v>15600000</v>
      </c>
      <c r="M1050" s="168">
        <f t="shared" si="104"/>
        <v>494780000</v>
      </c>
      <c r="N1050" s="168"/>
      <c r="O1050" s="167">
        <v>492830000</v>
      </c>
      <c r="P1050" s="167">
        <f t="shared" si="105"/>
        <v>492830000</v>
      </c>
      <c r="Q1050" s="167"/>
      <c r="S1050" s="201">
        <f t="shared" si="106"/>
        <v>494.78</v>
      </c>
      <c r="T1050" s="201">
        <f t="shared" si="107"/>
        <v>494.78</v>
      </c>
      <c r="U1050" s="201">
        <f t="shared" si="107"/>
        <v>0</v>
      </c>
      <c r="V1050" s="201">
        <f t="shared" si="107"/>
        <v>492.83</v>
      </c>
      <c r="W1050" s="201">
        <f t="shared" si="107"/>
        <v>492.83</v>
      </c>
      <c r="X1050" s="201">
        <f t="shared" si="107"/>
        <v>0</v>
      </c>
    </row>
    <row r="1051" spans="1:24" s="169" customFormat="1" ht="26.4">
      <c r="A1051" s="192" t="s">
        <v>1133</v>
      </c>
      <c r="B1051" s="165" t="s">
        <v>1134</v>
      </c>
      <c r="C1051" s="183" t="str">
        <f t="shared" si="102"/>
        <v>1063790</v>
      </c>
      <c r="D1051" s="182" t="str">
        <f t="shared" si="103"/>
        <v>-Ban Quản lý Rừng phòng hộ Đăk Ang</v>
      </c>
      <c r="E1051" s="206"/>
      <c r="F1051" s="207"/>
      <c r="G1051" s="207"/>
      <c r="H1051" s="205"/>
      <c r="I1051" s="167">
        <v>1899200000</v>
      </c>
      <c r="J1051" s="166"/>
      <c r="K1051" s="167">
        <v>1341000000</v>
      </c>
      <c r="L1051" s="168">
        <v>558200000</v>
      </c>
      <c r="M1051" s="168">
        <f t="shared" si="104"/>
        <v>1899200000</v>
      </c>
      <c r="N1051" s="168"/>
      <c r="O1051" s="167">
        <v>1898200000</v>
      </c>
      <c r="P1051" s="167">
        <f t="shared" si="105"/>
        <v>1898200000</v>
      </c>
      <c r="Q1051" s="167"/>
      <c r="S1051" s="201">
        <f t="shared" si="106"/>
        <v>1899.2</v>
      </c>
      <c r="T1051" s="201">
        <f t="shared" si="107"/>
        <v>1899.2</v>
      </c>
      <c r="U1051" s="201">
        <f t="shared" si="107"/>
        <v>0</v>
      </c>
      <c r="V1051" s="201">
        <f t="shared" si="107"/>
        <v>1898.2</v>
      </c>
      <c r="W1051" s="201">
        <f t="shared" si="107"/>
        <v>1898.2</v>
      </c>
      <c r="X1051" s="201">
        <f t="shared" si="107"/>
        <v>0</v>
      </c>
    </row>
    <row r="1052" spans="1:24" s="169" customFormat="1" ht="13.8">
      <c r="A1052" s="192" t="s">
        <v>1135</v>
      </c>
      <c r="B1052" s="170" t="s">
        <v>689</v>
      </c>
      <c r="C1052" s="183" t="str">
        <f t="shared" si="102"/>
        <v/>
      </c>
      <c r="D1052" s="182" t="str">
        <f t="shared" si="103"/>
        <v/>
      </c>
      <c r="E1052" s="206"/>
      <c r="F1052" s="207"/>
      <c r="G1052" s="207"/>
      <c r="H1052" s="205"/>
      <c r="I1052" s="167">
        <v>1374200000</v>
      </c>
      <c r="J1052" s="166"/>
      <c r="K1052" s="167">
        <v>1341000000</v>
      </c>
      <c r="L1052" s="168">
        <v>33200000</v>
      </c>
      <c r="M1052" s="168">
        <f t="shared" si="104"/>
        <v>1374200000</v>
      </c>
      <c r="N1052" s="168"/>
      <c r="O1052" s="167">
        <v>1374200000</v>
      </c>
      <c r="P1052" s="167">
        <f t="shared" si="105"/>
        <v>1374200000</v>
      </c>
      <c r="Q1052" s="167"/>
      <c r="S1052" s="201">
        <f t="shared" si="106"/>
        <v>1374.2</v>
      </c>
      <c r="T1052" s="201">
        <f t="shared" si="107"/>
        <v>1374.2</v>
      </c>
      <c r="U1052" s="201">
        <f t="shared" si="107"/>
        <v>0</v>
      </c>
      <c r="V1052" s="201">
        <f t="shared" si="107"/>
        <v>1374.2</v>
      </c>
      <c r="W1052" s="201">
        <f t="shared" si="107"/>
        <v>1374.2</v>
      </c>
      <c r="X1052" s="201">
        <f t="shared" si="107"/>
        <v>0</v>
      </c>
    </row>
    <row r="1053" spans="1:24" s="169" customFormat="1" ht="13.8">
      <c r="A1053" s="192"/>
      <c r="B1053" s="170" t="s">
        <v>686</v>
      </c>
      <c r="C1053" s="183" t="str">
        <f t="shared" si="102"/>
        <v/>
      </c>
      <c r="D1053" s="182" t="str">
        <f t="shared" si="103"/>
        <v/>
      </c>
      <c r="E1053" s="206"/>
      <c r="F1053" s="207"/>
      <c r="G1053" s="207"/>
      <c r="H1053" s="205"/>
      <c r="I1053" s="167">
        <v>1374200000</v>
      </c>
      <c r="J1053" s="166"/>
      <c r="K1053" s="167">
        <v>1341000000</v>
      </c>
      <c r="L1053" s="168">
        <v>33200000</v>
      </c>
      <c r="M1053" s="168">
        <f t="shared" si="104"/>
        <v>1374200000</v>
      </c>
      <c r="N1053" s="168"/>
      <c r="O1053" s="167">
        <v>1374200000</v>
      </c>
      <c r="P1053" s="167">
        <f t="shared" si="105"/>
        <v>1374200000</v>
      </c>
      <c r="Q1053" s="167"/>
      <c r="S1053" s="201">
        <f t="shared" si="106"/>
        <v>1374.2</v>
      </c>
      <c r="T1053" s="201">
        <f t="shared" si="107"/>
        <v>1374.2</v>
      </c>
      <c r="U1053" s="201">
        <f t="shared" si="107"/>
        <v>0</v>
      </c>
      <c r="V1053" s="201">
        <f t="shared" si="107"/>
        <v>1374.2</v>
      </c>
      <c r="W1053" s="201">
        <f t="shared" si="107"/>
        <v>1374.2</v>
      </c>
      <c r="X1053" s="201">
        <f t="shared" si="107"/>
        <v>0</v>
      </c>
    </row>
    <row r="1054" spans="1:24" s="169" customFormat="1" ht="13.8">
      <c r="A1054" s="193"/>
      <c r="B1054" s="187"/>
      <c r="C1054" s="183" t="str">
        <f t="shared" si="102"/>
        <v/>
      </c>
      <c r="D1054" s="182" t="str">
        <f t="shared" si="103"/>
        <v/>
      </c>
      <c r="E1054" s="192" t="s">
        <v>681</v>
      </c>
      <c r="F1054" s="192" t="s">
        <v>698</v>
      </c>
      <c r="G1054" s="192" t="s">
        <v>699</v>
      </c>
      <c r="H1054" s="210" t="s">
        <v>1440</v>
      </c>
      <c r="I1054" s="167">
        <v>1341000000</v>
      </c>
      <c r="J1054" s="166"/>
      <c r="K1054" s="167">
        <v>1341000000</v>
      </c>
      <c r="L1054" s="171"/>
      <c r="M1054" s="168">
        <f t="shared" si="104"/>
        <v>1341000000</v>
      </c>
      <c r="N1054" s="171"/>
      <c r="O1054" s="167">
        <v>1341000000</v>
      </c>
      <c r="P1054" s="167">
        <f t="shared" si="105"/>
        <v>1341000000</v>
      </c>
      <c r="Q1054" s="167"/>
      <c r="S1054" s="201">
        <f t="shared" si="106"/>
        <v>1341</v>
      </c>
      <c r="T1054" s="201">
        <f t="shared" si="107"/>
        <v>1341</v>
      </c>
      <c r="U1054" s="201">
        <f t="shared" si="107"/>
        <v>0</v>
      </c>
      <c r="V1054" s="201">
        <f t="shared" si="107"/>
        <v>1341</v>
      </c>
      <c r="W1054" s="201">
        <f t="shared" si="107"/>
        <v>1341</v>
      </c>
      <c r="X1054" s="201">
        <f t="shared" si="107"/>
        <v>0</v>
      </c>
    </row>
    <row r="1055" spans="1:24" s="169" customFormat="1" ht="13.8">
      <c r="A1055" s="195"/>
      <c r="B1055" s="188"/>
      <c r="C1055" s="183" t="str">
        <f t="shared" si="102"/>
        <v/>
      </c>
      <c r="D1055" s="182" t="str">
        <f t="shared" si="103"/>
        <v/>
      </c>
      <c r="E1055" s="192" t="s">
        <v>679</v>
      </c>
      <c r="F1055" s="192" t="s">
        <v>698</v>
      </c>
      <c r="G1055" s="192" t="s">
        <v>699</v>
      </c>
      <c r="H1055" s="210" t="s">
        <v>1440</v>
      </c>
      <c r="I1055" s="167">
        <v>33200000</v>
      </c>
      <c r="J1055" s="166"/>
      <c r="K1055" s="166"/>
      <c r="L1055" s="168">
        <v>33200000</v>
      </c>
      <c r="M1055" s="168">
        <f t="shared" si="104"/>
        <v>33200000</v>
      </c>
      <c r="N1055" s="168"/>
      <c r="O1055" s="167">
        <v>33200000</v>
      </c>
      <c r="P1055" s="167">
        <f t="shared" si="105"/>
        <v>33200000</v>
      </c>
      <c r="Q1055" s="167"/>
      <c r="S1055" s="201">
        <f t="shared" si="106"/>
        <v>33.200000000000003</v>
      </c>
      <c r="T1055" s="201">
        <f t="shared" si="107"/>
        <v>33.200000000000003</v>
      </c>
      <c r="U1055" s="201">
        <f t="shared" si="107"/>
        <v>0</v>
      </c>
      <c r="V1055" s="201">
        <f t="shared" si="107"/>
        <v>33.200000000000003</v>
      </c>
      <c r="W1055" s="201">
        <f t="shared" si="107"/>
        <v>33.200000000000003</v>
      </c>
      <c r="X1055" s="201">
        <f t="shared" si="107"/>
        <v>0</v>
      </c>
    </row>
    <row r="1056" spans="1:24" s="169" customFormat="1" ht="13.8">
      <c r="A1056" s="192" t="s">
        <v>1136</v>
      </c>
      <c r="B1056" s="170" t="s">
        <v>701</v>
      </c>
      <c r="C1056" s="183" t="str">
        <f t="shared" si="102"/>
        <v/>
      </c>
      <c r="D1056" s="182" t="str">
        <f t="shared" si="103"/>
        <v/>
      </c>
      <c r="E1056" s="206"/>
      <c r="F1056" s="207"/>
      <c r="G1056" s="207"/>
      <c r="H1056" s="205"/>
      <c r="I1056" s="167">
        <v>525000000</v>
      </c>
      <c r="J1056" s="166"/>
      <c r="K1056" s="166"/>
      <c r="L1056" s="168">
        <v>525000000</v>
      </c>
      <c r="M1056" s="168">
        <f t="shared" si="104"/>
        <v>525000000</v>
      </c>
      <c r="N1056" s="168"/>
      <c r="O1056" s="167">
        <v>524000000</v>
      </c>
      <c r="P1056" s="167">
        <f t="shared" si="105"/>
        <v>524000000</v>
      </c>
      <c r="Q1056" s="167"/>
      <c r="S1056" s="201">
        <f t="shared" si="106"/>
        <v>525</v>
      </c>
      <c r="T1056" s="201">
        <f t="shared" si="107"/>
        <v>525</v>
      </c>
      <c r="U1056" s="201">
        <f t="shared" si="107"/>
        <v>0</v>
      </c>
      <c r="V1056" s="201">
        <f t="shared" si="107"/>
        <v>524</v>
      </c>
      <c r="W1056" s="201">
        <f t="shared" si="107"/>
        <v>524</v>
      </c>
      <c r="X1056" s="201">
        <f t="shared" si="107"/>
        <v>0</v>
      </c>
    </row>
    <row r="1057" spans="1:24" s="169" customFormat="1" ht="13.8">
      <c r="A1057" s="192"/>
      <c r="B1057" s="173"/>
      <c r="C1057" s="183" t="str">
        <f t="shared" si="102"/>
        <v/>
      </c>
      <c r="D1057" s="182" t="str">
        <f t="shared" si="103"/>
        <v/>
      </c>
      <c r="E1057" s="192"/>
      <c r="F1057" s="192"/>
      <c r="G1057" s="192"/>
      <c r="H1057" s="210"/>
      <c r="I1057" s="174"/>
      <c r="J1057" s="174"/>
      <c r="K1057" s="174"/>
      <c r="L1057" s="175"/>
      <c r="M1057" s="168">
        <f t="shared" si="104"/>
        <v>0</v>
      </c>
      <c r="N1057" s="175"/>
      <c r="O1057" s="174"/>
      <c r="P1057" s="167">
        <f t="shared" si="105"/>
        <v>0</v>
      </c>
      <c r="Q1057" s="174"/>
      <c r="S1057" s="201">
        <f t="shared" si="106"/>
        <v>0</v>
      </c>
      <c r="T1057" s="201">
        <f t="shared" si="107"/>
        <v>0</v>
      </c>
      <c r="U1057" s="201">
        <f t="shared" si="107"/>
        <v>0</v>
      </c>
      <c r="V1057" s="201">
        <f t="shared" si="107"/>
        <v>0</v>
      </c>
      <c r="W1057" s="201">
        <f t="shared" si="107"/>
        <v>0</v>
      </c>
      <c r="X1057" s="201">
        <f t="shared" si="107"/>
        <v>0</v>
      </c>
    </row>
    <row r="1058" spans="1:24" s="169" customFormat="1" ht="13.8">
      <c r="A1058" s="192"/>
      <c r="B1058" s="164"/>
      <c r="C1058" s="183" t="str">
        <f t="shared" si="102"/>
        <v/>
      </c>
      <c r="D1058" s="182" t="str">
        <f t="shared" si="103"/>
        <v/>
      </c>
      <c r="E1058" s="192" t="s">
        <v>667</v>
      </c>
      <c r="F1058" s="192" t="s">
        <v>698</v>
      </c>
      <c r="G1058" s="192" t="s">
        <v>699</v>
      </c>
      <c r="H1058" s="210" t="s">
        <v>1441</v>
      </c>
      <c r="I1058" s="167">
        <v>525000000</v>
      </c>
      <c r="J1058" s="166"/>
      <c r="K1058" s="166"/>
      <c r="L1058" s="168">
        <v>525000000</v>
      </c>
      <c r="M1058" s="168">
        <f t="shared" si="104"/>
        <v>525000000</v>
      </c>
      <c r="N1058" s="168"/>
      <c r="O1058" s="167">
        <v>524000000</v>
      </c>
      <c r="P1058" s="167">
        <f t="shared" si="105"/>
        <v>524000000</v>
      </c>
      <c r="Q1058" s="167"/>
      <c r="S1058" s="201">
        <f t="shared" si="106"/>
        <v>525</v>
      </c>
      <c r="T1058" s="201">
        <f t="shared" si="107"/>
        <v>525</v>
      </c>
      <c r="U1058" s="201">
        <f t="shared" si="107"/>
        <v>0</v>
      </c>
      <c r="V1058" s="201">
        <f t="shared" si="107"/>
        <v>524</v>
      </c>
      <c r="W1058" s="201">
        <f t="shared" si="107"/>
        <v>524</v>
      </c>
      <c r="X1058" s="201">
        <f t="shared" si="107"/>
        <v>0</v>
      </c>
    </row>
    <row r="1059" spans="1:24" s="169" customFormat="1" ht="26.4">
      <c r="A1059" s="192" t="s">
        <v>1137</v>
      </c>
      <c r="B1059" s="176" t="s">
        <v>1138</v>
      </c>
      <c r="C1059" s="183" t="str">
        <f t="shared" si="102"/>
        <v>1063795</v>
      </c>
      <c r="D1059" s="182" t="str">
        <f t="shared" si="103"/>
        <v>-SỜ Thông tin và TruyỄn rhông</v>
      </c>
      <c r="E1059" s="206"/>
      <c r="F1059" s="207"/>
      <c r="G1059" s="207"/>
      <c r="H1059" s="205"/>
      <c r="I1059" s="167">
        <v>10529498297</v>
      </c>
      <c r="J1059" s="167">
        <v>200033297</v>
      </c>
      <c r="K1059" s="167">
        <v>6519000000</v>
      </c>
      <c r="L1059" s="168">
        <v>3810465000</v>
      </c>
      <c r="M1059" s="168">
        <f t="shared" si="104"/>
        <v>10529498297</v>
      </c>
      <c r="N1059" s="168"/>
      <c r="O1059" s="167">
        <v>9091095731</v>
      </c>
      <c r="P1059" s="167">
        <f t="shared" si="105"/>
        <v>9091095731</v>
      </c>
      <c r="Q1059" s="167"/>
      <c r="S1059" s="201">
        <f t="shared" si="106"/>
        <v>10529.498297</v>
      </c>
      <c r="T1059" s="201">
        <f t="shared" si="107"/>
        <v>10529.498297</v>
      </c>
      <c r="U1059" s="201">
        <f t="shared" si="107"/>
        <v>0</v>
      </c>
      <c r="V1059" s="201">
        <f t="shared" si="107"/>
        <v>9091.0957309999994</v>
      </c>
      <c r="W1059" s="201">
        <f t="shared" si="107"/>
        <v>9091.0957309999994</v>
      </c>
      <c r="X1059" s="201">
        <f t="shared" si="107"/>
        <v>0</v>
      </c>
    </row>
    <row r="1060" spans="1:24" s="169" customFormat="1" ht="13.8">
      <c r="A1060" s="192" t="s">
        <v>1139</v>
      </c>
      <c r="B1060" s="164" t="s">
        <v>675</v>
      </c>
      <c r="C1060" s="183" t="str">
        <f t="shared" si="102"/>
        <v/>
      </c>
      <c r="D1060" s="182" t="str">
        <f t="shared" si="103"/>
        <v/>
      </c>
      <c r="E1060" s="206"/>
      <c r="F1060" s="207"/>
      <c r="G1060" s="207"/>
      <c r="H1060" s="205"/>
      <c r="I1060" s="167">
        <v>10165498297</v>
      </c>
      <c r="J1060" s="167">
        <v>33297</v>
      </c>
      <c r="K1060" s="167">
        <v>6519000000</v>
      </c>
      <c r="L1060" s="168">
        <v>3646465000</v>
      </c>
      <c r="M1060" s="168">
        <f t="shared" si="104"/>
        <v>10165498297</v>
      </c>
      <c r="N1060" s="168"/>
      <c r="O1060" s="167">
        <v>8755885235</v>
      </c>
      <c r="P1060" s="167">
        <f t="shared" si="105"/>
        <v>8755885235</v>
      </c>
      <c r="Q1060" s="167"/>
      <c r="S1060" s="201">
        <f t="shared" si="106"/>
        <v>10165.498297</v>
      </c>
      <c r="T1060" s="201">
        <f t="shared" si="107"/>
        <v>10165.498297</v>
      </c>
      <c r="U1060" s="201">
        <f t="shared" si="107"/>
        <v>0</v>
      </c>
      <c r="V1060" s="201">
        <f t="shared" si="107"/>
        <v>8755.8852349999997</v>
      </c>
      <c r="W1060" s="201">
        <f t="shared" si="107"/>
        <v>8755.8852349999997</v>
      </c>
      <c r="X1060" s="201">
        <f t="shared" si="107"/>
        <v>0</v>
      </c>
    </row>
    <row r="1061" spans="1:24" s="169" customFormat="1" ht="13.8">
      <c r="A1061" s="192"/>
      <c r="B1061" s="164" t="s">
        <v>676</v>
      </c>
      <c r="C1061" s="183" t="str">
        <f t="shared" si="102"/>
        <v/>
      </c>
      <c r="D1061" s="182" t="str">
        <f t="shared" si="103"/>
        <v/>
      </c>
      <c r="E1061" s="206"/>
      <c r="F1061" s="207"/>
      <c r="G1061" s="207"/>
      <c r="H1061" s="205"/>
      <c r="I1061" s="167">
        <v>2779833297</v>
      </c>
      <c r="J1061" s="167">
        <v>33297</v>
      </c>
      <c r="K1061" s="167">
        <v>2711000000</v>
      </c>
      <c r="L1061" s="168">
        <v>68800000</v>
      </c>
      <c r="M1061" s="168">
        <f t="shared" si="104"/>
        <v>2779833297</v>
      </c>
      <c r="N1061" s="168"/>
      <c r="O1061" s="167">
        <v>2779833297</v>
      </c>
      <c r="P1061" s="167">
        <f t="shared" si="105"/>
        <v>2779833297</v>
      </c>
      <c r="Q1061" s="167"/>
      <c r="S1061" s="201">
        <f t="shared" si="106"/>
        <v>2779.8332970000001</v>
      </c>
      <c r="T1061" s="201">
        <f t="shared" si="107"/>
        <v>2779.8332970000001</v>
      </c>
      <c r="U1061" s="201">
        <f t="shared" si="107"/>
        <v>0</v>
      </c>
      <c r="V1061" s="201">
        <f t="shared" si="107"/>
        <v>2779.8332970000001</v>
      </c>
      <c r="W1061" s="201">
        <f t="shared" si="107"/>
        <v>2779.8332970000001</v>
      </c>
      <c r="X1061" s="201">
        <f t="shared" si="107"/>
        <v>0</v>
      </c>
    </row>
    <row r="1062" spans="1:24" s="169" customFormat="1" ht="13.8">
      <c r="A1062" s="193"/>
      <c r="B1062" s="187"/>
      <c r="C1062" s="183" t="str">
        <f t="shared" si="102"/>
        <v/>
      </c>
      <c r="D1062" s="182" t="str">
        <f t="shared" si="103"/>
        <v/>
      </c>
      <c r="E1062" s="192" t="s">
        <v>666</v>
      </c>
      <c r="F1062" s="192" t="s">
        <v>1140</v>
      </c>
      <c r="G1062" s="192" t="s">
        <v>695</v>
      </c>
      <c r="H1062" s="210" t="s">
        <v>1440</v>
      </c>
      <c r="I1062" s="167">
        <v>2711000000</v>
      </c>
      <c r="J1062" s="166"/>
      <c r="K1062" s="167">
        <v>2711000000</v>
      </c>
      <c r="L1062" s="171"/>
      <c r="M1062" s="168">
        <f t="shared" si="104"/>
        <v>2711000000</v>
      </c>
      <c r="N1062" s="171"/>
      <c r="O1062" s="167">
        <v>2711000000</v>
      </c>
      <c r="P1062" s="167">
        <f t="shared" si="105"/>
        <v>2711000000</v>
      </c>
      <c r="Q1062" s="167"/>
      <c r="S1062" s="201">
        <f t="shared" si="106"/>
        <v>2711</v>
      </c>
      <c r="T1062" s="201">
        <f t="shared" si="107"/>
        <v>2711</v>
      </c>
      <c r="U1062" s="201">
        <f t="shared" si="107"/>
        <v>0</v>
      </c>
      <c r="V1062" s="201">
        <f t="shared" si="107"/>
        <v>2711</v>
      </c>
      <c r="W1062" s="201">
        <f t="shared" si="107"/>
        <v>2711</v>
      </c>
      <c r="X1062" s="201">
        <f t="shared" si="107"/>
        <v>0</v>
      </c>
    </row>
    <row r="1063" spans="1:24" s="169" customFormat="1" ht="13.8">
      <c r="A1063" s="195"/>
      <c r="B1063" s="188"/>
      <c r="C1063" s="183" t="str">
        <f t="shared" si="102"/>
        <v/>
      </c>
      <c r="D1063" s="182" t="str">
        <f t="shared" si="103"/>
        <v/>
      </c>
      <c r="E1063" s="192" t="s">
        <v>679</v>
      </c>
      <c r="F1063" s="192" t="s">
        <v>1140</v>
      </c>
      <c r="G1063" s="192" t="s">
        <v>695</v>
      </c>
      <c r="H1063" s="210" t="s">
        <v>1440</v>
      </c>
      <c r="I1063" s="167">
        <v>68833297</v>
      </c>
      <c r="J1063" s="167">
        <v>33297</v>
      </c>
      <c r="K1063" s="166"/>
      <c r="L1063" s="168">
        <v>68800000</v>
      </c>
      <c r="M1063" s="168">
        <f t="shared" si="104"/>
        <v>68833297</v>
      </c>
      <c r="N1063" s="168"/>
      <c r="O1063" s="167">
        <v>68833297</v>
      </c>
      <c r="P1063" s="167">
        <f t="shared" si="105"/>
        <v>68833297</v>
      </c>
      <c r="Q1063" s="167"/>
      <c r="S1063" s="201">
        <f t="shared" si="106"/>
        <v>68.833297000000002</v>
      </c>
      <c r="T1063" s="201">
        <f t="shared" si="107"/>
        <v>68.833297000000002</v>
      </c>
      <c r="U1063" s="201">
        <f t="shared" si="107"/>
        <v>0</v>
      </c>
      <c r="V1063" s="201">
        <f t="shared" si="107"/>
        <v>68.833297000000002</v>
      </c>
      <c r="W1063" s="201">
        <f t="shared" si="107"/>
        <v>68.833297000000002</v>
      </c>
      <c r="X1063" s="201">
        <f t="shared" si="107"/>
        <v>0</v>
      </c>
    </row>
    <row r="1064" spans="1:24" s="169" customFormat="1" ht="13.8">
      <c r="A1064" s="192"/>
      <c r="B1064" s="164" t="s">
        <v>680</v>
      </c>
      <c r="C1064" s="183" t="str">
        <f t="shared" si="102"/>
        <v/>
      </c>
      <c r="D1064" s="182" t="str">
        <f t="shared" si="103"/>
        <v/>
      </c>
      <c r="E1064" s="206"/>
      <c r="F1064" s="207"/>
      <c r="G1064" s="207"/>
      <c r="H1064" s="205"/>
      <c r="I1064" s="167">
        <v>7385665000</v>
      </c>
      <c r="J1064" s="166"/>
      <c r="K1064" s="167">
        <v>3808000000</v>
      </c>
      <c r="L1064" s="168">
        <v>3577665000</v>
      </c>
      <c r="M1064" s="168">
        <f t="shared" si="104"/>
        <v>7385665000</v>
      </c>
      <c r="N1064" s="168"/>
      <c r="O1064" s="167">
        <v>5976051938</v>
      </c>
      <c r="P1064" s="167">
        <f t="shared" si="105"/>
        <v>5976051938</v>
      </c>
      <c r="Q1064" s="167"/>
      <c r="S1064" s="201">
        <f t="shared" si="106"/>
        <v>7385.665</v>
      </c>
      <c r="T1064" s="201">
        <f t="shared" si="107"/>
        <v>7385.665</v>
      </c>
      <c r="U1064" s="201">
        <f t="shared" si="107"/>
        <v>0</v>
      </c>
      <c r="V1064" s="201">
        <f t="shared" si="107"/>
        <v>5976.0519379999996</v>
      </c>
      <c r="W1064" s="201">
        <f t="shared" si="107"/>
        <v>5976.0519379999996</v>
      </c>
      <c r="X1064" s="201">
        <f t="shared" si="107"/>
        <v>0</v>
      </c>
    </row>
    <row r="1065" spans="1:24" s="169" customFormat="1" ht="13.8">
      <c r="A1065" s="193"/>
      <c r="B1065" s="187"/>
      <c r="C1065" s="183" t="str">
        <f t="shared" si="102"/>
        <v/>
      </c>
      <c r="D1065" s="182" t="str">
        <f t="shared" si="103"/>
        <v/>
      </c>
      <c r="E1065" s="192" t="s">
        <v>681</v>
      </c>
      <c r="F1065" s="192" t="s">
        <v>1140</v>
      </c>
      <c r="G1065" s="192" t="s">
        <v>1141</v>
      </c>
      <c r="H1065" s="210" t="s">
        <v>1440</v>
      </c>
      <c r="I1065" s="167">
        <v>130000000</v>
      </c>
      <c r="J1065" s="166"/>
      <c r="K1065" s="167">
        <v>130000000</v>
      </c>
      <c r="L1065" s="171"/>
      <c r="M1065" s="168">
        <f t="shared" si="104"/>
        <v>130000000</v>
      </c>
      <c r="N1065" s="171"/>
      <c r="O1065" s="167">
        <v>108192000</v>
      </c>
      <c r="P1065" s="167">
        <f t="shared" si="105"/>
        <v>108192000</v>
      </c>
      <c r="Q1065" s="167"/>
      <c r="S1065" s="201">
        <f t="shared" si="106"/>
        <v>130</v>
      </c>
      <c r="T1065" s="201">
        <f t="shared" si="107"/>
        <v>130</v>
      </c>
      <c r="U1065" s="201">
        <f t="shared" si="107"/>
        <v>0</v>
      </c>
      <c r="V1065" s="201">
        <f t="shared" si="107"/>
        <v>108.19199999999999</v>
      </c>
      <c r="W1065" s="201">
        <f t="shared" si="107"/>
        <v>108.19199999999999</v>
      </c>
      <c r="X1065" s="201">
        <f t="shared" si="107"/>
        <v>0</v>
      </c>
    </row>
    <row r="1066" spans="1:24" s="169" customFormat="1" ht="13.8">
      <c r="A1066" s="194"/>
      <c r="B1066" s="184"/>
      <c r="C1066" s="183" t="str">
        <f t="shared" si="102"/>
        <v/>
      </c>
      <c r="D1066" s="182" t="str">
        <f t="shared" si="103"/>
        <v/>
      </c>
      <c r="E1066" s="192" t="s">
        <v>681</v>
      </c>
      <c r="F1066" s="192" t="s">
        <v>1140</v>
      </c>
      <c r="G1066" s="192" t="s">
        <v>1142</v>
      </c>
      <c r="H1066" s="210" t="s">
        <v>1440</v>
      </c>
      <c r="I1066" s="167">
        <v>197000000</v>
      </c>
      <c r="J1066" s="166"/>
      <c r="K1066" s="167">
        <v>179000000</v>
      </c>
      <c r="L1066" s="168">
        <v>18000000</v>
      </c>
      <c r="M1066" s="168">
        <f t="shared" si="104"/>
        <v>197000000</v>
      </c>
      <c r="N1066" s="168"/>
      <c r="O1066" s="167">
        <v>187360000</v>
      </c>
      <c r="P1066" s="167">
        <f t="shared" si="105"/>
        <v>187360000</v>
      </c>
      <c r="Q1066" s="167"/>
      <c r="S1066" s="201">
        <f t="shared" si="106"/>
        <v>197</v>
      </c>
      <c r="T1066" s="201">
        <f t="shared" si="107"/>
        <v>197</v>
      </c>
      <c r="U1066" s="201">
        <f t="shared" si="107"/>
        <v>0</v>
      </c>
      <c r="V1066" s="201">
        <f t="shared" si="107"/>
        <v>187.36</v>
      </c>
      <c r="W1066" s="201">
        <f t="shared" si="107"/>
        <v>187.36</v>
      </c>
      <c r="X1066" s="201">
        <f t="shared" si="107"/>
        <v>0</v>
      </c>
    </row>
    <row r="1067" spans="1:24" s="169" customFormat="1" ht="13.8">
      <c r="A1067" s="194"/>
      <c r="B1067" s="184"/>
      <c r="C1067" s="183" t="str">
        <f t="shared" si="102"/>
        <v/>
      </c>
      <c r="D1067" s="182" t="str">
        <f t="shared" si="103"/>
        <v/>
      </c>
      <c r="E1067" s="192" t="s">
        <v>681</v>
      </c>
      <c r="F1067" s="192" t="s">
        <v>1140</v>
      </c>
      <c r="G1067" s="192" t="s">
        <v>1143</v>
      </c>
      <c r="H1067" s="210" t="s">
        <v>1440</v>
      </c>
      <c r="I1067" s="167">
        <v>745000000</v>
      </c>
      <c r="J1067" s="166"/>
      <c r="K1067" s="167">
        <v>490000000</v>
      </c>
      <c r="L1067" s="168">
        <v>255000000</v>
      </c>
      <c r="M1067" s="168">
        <f t="shared" si="104"/>
        <v>745000000</v>
      </c>
      <c r="N1067" s="168"/>
      <c r="O1067" s="167">
        <v>387962613</v>
      </c>
      <c r="P1067" s="167">
        <f t="shared" si="105"/>
        <v>387962613</v>
      </c>
      <c r="Q1067" s="167"/>
      <c r="S1067" s="201">
        <f t="shared" si="106"/>
        <v>745</v>
      </c>
      <c r="T1067" s="201">
        <f t="shared" si="107"/>
        <v>745</v>
      </c>
      <c r="U1067" s="201">
        <f t="shared" si="107"/>
        <v>0</v>
      </c>
      <c r="V1067" s="201">
        <f t="shared" si="107"/>
        <v>387.96261299999998</v>
      </c>
      <c r="W1067" s="201">
        <f t="shared" si="107"/>
        <v>387.96261299999998</v>
      </c>
      <c r="X1067" s="201">
        <f t="shared" si="107"/>
        <v>0</v>
      </c>
    </row>
    <row r="1068" spans="1:24" s="169" customFormat="1" ht="13.8">
      <c r="A1068" s="194"/>
      <c r="B1068" s="184"/>
      <c r="C1068" s="183" t="str">
        <f t="shared" si="102"/>
        <v/>
      </c>
      <c r="D1068" s="182" t="str">
        <f t="shared" si="103"/>
        <v/>
      </c>
      <c r="E1068" s="192" t="s">
        <v>681</v>
      </c>
      <c r="F1068" s="192" t="s">
        <v>1140</v>
      </c>
      <c r="G1068" s="192" t="s">
        <v>1144</v>
      </c>
      <c r="H1068" s="210" t="s">
        <v>1440</v>
      </c>
      <c r="I1068" s="167">
        <v>5739000000</v>
      </c>
      <c r="J1068" s="166"/>
      <c r="K1068" s="167">
        <v>2490000000</v>
      </c>
      <c r="L1068" s="168">
        <v>3249000000</v>
      </c>
      <c r="M1068" s="168">
        <f t="shared" si="104"/>
        <v>5739000000</v>
      </c>
      <c r="N1068" s="168"/>
      <c r="O1068" s="167">
        <v>4761612000</v>
      </c>
      <c r="P1068" s="167">
        <f t="shared" si="105"/>
        <v>4761612000</v>
      </c>
      <c r="Q1068" s="167"/>
      <c r="S1068" s="201">
        <f t="shared" si="106"/>
        <v>5739</v>
      </c>
      <c r="T1068" s="201">
        <f t="shared" si="107"/>
        <v>5739</v>
      </c>
      <c r="U1068" s="201">
        <f t="shared" si="107"/>
        <v>0</v>
      </c>
      <c r="V1068" s="201">
        <f t="shared" si="107"/>
        <v>4761.6120000000001</v>
      </c>
      <c r="W1068" s="201">
        <f t="shared" si="107"/>
        <v>4761.6120000000001</v>
      </c>
      <c r="X1068" s="201">
        <f t="shared" si="107"/>
        <v>0</v>
      </c>
    </row>
    <row r="1069" spans="1:24" s="169" customFormat="1" ht="13.8">
      <c r="A1069" s="194"/>
      <c r="B1069" s="184"/>
      <c r="C1069" s="183" t="str">
        <f t="shared" si="102"/>
        <v/>
      </c>
      <c r="D1069" s="182" t="str">
        <f t="shared" si="103"/>
        <v/>
      </c>
      <c r="E1069" s="192" t="s">
        <v>681</v>
      </c>
      <c r="F1069" s="192" t="s">
        <v>1140</v>
      </c>
      <c r="G1069" s="192" t="s">
        <v>695</v>
      </c>
      <c r="H1069" s="210" t="s">
        <v>1440</v>
      </c>
      <c r="I1069" s="167">
        <v>107000000</v>
      </c>
      <c r="J1069" s="166"/>
      <c r="K1069" s="167">
        <v>89000000</v>
      </c>
      <c r="L1069" s="168">
        <v>18000000</v>
      </c>
      <c r="M1069" s="168">
        <f t="shared" si="104"/>
        <v>107000000</v>
      </c>
      <c r="N1069" s="168"/>
      <c r="O1069" s="167">
        <v>95068600</v>
      </c>
      <c r="P1069" s="167">
        <f t="shared" si="105"/>
        <v>95068600</v>
      </c>
      <c r="Q1069" s="167"/>
      <c r="S1069" s="201">
        <f t="shared" si="106"/>
        <v>107</v>
      </c>
      <c r="T1069" s="201">
        <f t="shared" si="107"/>
        <v>107</v>
      </c>
      <c r="U1069" s="201">
        <f t="shared" si="107"/>
        <v>0</v>
      </c>
      <c r="V1069" s="201">
        <f t="shared" si="107"/>
        <v>95.068600000000004</v>
      </c>
      <c r="W1069" s="201">
        <f t="shared" si="107"/>
        <v>95.068600000000004</v>
      </c>
      <c r="X1069" s="201">
        <f t="shared" si="107"/>
        <v>0</v>
      </c>
    </row>
    <row r="1070" spans="1:24" s="169" customFormat="1" ht="13.8">
      <c r="A1070" s="194"/>
      <c r="B1070" s="184"/>
      <c r="C1070" s="183" t="str">
        <f t="shared" si="102"/>
        <v/>
      </c>
      <c r="D1070" s="182" t="str">
        <f t="shared" si="103"/>
        <v/>
      </c>
      <c r="E1070" s="192" t="s">
        <v>681</v>
      </c>
      <c r="F1070" s="192" t="s">
        <v>1140</v>
      </c>
      <c r="G1070" s="192" t="s">
        <v>915</v>
      </c>
      <c r="H1070" s="210" t="s">
        <v>1440</v>
      </c>
      <c r="I1070" s="167">
        <v>37665000</v>
      </c>
      <c r="J1070" s="166"/>
      <c r="K1070" s="166"/>
      <c r="L1070" s="168">
        <v>37665000</v>
      </c>
      <c r="M1070" s="168">
        <f t="shared" si="104"/>
        <v>37665000</v>
      </c>
      <c r="N1070" s="168"/>
      <c r="O1070" s="167">
        <v>37665000</v>
      </c>
      <c r="P1070" s="167">
        <f t="shared" si="105"/>
        <v>37665000</v>
      </c>
      <c r="Q1070" s="167"/>
      <c r="S1070" s="201">
        <f t="shared" si="106"/>
        <v>37.664999999999999</v>
      </c>
      <c r="T1070" s="201">
        <f t="shared" si="107"/>
        <v>37.664999999999999</v>
      </c>
      <c r="U1070" s="201">
        <f t="shared" si="107"/>
        <v>0</v>
      </c>
      <c r="V1070" s="201">
        <f t="shared" si="107"/>
        <v>37.664999999999999</v>
      </c>
      <c r="W1070" s="201">
        <f t="shared" si="107"/>
        <v>37.664999999999999</v>
      </c>
      <c r="X1070" s="201">
        <f t="shared" si="107"/>
        <v>0</v>
      </c>
    </row>
    <row r="1071" spans="1:24" s="169" customFormat="1" ht="13.8">
      <c r="A1071" s="194"/>
      <c r="B1071" s="184"/>
      <c r="C1071" s="183" t="str">
        <f t="shared" si="102"/>
        <v/>
      </c>
      <c r="D1071" s="182" t="str">
        <f t="shared" si="103"/>
        <v/>
      </c>
      <c r="E1071" s="192" t="s">
        <v>681</v>
      </c>
      <c r="F1071" s="192" t="s">
        <v>1140</v>
      </c>
      <c r="G1071" s="192" t="s">
        <v>865</v>
      </c>
      <c r="H1071" s="210" t="s">
        <v>1440</v>
      </c>
      <c r="I1071" s="167">
        <v>350000000</v>
      </c>
      <c r="J1071" s="166"/>
      <c r="K1071" s="167">
        <v>350000000</v>
      </c>
      <c r="L1071" s="171"/>
      <c r="M1071" s="168">
        <f t="shared" si="104"/>
        <v>350000000</v>
      </c>
      <c r="N1071" s="171"/>
      <c r="O1071" s="167">
        <v>319934200</v>
      </c>
      <c r="P1071" s="167">
        <f t="shared" si="105"/>
        <v>319934200</v>
      </c>
      <c r="Q1071" s="167"/>
      <c r="S1071" s="201">
        <f t="shared" si="106"/>
        <v>350</v>
      </c>
      <c r="T1071" s="201">
        <f t="shared" si="107"/>
        <v>350</v>
      </c>
      <c r="U1071" s="201">
        <f t="shared" si="107"/>
        <v>0</v>
      </c>
      <c r="V1071" s="201">
        <f t="shared" si="107"/>
        <v>319.93419999999998</v>
      </c>
      <c r="W1071" s="201">
        <f t="shared" si="107"/>
        <v>319.93419999999998</v>
      </c>
      <c r="X1071" s="201">
        <f t="shared" si="107"/>
        <v>0</v>
      </c>
    </row>
    <row r="1072" spans="1:24" s="169" customFormat="1" ht="13.8">
      <c r="A1072" s="195"/>
      <c r="B1072" s="188"/>
      <c r="C1072" s="183" t="str">
        <f t="shared" si="102"/>
        <v/>
      </c>
      <c r="D1072" s="182" t="str">
        <f t="shared" si="103"/>
        <v/>
      </c>
      <c r="E1072" s="192" t="s">
        <v>681</v>
      </c>
      <c r="F1072" s="192" t="s">
        <v>1140</v>
      </c>
      <c r="G1072" s="192" t="s">
        <v>872</v>
      </c>
      <c r="H1072" s="210" t="s">
        <v>1440</v>
      </c>
      <c r="I1072" s="167">
        <v>80000000</v>
      </c>
      <c r="J1072" s="166"/>
      <c r="K1072" s="167">
        <v>80000000</v>
      </c>
      <c r="L1072" s="171"/>
      <c r="M1072" s="168">
        <f t="shared" si="104"/>
        <v>80000000</v>
      </c>
      <c r="N1072" s="171"/>
      <c r="O1072" s="167">
        <v>78257525</v>
      </c>
      <c r="P1072" s="167">
        <f t="shared" si="105"/>
        <v>78257525</v>
      </c>
      <c r="Q1072" s="167"/>
      <c r="S1072" s="201">
        <f t="shared" si="106"/>
        <v>80</v>
      </c>
      <c r="T1072" s="201">
        <f t="shared" si="107"/>
        <v>80</v>
      </c>
      <c r="U1072" s="201">
        <f t="shared" si="107"/>
        <v>0</v>
      </c>
      <c r="V1072" s="201">
        <f t="shared" si="107"/>
        <v>78.257525000000001</v>
      </c>
      <c r="W1072" s="201">
        <f t="shared" si="107"/>
        <v>78.257525000000001</v>
      </c>
      <c r="X1072" s="201">
        <f t="shared" si="107"/>
        <v>0</v>
      </c>
    </row>
    <row r="1073" spans="1:24" s="169" customFormat="1" ht="13.8">
      <c r="A1073" s="192" t="s">
        <v>1145</v>
      </c>
      <c r="B1073" s="164" t="s">
        <v>731</v>
      </c>
      <c r="C1073" s="183" t="str">
        <f t="shared" si="102"/>
        <v/>
      </c>
      <c r="D1073" s="182" t="str">
        <f t="shared" si="103"/>
        <v/>
      </c>
      <c r="E1073" s="206"/>
      <c r="F1073" s="207"/>
      <c r="G1073" s="207"/>
      <c r="H1073" s="205"/>
      <c r="I1073" s="167">
        <v>364000000</v>
      </c>
      <c r="J1073" s="167">
        <v>200000000</v>
      </c>
      <c r="K1073" s="166"/>
      <c r="L1073" s="168">
        <v>164000000</v>
      </c>
      <c r="M1073" s="168">
        <f t="shared" si="104"/>
        <v>364000000</v>
      </c>
      <c r="N1073" s="168"/>
      <c r="O1073" s="167">
        <v>335210496</v>
      </c>
      <c r="P1073" s="167">
        <f t="shared" si="105"/>
        <v>335210496</v>
      </c>
      <c r="Q1073" s="167"/>
      <c r="S1073" s="201">
        <f t="shared" si="106"/>
        <v>364</v>
      </c>
      <c r="T1073" s="201">
        <f t="shared" si="107"/>
        <v>364</v>
      </c>
      <c r="U1073" s="201">
        <f t="shared" si="107"/>
        <v>0</v>
      </c>
      <c r="V1073" s="201">
        <f t="shared" si="107"/>
        <v>335.21049599999998</v>
      </c>
      <c r="W1073" s="201">
        <f t="shared" si="107"/>
        <v>335.21049599999998</v>
      </c>
      <c r="X1073" s="201">
        <f t="shared" si="107"/>
        <v>0</v>
      </c>
    </row>
    <row r="1074" spans="1:24" s="169" customFormat="1" ht="13.8">
      <c r="A1074" s="193"/>
      <c r="B1074" s="187"/>
      <c r="C1074" s="183" t="str">
        <f t="shared" si="102"/>
        <v/>
      </c>
      <c r="D1074" s="182" t="str">
        <f t="shared" si="103"/>
        <v/>
      </c>
      <c r="E1074" s="192" t="s">
        <v>681</v>
      </c>
      <c r="F1074" s="192" t="s">
        <v>1140</v>
      </c>
      <c r="G1074" s="192" t="s">
        <v>1142</v>
      </c>
      <c r="H1074" s="210" t="s">
        <v>1457</v>
      </c>
      <c r="I1074" s="166"/>
      <c r="J1074" s="167">
        <v>200000000</v>
      </c>
      <c r="K1074" s="166"/>
      <c r="L1074" s="168">
        <v>-200000000</v>
      </c>
      <c r="M1074" s="168">
        <f t="shared" si="104"/>
        <v>0</v>
      </c>
      <c r="N1074" s="168"/>
      <c r="O1074" s="166"/>
      <c r="P1074" s="167">
        <f t="shared" si="105"/>
        <v>0</v>
      </c>
      <c r="Q1074" s="166"/>
      <c r="S1074" s="201">
        <f t="shared" si="106"/>
        <v>0</v>
      </c>
      <c r="T1074" s="201">
        <f t="shared" si="107"/>
        <v>0</v>
      </c>
      <c r="U1074" s="201">
        <f t="shared" si="107"/>
        <v>0</v>
      </c>
      <c r="V1074" s="201">
        <f t="shared" si="107"/>
        <v>0</v>
      </c>
      <c r="W1074" s="201">
        <f t="shared" si="107"/>
        <v>0</v>
      </c>
      <c r="X1074" s="201">
        <f t="shared" si="107"/>
        <v>0</v>
      </c>
    </row>
    <row r="1075" spans="1:24" s="169" customFormat="1" ht="13.8">
      <c r="A1075" s="195"/>
      <c r="B1075" s="188"/>
      <c r="C1075" s="183" t="str">
        <f t="shared" si="102"/>
        <v/>
      </c>
      <c r="D1075" s="182" t="str">
        <f t="shared" si="103"/>
        <v/>
      </c>
      <c r="E1075" s="192" t="s">
        <v>681</v>
      </c>
      <c r="F1075" s="192" t="s">
        <v>1140</v>
      </c>
      <c r="G1075" s="192" t="s">
        <v>1142</v>
      </c>
      <c r="H1075" s="210" t="s">
        <v>1451</v>
      </c>
      <c r="I1075" s="167">
        <v>364000000</v>
      </c>
      <c r="J1075" s="166"/>
      <c r="K1075" s="166"/>
      <c r="L1075" s="168">
        <v>364000000</v>
      </c>
      <c r="M1075" s="168">
        <f t="shared" si="104"/>
        <v>364000000</v>
      </c>
      <c r="N1075" s="168"/>
      <c r="O1075" s="167">
        <v>335210496</v>
      </c>
      <c r="P1075" s="167">
        <f t="shared" si="105"/>
        <v>335210496</v>
      </c>
      <c r="Q1075" s="167"/>
      <c r="S1075" s="201">
        <f t="shared" si="106"/>
        <v>364</v>
      </c>
      <c r="T1075" s="201">
        <f t="shared" si="107"/>
        <v>364</v>
      </c>
      <c r="U1075" s="201">
        <f t="shared" si="107"/>
        <v>0</v>
      </c>
      <c r="V1075" s="201">
        <f t="shared" si="107"/>
        <v>335.21049599999998</v>
      </c>
      <c r="W1075" s="201">
        <f t="shared" si="107"/>
        <v>335.21049599999998</v>
      </c>
      <c r="X1075" s="201">
        <f t="shared" si="107"/>
        <v>0</v>
      </c>
    </row>
    <row r="1076" spans="1:24" s="169" customFormat="1" ht="26.4">
      <c r="A1076" s="192" t="s">
        <v>1146</v>
      </c>
      <c r="B1076" s="176" t="s">
        <v>1147</v>
      </c>
      <c r="C1076" s="183" t="str">
        <f t="shared" si="102"/>
        <v>1063796</v>
      </c>
      <c r="D1076" s="182" t="str">
        <f t="shared" si="103"/>
        <v>-Trung Tâm Y tẽ huyện Tu \/lơ Rông</v>
      </c>
      <c r="E1076" s="206"/>
      <c r="F1076" s="207"/>
      <c r="G1076" s="207"/>
      <c r="H1076" s="205"/>
      <c r="I1076" s="167">
        <v>15993039189</v>
      </c>
      <c r="J1076" s="167">
        <v>144800000</v>
      </c>
      <c r="K1076" s="167">
        <v>15270427189</v>
      </c>
      <c r="L1076" s="168">
        <v>577812000</v>
      </c>
      <c r="M1076" s="168">
        <f t="shared" si="104"/>
        <v>15993039189</v>
      </c>
      <c r="N1076" s="168"/>
      <c r="O1076" s="167">
        <v>15513181899</v>
      </c>
      <c r="P1076" s="167">
        <f t="shared" si="105"/>
        <v>15513181899</v>
      </c>
      <c r="Q1076" s="167"/>
      <c r="S1076" s="201">
        <f t="shared" si="106"/>
        <v>15993.039188999999</v>
      </c>
      <c r="T1076" s="201">
        <f t="shared" si="107"/>
        <v>15993.039188999999</v>
      </c>
      <c r="U1076" s="201">
        <f t="shared" si="107"/>
        <v>0</v>
      </c>
      <c r="V1076" s="201">
        <f t="shared" si="107"/>
        <v>15513.181898999999</v>
      </c>
      <c r="W1076" s="201">
        <f t="shared" si="107"/>
        <v>15513.181898999999</v>
      </c>
      <c r="X1076" s="201">
        <f t="shared" si="107"/>
        <v>0</v>
      </c>
    </row>
    <row r="1077" spans="1:24" s="169" customFormat="1" ht="13.8">
      <c r="A1077" s="192" t="s">
        <v>1148</v>
      </c>
      <c r="B1077" s="164" t="s">
        <v>675</v>
      </c>
      <c r="C1077" s="183" t="str">
        <f t="shared" si="102"/>
        <v/>
      </c>
      <c r="D1077" s="182" t="str">
        <f t="shared" si="103"/>
        <v/>
      </c>
      <c r="E1077" s="206"/>
      <c r="F1077" s="207"/>
      <c r="G1077" s="207"/>
      <c r="H1077" s="205"/>
      <c r="I1077" s="167">
        <v>15674029189</v>
      </c>
      <c r="J1077" s="167">
        <v>144800000</v>
      </c>
      <c r="K1077" s="167">
        <v>15270427189</v>
      </c>
      <c r="L1077" s="168">
        <v>258802000</v>
      </c>
      <c r="M1077" s="168">
        <f t="shared" si="104"/>
        <v>15674029189</v>
      </c>
      <c r="N1077" s="168"/>
      <c r="O1077" s="167">
        <v>15377391899</v>
      </c>
      <c r="P1077" s="167">
        <f t="shared" si="105"/>
        <v>15377391899</v>
      </c>
      <c r="Q1077" s="167"/>
      <c r="S1077" s="201">
        <f t="shared" si="106"/>
        <v>15674.029189000001</v>
      </c>
      <c r="T1077" s="201">
        <f t="shared" si="107"/>
        <v>15674.029189000001</v>
      </c>
      <c r="U1077" s="201">
        <f t="shared" si="107"/>
        <v>0</v>
      </c>
      <c r="V1077" s="201">
        <f t="shared" si="107"/>
        <v>15377.391899</v>
      </c>
      <c r="W1077" s="201">
        <f t="shared" si="107"/>
        <v>15377.391899</v>
      </c>
      <c r="X1077" s="201">
        <f t="shared" si="107"/>
        <v>0</v>
      </c>
    </row>
    <row r="1078" spans="1:24" s="169" customFormat="1" ht="13.8">
      <c r="A1078" s="192"/>
      <c r="B1078" s="164" t="s">
        <v>676</v>
      </c>
      <c r="C1078" s="183" t="str">
        <f t="shared" si="102"/>
        <v/>
      </c>
      <c r="D1078" s="182" t="str">
        <f t="shared" si="103"/>
        <v/>
      </c>
      <c r="E1078" s="206"/>
      <c r="F1078" s="207"/>
      <c r="G1078" s="207"/>
      <c r="H1078" s="205"/>
      <c r="I1078" s="167">
        <v>13035790000</v>
      </c>
      <c r="J1078" s="167">
        <v>144800000</v>
      </c>
      <c r="K1078" s="167">
        <v>13343590000</v>
      </c>
      <c r="L1078" s="168">
        <v>-452600000</v>
      </c>
      <c r="M1078" s="168">
        <f t="shared" si="104"/>
        <v>13035790000</v>
      </c>
      <c r="N1078" s="168"/>
      <c r="O1078" s="167">
        <v>13024290000</v>
      </c>
      <c r="P1078" s="167">
        <f t="shared" si="105"/>
        <v>13024290000</v>
      </c>
      <c r="Q1078" s="167"/>
      <c r="S1078" s="201">
        <f t="shared" si="106"/>
        <v>13035.79</v>
      </c>
      <c r="T1078" s="201">
        <f t="shared" si="107"/>
        <v>13035.79</v>
      </c>
      <c r="U1078" s="201">
        <f t="shared" si="107"/>
        <v>0</v>
      </c>
      <c r="V1078" s="201">
        <f t="shared" si="107"/>
        <v>13024.29</v>
      </c>
      <c r="W1078" s="201">
        <f t="shared" si="107"/>
        <v>13024.29</v>
      </c>
      <c r="X1078" s="201">
        <f t="shared" si="107"/>
        <v>0</v>
      </c>
    </row>
    <row r="1079" spans="1:24" s="169" customFormat="1" ht="13.8">
      <c r="A1079" s="193"/>
      <c r="B1079" s="187"/>
      <c r="C1079" s="183" t="str">
        <f t="shared" si="102"/>
        <v/>
      </c>
      <c r="D1079" s="182" t="str">
        <f t="shared" si="103"/>
        <v/>
      </c>
      <c r="E1079" s="192" t="s">
        <v>666</v>
      </c>
      <c r="F1079" s="192" t="s">
        <v>705</v>
      </c>
      <c r="G1079" s="192" t="s">
        <v>976</v>
      </c>
      <c r="H1079" s="210" t="s">
        <v>1440</v>
      </c>
      <c r="I1079" s="167">
        <v>5331850000</v>
      </c>
      <c r="J1079" s="166"/>
      <c r="K1079" s="167">
        <v>5477000000</v>
      </c>
      <c r="L1079" s="168">
        <v>-145150000</v>
      </c>
      <c r="M1079" s="168">
        <f t="shared" si="104"/>
        <v>5331850000</v>
      </c>
      <c r="N1079" s="168"/>
      <c r="O1079" s="167">
        <v>5320350000</v>
      </c>
      <c r="P1079" s="167">
        <f t="shared" si="105"/>
        <v>5320350000</v>
      </c>
      <c r="Q1079" s="167"/>
      <c r="S1079" s="201">
        <f t="shared" si="106"/>
        <v>5331.85</v>
      </c>
      <c r="T1079" s="201">
        <f t="shared" si="107"/>
        <v>5331.85</v>
      </c>
      <c r="U1079" s="201">
        <f t="shared" si="107"/>
        <v>0</v>
      </c>
      <c r="V1079" s="201">
        <f t="shared" si="107"/>
        <v>5320.35</v>
      </c>
      <c r="W1079" s="201">
        <f t="shared" si="107"/>
        <v>5320.35</v>
      </c>
      <c r="X1079" s="201">
        <f t="shared" si="107"/>
        <v>0</v>
      </c>
    </row>
    <row r="1080" spans="1:24" s="169" customFormat="1" ht="13.8">
      <c r="A1080" s="194"/>
      <c r="B1080" s="184"/>
      <c r="C1080" s="183" t="str">
        <f t="shared" si="102"/>
        <v/>
      </c>
      <c r="D1080" s="182" t="str">
        <f t="shared" si="103"/>
        <v/>
      </c>
      <c r="E1080" s="192" t="s">
        <v>666</v>
      </c>
      <c r="F1080" s="192" t="s">
        <v>705</v>
      </c>
      <c r="G1080" s="192" t="s">
        <v>775</v>
      </c>
      <c r="H1080" s="210" t="s">
        <v>1440</v>
      </c>
      <c r="I1080" s="167">
        <v>7678940000</v>
      </c>
      <c r="J1080" s="167">
        <v>144800000</v>
      </c>
      <c r="K1080" s="167">
        <v>7866590000</v>
      </c>
      <c r="L1080" s="168">
        <v>-332450000</v>
      </c>
      <c r="M1080" s="168">
        <f t="shared" si="104"/>
        <v>7678940000</v>
      </c>
      <c r="N1080" s="168"/>
      <c r="O1080" s="167">
        <v>7678940000</v>
      </c>
      <c r="P1080" s="167">
        <f t="shared" si="105"/>
        <v>7678940000</v>
      </c>
      <c r="Q1080" s="167"/>
      <c r="S1080" s="201">
        <f t="shared" si="106"/>
        <v>7678.94</v>
      </c>
      <c r="T1080" s="201">
        <f t="shared" si="107"/>
        <v>7678.94</v>
      </c>
      <c r="U1080" s="201">
        <f t="shared" si="107"/>
        <v>0</v>
      </c>
      <c r="V1080" s="201">
        <f t="shared" si="107"/>
        <v>7678.94</v>
      </c>
      <c r="W1080" s="201">
        <f t="shared" si="107"/>
        <v>7678.94</v>
      </c>
      <c r="X1080" s="201">
        <f t="shared" si="107"/>
        <v>0</v>
      </c>
    </row>
    <row r="1081" spans="1:24" s="169" customFormat="1" ht="13.8">
      <c r="A1081" s="195"/>
      <c r="B1081" s="188"/>
      <c r="C1081" s="183" t="str">
        <f t="shared" si="102"/>
        <v/>
      </c>
      <c r="D1081" s="182" t="str">
        <f t="shared" si="103"/>
        <v/>
      </c>
      <c r="E1081" s="192" t="s">
        <v>679</v>
      </c>
      <c r="F1081" s="192" t="s">
        <v>705</v>
      </c>
      <c r="G1081" s="192" t="s">
        <v>775</v>
      </c>
      <c r="H1081" s="210" t="s">
        <v>1440</v>
      </c>
      <c r="I1081" s="167">
        <v>25000000</v>
      </c>
      <c r="J1081" s="166"/>
      <c r="K1081" s="166"/>
      <c r="L1081" s="168">
        <v>25000000</v>
      </c>
      <c r="M1081" s="168">
        <f t="shared" si="104"/>
        <v>25000000</v>
      </c>
      <c r="N1081" s="168"/>
      <c r="O1081" s="167">
        <v>25000000</v>
      </c>
      <c r="P1081" s="167">
        <f t="shared" si="105"/>
        <v>25000000</v>
      </c>
      <c r="Q1081" s="167"/>
      <c r="S1081" s="201">
        <f t="shared" si="106"/>
        <v>25</v>
      </c>
      <c r="T1081" s="201">
        <f t="shared" si="107"/>
        <v>25</v>
      </c>
      <c r="U1081" s="201">
        <f t="shared" si="107"/>
        <v>0</v>
      </c>
      <c r="V1081" s="201">
        <f t="shared" si="107"/>
        <v>25</v>
      </c>
      <c r="W1081" s="201">
        <f t="shared" si="107"/>
        <v>25</v>
      </c>
      <c r="X1081" s="201">
        <f t="shared" si="107"/>
        <v>0</v>
      </c>
    </row>
    <row r="1082" spans="1:24" s="169" customFormat="1" ht="13.8">
      <c r="A1082" s="192"/>
      <c r="B1082" s="164" t="s">
        <v>680</v>
      </c>
      <c r="C1082" s="183" t="str">
        <f t="shared" si="102"/>
        <v/>
      </c>
      <c r="D1082" s="182" t="str">
        <f t="shared" si="103"/>
        <v/>
      </c>
      <c r="E1082" s="206"/>
      <c r="F1082" s="207"/>
      <c r="G1082" s="207"/>
      <c r="H1082" s="205"/>
      <c r="I1082" s="167">
        <v>2638239189</v>
      </c>
      <c r="J1082" s="166"/>
      <c r="K1082" s="167">
        <v>1926837189</v>
      </c>
      <c r="L1082" s="168">
        <v>711402000</v>
      </c>
      <c r="M1082" s="168">
        <f t="shared" si="104"/>
        <v>2638239189</v>
      </c>
      <c r="N1082" s="168"/>
      <c r="O1082" s="167">
        <v>2353101899</v>
      </c>
      <c r="P1082" s="167">
        <f t="shared" si="105"/>
        <v>2353101899</v>
      </c>
      <c r="Q1082" s="167"/>
      <c r="S1082" s="201">
        <f t="shared" si="106"/>
        <v>2638.2391889999999</v>
      </c>
      <c r="T1082" s="201">
        <f t="shared" si="107"/>
        <v>2638.2391889999999</v>
      </c>
      <c r="U1082" s="201">
        <f t="shared" si="107"/>
        <v>0</v>
      </c>
      <c r="V1082" s="201">
        <f t="shared" si="107"/>
        <v>2353.1018989999998</v>
      </c>
      <c r="W1082" s="201">
        <f t="shared" si="107"/>
        <v>2353.1018989999998</v>
      </c>
      <c r="X1082" s="201">
        <f t="shared" si="107"/>
        <v>0</v>
      </c>
    </row>
    <row r="1083" spans="1:24" s="169" customFormat="1" ht="13.8">
      <c r="A1083" s="193"/>
      <c r="B1083" s="187"/>
      <c r="C1083" s="183" t="str">
        <f t="shared" si="102"/>
        <v/>
      </c>
      <c r="D1083" s="182" t="str">
        <f t="shared" si="103"/>
        <v/>
      </c>
      <c r="E1083" s="192" t="s">
        <v>681</v>
      </c>
      <c r="F1083" s="192" t="s">
        <v>705</v>
      </c>
      <c r="G1083" s="192" t="s">
        <v>976</v>
      </c>
      <c r="H1083" s="210" t="s">
        <v>1440</v>
      </c>
      <c r="I1083" s="167">
        <v>642552000</v>
      </c>
      <c r="J1083" s="166"/>
      <c r="K1083" s="167">
        <v>145150000</v>
      </c>
      <c r="L1083" s="168">
        <v>497402000</v>
      </c>
      <c r="M1083" s="168">
        <f t="shared" si="104"/>
        <v>642552000</v>
      </c>
      <c r="N1083" s="168"/>
      <c r="O1083" s="167">
        <v>642552000</v>
      </c>
      <c r="P1083" s="167">
        <f t="shared" si="105"/>
        <v>642552000</v>
      </c>
      <c r="Q1083" s="167"/>
      <c r="S1083" s="201">
        <f t="shared" si="106"/>
        <v>642.55200000000002</v>
      </c>
      <c r="T1083" s="201">
        <f t="shared" si="107"/>
        <v>642.55200000000002</v>
      </c>
      <c r="U1083" s="201">
        <f t="shared" si="107"/>
        <v>0</v>
      </c>
      <c r="V1083" s="201">
        <f t="shared" si="107"/>
        <v>642.55200000000002</v>
      </c>
      <c r="W1083" s="201">
        <f t="shared" si="107"/>
        <v>642.55200000000002</v>
      </c>
      <c r="X1083" s="201">
        <f t="shared" si="107"/>
        <v>0</v>
      </c>
    </row>
    <row r="1084" spans="1:24" s="169" customFormat="1" ht="13.8">
      <c r="A1084" s="194"/>
      <c r="B1084" s="184"/>
      <c r="C1084" s="183" t="str">
        <f t="shared" si="102"/>
        <v/>
      </c>
      <c r="D1084" s="182" t="str">
        <f t="shared" si="103"/>
        <v/>
      </c>
      <c r="E1084" s="192" t="s">
        <v>681</v>
      </c>
      <c r="F1084" s="192" t="s">
        <v>705</v>
      </c>
      <c r="G1084" s="192" t="s">
        <v>775</v>
      </c>
      <c r="H1084" s="210" t="s">
        <v>1440</v>
      </c>
      <c r="I1084" s="167">
        <v>1781687189</v>
      </c>
      <c r="J1084" s="166"/>
      <c r="K1084" s="167">
        <v>1781687189</v>
      </c>
      <c r="L1084" s="171"/>
      <c r="M1084" s="168">
        <f t="shared" si="104"/>
        <v>1781687189</v>
      </c>
      <c r="N1084" s="171"/>
      <c r="O1084" s="167">
        <v>1654906155</v>
      </c>
      <c r="P1084" s="167">
        <f t="shared" si="105"/>
        <v>1654906155</v>
      </c>
      <c r="Q1084" s="167"/>
      <c r="S1084" s="201">
        <f t="shared" si="106"/>
        <v>1781.687189</v>
      </c>
      <c r="T1084" s="201">
        <f t="shared" si="107"/>
        <v>1781.687189</v>
      </c>
      <c r="U1084" s="201">
        <f t="shared" si="107"/>
        <v>0</v>
      </c>
      <c r="V1084" s="201">
        <f t="shared" si="107"/>
        <v>1654.9061549999999</v>
      </c>
      <c r="W1084" s="201">
        <f t="shared" si="107"/>
        <v>1654.9061549999999</v>
      </c>
      <c r="X1084" s="201">
        <f t="shared" si="107"/>
        <v>0</v>
      </c>
    </row>
    <row r="1085" spans="1:24" s="169" customFormat="1" ht="13.8">
      <c r="A1085" s="195"/>
      <c r="B1085" s="188"/>
      <c r="C1085" s="183" t="str">
        <f t="shared" si="102"/>
        <v/>
      </c>
      <c r="D1085" s="182" t="str">
        <f t="shared" si="103"/>
        <v/>
      </c>
      <c r="E1085" s="192" t="s">
        <v>667</v>
      </c>
      <c r="F1085" s="192" t="s">
        <v>705</v>
      </c>
      <c r="G1085" s="192" t="s">
        <v>775</v>
      </c>
      <c r="H1085" s="210" t="s">
        <v>1440</v>
      </c>
      <c r="I1085" s="167">
        <v>214000000</v>
      </c>
      <c r="J1085" s="166"/>
      <c r="K1085" s="166"/>
      <c r="L1085" s="168">
        <v>214000000</v>
      </c>
      <c r="M1085" s="168">
        <f t="shared" si="104"/>
        <v>214000000</v>
      </c>
      <c r="N1085" s="168"/>
      <c r="O1085" s="167">
        <v>55643744</v>
      </c>
      <c r="P1085" s="167">
        <f t="shared" si="105"/>
        <v>55643744</v>
      </c>
      <c r="Q1085" s="167"/>
      <c r="S1085" s="201">
        <f t="shared" si="106"/>
        <v>214</v>
      </c>
      <c r="T1085" s="201">
        <f t="shared" si="107"/>
        <v>214</v>
      </c>
      <c r="U1085" s="201">
        <f t="shared" si="107"/>
        <v>0</v>
      </c>
      <c r="V1085" s="201">
        <f t="shared" si="107"/>
        <v>55.643743999999998</v>
      </c>
      <c r="W1085" s="201">
        <f t="shared" si="107"/>
        <v>55.643743999999998</v>
      </c>
      <c r="X1085" s="201">
        <f t="shared" si="107"/>
        <v>0</v>
      </c>
    </row>
    <row r="1086" spans="1:24" s="169" customFormat="1" ht="13.8">
      <c r="A1086" s="192" t="s">
        <v>1149</v>
      </c>
      <c r="B1086" s="164" t="s">
        <v>731</v>
      </c>
      <c r="C1086" s="183" t="str">
        <f t="shared" si="102"/>
        <v/>
      </c>
      <c r="D1086" s="182" t="str">
        <f t="shared" si="103"/>
        <v/>
      </c>
      <c r="E1086" s="206"/>
      <c r="F1086" s="207"/>
      <c r="G1086" s="207"/>
      <c r="H1086" s="205"/>
      <c r="I1086" s="167">
        <v>319010000</v>
      </c>
      <c r="J1086" s="166"/>
      <c r="K1086" s="166"/>
      <c r="L1086" s="168">
        <v>319010000</v>
      </c>
      <c r="M1086" s="168">
        <f t="shared" si="104"/>
        <v>319010000</v>
      </c>
      <c r="N1086" s="168"/>
      <c r="O1086" s="167">
        <v>135790000</v>
      </c>
      <c r="P1086" s="167">
        <f t="shared" si="105"/>
        <v>135790000</v>
      </c>
      <c r="Q1086" s="167"/>
      <c r="S1086" s="201">
        <f t="shared" si="106"/>
        <v>319.01</v>
      </c>
      <c r="T1086" s="201">
        <f t="shared" si="107"/>
        <v>319.01</v>
      </c>
      <c r="U1086" s="201">
        <f t="shared" si="107"/>
        <v>0</v>
      </c>
      <c r="V1086" s="201">
        <f t="shared" si="107"/>
        <v>135.79</v>
      </c>
      <c r="W1086" s="201">
        <f t="shared" si="107"/>
        <v>135.79</v>
      </c>
      <c r="X1086" s="201">
        <f t="shared" si="107"/>
        <v>0</v>
      </c>
    </row>
    <row r="1087" spans="1:24" s="169" customFormat="1" ht="13.8">
      <c r="A1087" s="192"/>
      <c r="B1087" s="164"/>
      <c r="C1087" s="183" t="str">
        <f t="shared" si="102"/>
        <v/>
      </c>
      <c r="D1087" s="182" t="str">
        <f t="shared" si="103"/>
        <v/>
      </c>
      <c r="E1087" s="192" t="s">
        <v>667</v>
      </c>
      <c r="F1087" s="192" t="s">
        <v>705</v>
      </c>
      <c r="G1087" s="192" t="s">
        <v>775</v>
      </c>
      <c r="H1087" s="210" t="s">
        <v>1455</v>
      </c>
      <c r="I1087" s="167">
        <v>282510000</v>
      </c>
      <c r="J1087" s="166"/>
      <c r="K1087" s="166"/>
      <c r="L1087" s="168">
        <v>282510000</v>
      </c>
      <c r="M1087" s="168">
        <f t="shared" si="104"/>
        <v>282510000</v>
      </c>
      <c r="N1087" s="168"/>
      <c r="O1087" s="167">
        <v>116490000</v>
      </c>
      <c r="P1087" s="167">
        <f t="shared" si="105"/>
        <v>116490000</v>
      </c>
      <c r="Q1087" s="167"/>
      <c r="S1087" s="201">
        <f t="shared" si="106"/>
        <v>282.51</v>
      </c>
      <c r="T1087" s="201">
        <f t="shared" si="107"/>
        <v>282.51</v>
      </c>
      <c r="U1087" s="201">
        <f t="shared" si="107"/>
        <v>0</v>
      </c>
      <c r="V1087" s="201">
        <f t="shared" si="107"/>
        <v>116.49</v>
      </c>
      <c r="W1087" s="201">
        <f t="shared" si="107"/>
        <v>116.49</v>
      </c>
      <c r="X1087" s="201">
        <f t="shared" si="107"/>
        <v>0</v>
      </c>
    </row>
    <row r="1088" spans="1:24" s="169" customFormat="1" ht="13.8">
      <c r="A1088" s="192"/>
      <c r="B1088" s="173"/>
      <c r="C1088" s="183" t="str">
        <f t="shared" si="102"/>
        <v/>
      </c>
      <c r="D1088" s="182" t="str">
        <f t="shared" si="103"/>
        <v/>
      </c>
      <c r="E1088" s="192"/>
      <c r="F1088" s="192"/>
      <c r="G1088" s="192"/>
      <c r="H1088" s="210"/>
      <c r="I1088" s="174"/>
      <c r="J1088" s="174"/>
      <c r="K1088" s="174"/>
      <c r="L1088" s="175"/>
      <c r="M1088" s="168">
        <f t="shared" si="104"/>
        <v>0</v>
      </c>
      <c r="N1088" s="175"/>
      <c r="O1088" s="174"/>
      <c r="P1088" s="167">
        <f t="shared" si="105"/>
        <v>0</v>
      </c>
      <c r="Q1088" s="174"/>
      <c r="S1088" s="201">
        <f t="shared" si="106"/>
        <v>0</v>
      </c>
      <c r="T1088" s="201">
        <f t="shared" si="107"/>
        <v>0</v>
      </c>
      <c r="U1088" s="201">
        <f t="shared" si="107"/>
        <v>0</v>
      </c>
      <c r="V1088" s="201">
        <f t="shared" si="107"/>
        <v>0</v>
      </c>
      <c r="W1088" s="201">
        <f t="shared" si="107"/>
        <v>0</v>
      </c>
      <c r="X1088" s="201">
        <f t="shared" si="107"/>
        <v>0</v>
      </c>
    </row>
    <row r="1089" spans="1:24" s="169" customFormat="1" ht="13.8">
      <c r="A1089" s="192"/>
      <c r="B1089" s="164"/>
      <c r="C1089" s="183" t="str">
        <f t="shared" si="102"/>
        <v/>
      </c>
      <c r="D1089" s="182" t="str">
        <f t="shared" si="103"/>
        <v/>
      </c>
      <c r="E1089" s="192" t="s">
        <v>667</v>
      </c>
      <c r="F1089" s="192" t="s">
        <v>705</v>
      </c>
      <c r="G1089" s="192" t="s">
        <v>981</v>
      </c>
      <c r="H1089" s="210" t="s">
        <v>1455</v>
      </c>
      <c r="I1089" s="167">
        <v>36500000</v>
      </c>
      <c r="J1089" s="166"/>
      <c r="K1089" s="166"/>
      <c r="L1089" s="168">
        <v>36500000</v>
      </c>
      <c r="M1089" s="168">
        <f t="shared" si="104"/>
        <v>36500000</v>
      </c>
      <c r="N1089" s="168"/>
      <c r="O1089" s="167">
        <v>19300000</v>
      </c>
      <c r="P1089" s="167">
        <f t="shared" si="105"/>
        <v>19300000</v>
      </c>
      <c r="Q1089" s="167"/>
      <c r="S1089" s="201">
        <f t="shared" si="106"/>
        <v>36.5</v>
      </c>
      <c r="T1089" s="201">
        <f t="shared" si="107"/>
        <v>36.5</v>
      </c>
      <c r="U1089" s="201">
        <f t="shared" si="107"/>
        <v>0</v>
      </c>
      <c r="V1089" s="201">
        <f t="shared" si="107"/>
        <v>19.3</v>
      </c>
      <c r="W1089" s="201">
        <f t="shared" si="107"/>
        <v>19.3</v>
      </c>
      <c r="X1089" s="201">
        <f t="shared" si="107"/>
        <v>0</v>
      </c>
    </row>
    <row r="1090" spans="1:24" s="169" customFormat="1" ht="26.4">
      <c r="A1090" s="192" t="s">
        <v>1150</v>
      </c>
      <c r="B1090" s="165" t="s">
        <v>1151</v>
      </c>
      <c r="C1090" s="183" t="str">
        <f t="shared" si="102"/>
        <v>1063797</v>
      </c>
      <c r="D1090" s="182" t="str">
        <f t="shared" si="103"/>
        <v>-Hạt Kiểm lâm huyện Tu Mơ Rông</v>
      </c>
      <c r="E1090" s="206"/>
      <c r="F1090" s="207"/>
      <c r="G1090" s="207"/>
      <c r="H1090" s="205"/>
      <c r="I1090" s="167">
        <v>2855100000</v>
      </c>
      <c r="J1090" s="166"/>
      <c r="K1090" s="167">
        <v>2760100000</v>
      </c>
      <c r="L1090" s="168">
        <v>95000000</v>
      </c>
      <c r="M1090" s="168">
        <f t="shared" si="104"/>
        <v>2855100000</v>
      </c>
      <c r="N1090" s="168"/>
      <c r="O1090" s="167">
        <v>2855100000</v>
      </c>
      <c r="P1090" s="167">
        <f t="shared" si="105"/>
        <v>2855100000</v>
      </c>
      <c r="Q1090" s="167"/>
      <c r="S1090" s="201">
        <f t="shared" si="106"/>
        <v>2855.1</v>
      </c>
      <c r="T1090" s="201">
        <f t="shared" si="107"/>
        <v>2855.1</v>
      </c>
      <c r="U1090" s="201">
        <f t="shared" si="107"/>
        <v>0</v>
      </c>
      <c r="V1090" s="201">
        <f t="shared" si="107"/>
        <v>2855.1</v>
      </c>
      <c r="W1090" s="201">
        <f t="shared" si="107"/>
        <v>2855.1</v>
      </c>
      <c r="X1090" s="201">
        <f t="shared" si="107"/>
        <v>0</v>
      </c>
    </row>
    <row r="1091" spans="1:24" s="169" customFormat="1" ht="13.8">
      <c r="A1091" s="192" t="s">
        <v>1152</v>
      </c>
      <c r="B1091" s="170" t="s">
        <v>689</v>
      </c>
      <c r="C1091" s="183" t="str">
        <f t="shared" si="102"/>
        <v/>
      </c>
      <c r="D1091" s="182" t="str">
        <f t="shared" si="103"/>
        <v/>
      </c>
      <c r="E1091" s="206"/>
      <c r="F1091" s="207"/>
      <c r="G1091" s="207"/>
      <c r="H1091" s="205"/>
      <c r="I1091" s="167">
        <v>2855100000</v>
      </c>
      <c r="J1091" s="166"/>
      <c r="K1091" s="167">
        <v>2760100000</v>
      </c>
      <c r="L1091" s="168">
        <v>95000000</v>
      </c>
      <c r="M1091" s="168">
        <f t="shared" si="104"/>
        <v>2855100000</v>
      </c>
      <c r="N1091" s="168"/>
      <c r="O1091" s="167">
        <v>2855100000</v>
      </c>
      <c r="P1091" s="167">
        <f t="shared" si="105"/>
        <v>2855100000</v>
      </c>
      <c r="Q1091" s="167"/>
      <c r="S1091" s="201">
        <f t="shared" si="106"/>
        <v>2855.1</v>
      </c>
      <c r="T1091" s="201">
        <f t="shared" si="107"/>
        <v>2855.1</v>
      </c>
      <c r="U1091" s="201">
        <f t="shared" si="107"/>
        <v>0</v>
      </c>
      <c r="V1091" s="201">
        <f t="shared" si="107"/>
        <v>2855.1</v>
      </c>
      <c r="W1091" s="201">
        <f t="shared" si="107"/>
        <v>2855.1</v>
      </c>
      <c r="X1091" s="201">
        <f t="shared" si="107"/>
        <v>0</v>
      </c>
    </row>
    <row r="1092" spans="1:24" s="169" customFormat="1" ht="13.8">
      <c r="A1092" s="192"/>
      <c r="B1092" s="170" t="s">
        <v>690</v>
      </c>
      <c r="C1092" s="183" t="str">
        <f t="shared" si="102"/>
        <v/>
      </c>
      <c r="D1092" s="182" t="str">
        <f t="shared" si="103"/>
        <v/>
      </c>
      <c r="E1092" s="206"/>
      <c r="F1092" s="207"/>
      <c r="G1092" s="207"/>
      <c r="H1092" s="205"/>
      <c r="I1092" s="167">
        <v>2728100000</v>
      </c>
      <c r="J1092" s="166"/>
      <c r="K1092" s="167">
        <v>2641100000</v>
      </c>
      <c r="L1092" s="168">
        <v>87000000</v>
      </c>
      <c r="M1092" s="168">
        <f t="shared" si="104"/>
        <v>2728100000</v>
      </c>
      <c r="N1092" s="168"/>
      <c r="O1092" s="167">
        <v>2728100000</v>
      </c>
      <c r="P1092" s="167">
        <f t="shared" si="105"/>
        <v>2728100000</v>
      </c>
      <c r="Q1092" s="167"/>
      <c r="S1092" s="201">
        <f t="shared" si="106"/>
        <v>2728.1</v>
      </c>
      <c r="T1092" s="201">
        <f t="shared" si="107"/>
        <v>2728.1</v>
      </c>
      <c r="U1092" s="201">
        <f t="shared" si="107"/>
        <v>0</v>
      </c>
      <c r="V1092" s="201">
        <f t="shared" si="107"/>
        <v>2728.1</v>
      </c>
      <c r="W1092" s="201">
        <f t="shared" si="107"/>
        <v>2728.1</v>
      </c>
      <c r="X1092" s="201">
        <f t="shared" si="107"/>
        <v>0</v>
      </c>
    </row>
    <row r="1093" spans="1:24" s="169" customFormat="1" ht="13.8">
      <c r="A1093" s="193"/>
      <c r="B1093" s="187"/>
      <c r="C1093" s="183" t="str">
        <f t="shared" si="102"/>
        <v/>
      </c>
      <c r="D1093" s="182" t="str">
        <f t="shared" si="103"/>
        <v/>
      </c>
      <c r="E1093" s="192" t="s">
        <v>666</v>
      </c>
      <c r="F1093" s="192" t="s">
        <v>698</v>
      </c>
      <c r="G1093" s="192" t="s">
        <v>695</v>
      </c>
      <c r="H1093" s="210" t="s">
        <v>1440</v>
      </c>
      <c r="I1093" s="167">
        <v>2641100000</v>
      </c>
      <c r="J1093" s="166"/>
      <c r="K1093" s="167">
        <v>2641100000</v>
      </c>
      <c r="L1093" s="171"/>
      <c r="M1093" s="168">
        <f t="shared" si="104"/>
        <v>2641100000</v>
      </c>
      <c r="N1093" s="171"/>
      <c r="O1093" s="167">
        <v>2641100000</v>
      </c>
      <c r="P1093" s="167">
        <f t="shared" si="105"/>
        <v>2641100000</v>
      </c>
      <c r="Q1093" s="167"/>
      <c r="S1093" s="201">
        <f t="shared" si="106"/>
        <v>2641.1</v>
      </c>
      <c r="T1093" s="201">
        <f t="shared" si="107"/>
        <v>2641.1</v>
      </c>
      <c r="U1093" s="201">
        <f t="shared" si="107"/>
        <v>0</v>
      </c>
      <c r="V1093" s="201">
        <f t="shared" si="107"/>
        <v>2641.1</v>
      </c>
      <c r="W1093" s="201">
        <f t="shared" si="107"/>
        <v>2641.1</v>
      </c>
      <c r="X1093" s="201">
        <f t="shared" si="107"/>
        <v>0</v>
      </c>
    </row>
    <row r="1094" spans="1:24" s="169" customFormat="1" ht="13.8">
      <c r="A1094" s="195"/>
      <c r="B1094" s="188"/>
      <c r="C1094" s="183" t="str">
        <f t="shared" si="102"/>
        <v/>
      </c>
      <c r="D1094" s="182" t="str">
        <f t="shared" si="103"/>
        <v/>
      </c>
      <c r="E1094" s="192" t="s">
        <v>679</v>
      </c>
      <c r="F1094" s="192" t="s">
        <v>698</v>
      </c>
      <c r="G1094" s="192" t="s">
        <v>695</v>
      </c>
      <c r="H1094" s="210" t="s">
        <v>1440</v>
      </c>
      <c r="I1094" s="167">
        <v>87000000</v>
      </c>
      <c r="J1094" s="166"/>
      <c r="K1094" s="166"/>
      <c r="L1094" s="168">
        <v>87000000</v>
      </c>
      <c r="M1094" s="168">
        <f t="shared" si="104"/>
        <v>87000000</v>
      </c>
      <c r="N1094" s="168"/>
      <c r="O1094" s="167">
        <v>87000000</v>
      </c>
      <c r="P1094" s="167">
        <f t="shared" si="105"/>
        <v>87000000</v>
      </c>
      <c r="Q1094" s="167"/>
      <c r="S1094" s="201">
        <f t="shared" si="106"/>
        <v>87</v>
      </c>
      <c r="T1094" s="201">
        <f t="shared" si="107"/>
        <v>87</v>
      </c>
      <c r="U1094" s="201">
        <f t="shared" si="107"/>
        <v>0</v>
      </c>
      <c r="V1094" s="201">
        <f t="shared" si="107"/>
        <v>87</v>
      </c>
      <c r="W1094" s="201">
        <f t="shared" si="107"/>
        <v>87</v>
      </c>
      <c r="X1094" s="201">
        <f t="shared" si="107"/>
        <v>0</v>
      </c>
    </row>
    <row r="1095" spans="1:24" s="169" customFormat="1" ht="13.8">
      <c r="A1095" s="192"/>
      <c r="B1095" s="170" t="s">
        <v>686</v>
      </c>
      <c r="C1095" s="183" t="str">
        <f t="shared" si="102"/>
        <v/>
      </c>
      <c r="D1095" s="182" t="str">
        <f t="shared" si="103"/>
        <v/>
      </c>
      <c r="E1095" s="206"/>
      <c r="F1095" s="207"/>
      <c r="G1095" s="207"/>
      <c r="H1095" s="205"/>
      <c r="I1095" s="167">
        <v>127000000</v>
      </c>
      <c r="J1095" s="166"/>
      <c r="K1095" s="167">
        <v>119000000</v>
      </c>
      <c r="L1095" s="168">
        <v>8000000</v>
      </c>
      <c r="M1095" s="168">
        <f t="shared" si="104"/>
        <v>127000000</v>
      </c>
      <c r="N1095" s="168"/>
      <c r="O1095" s="167">
        <v>127000000</v>
      </c>
      <c r="P1095" s="167">
        <f t="shared" si="105"/>
        <v>127000000</v>
      </c>
      <c r="Q1095" s="167"/>
      <c r="S1095" s="201">
        <f t="shared" si="106"/>
        <v>127</v>
      </c>
      <c r="T1095" s="201">
        <f t="shared" si="107"/>
        <v>127</v>
      </c>
      <c r="U1095" s="201">
        <f t="shared" si="107"/>
        <v>0</v>
      </c>
      <c r="V1095" s="201">
        <f t="shared" si="107"/>
        <v>127</v>
      </c>
      <c r="W1095" s="201">
        <f t="shared" si="107"/>
        <v>127</v>
      </c>
      <c r="X1095" s="201">
        <f t="shared" si="107"/>
        <v>0</v>
      </c>
    </row>
    <row r="1096" spans="1:24" s="169" customFormat="1" ht="13.8">
      <c r="A1096" s="193"/>
      <c r="B1096" s="187"/>
      <c r="C1096" s="183" t="str">
        <f t="shared" si="102"/>
        <v/>
      </c>
      <c r="D1096" s="182" t="str">
        <f t="shared" si="103"/>
        <v/>
      </c>
      <c r="E1096" s="192" t="s">
        <v>681</v>
      </c>
      <c r="F1096" s="192" t="s">
        <v>698</v>
      </c>
      <c r="G1096" s="192" t="s">
        <v>699</v>
      </c>
      <c r="H1096" s="210" t="s">
        <v>1440</v>
      </c>
      <c r="I1096" s="167">
        <v>119000000</v>
      </c>
      <c r="J1096" s="166"/>
      <c r="K1096" s="167">
        <v>119000000</v>
      </c>
      <c r="L1096" s="171"/>
      <c r="M1096" s="168">
        <f t="shared" si="104"/>
        <v>119000000</v>
      </c>
      <c r="N1096" s="171"/>
      <c r="O1096" s="167">
        <v>119000000</v>
      </c>
      <c r="P1096" s="167">
        <f t="shared" si="105"/>
        <v>119000000</v>
      </c>
      <c r="Q1096" s="167"/>
      <c r="S1096" s="201">
        <f t="shared" si="106"/>
        <v>119</v>
      </c>
      <c r="T1096" s="201">
        <f t="shared" si="107"/>
        <v>119</v>
      </c>
      <c r="U1096" s="201">
        <f t="shared" si="107"/>
        <v>0</v>
      </c>
      <c r="V1096" s="201">
        <f t="shared" si="107"/>
        <v>119</v>
      </c>
      <c r="W1096" s="201">
        <f t="shared" si="107"/>
        <v>119</v>
      </c>
      <c r="X1096" s="201">
        <f t="shared" si="107"/>
        <v>0</v>
      </c>
    </row>
    <row r="1097" spans="1:24" s="169" customFormat="1" ht="13.8">
      <c r="A1097" s="195"/>
      <c r="B1097" s="188"/>
      <c r="C1097" s="183" t="str">
        <f t="shared" si="102"/>
        <v/>
      </c>
      <c r="D1097" s="182" t="str">
        <f t="shared" si="103"/>
        <v/>
      </c>
      <c r="E1097" s="192" t="s">
        <v>681</v>
      </c>
      <c r="F1097" s="192" t="s">
        <v>698</v>
      </c>
      <c r="G1097" s="192" t="s">
        <v>695</v>
      </c>
      <c r="H1097" s="210" t="s">
        <v>1440</v>
      </c>
      <c r="I1097" s="167">
        <v>8000000</v>
      </c>
      <c r="J1097" s="166"/>
      <c r="K1097" s="166"/>
      <c r="L1097" s="168">
        <v>8000000</v>
      </c>
      <c r="M1097" s="168">
        <f t="shared" si="104"/>
        <v>8000000</v>
      </c>
      <c r="N1097" s="168"/>
      <c r="O1097" s="167">
        <v>8000000</v>
      </c>
      <c r="P1097" s="167">
        <f t="shared" si="105"/>
        <v>8000000</v>
      </c>
      <c r="Q1097" s="167"/>
      <c r="S1097" s="201">
        <f t="shared" si="106"/>
        <v>8</v>
      </c>
      <c r="T1097" s="201">
        <f t="shared" si="107"/>
        <v>8</v>
      </c>
      <c r="U1097" s="201">
        <f t="shared" si="107"/>
        <v>0</v>
      </c>
      <c r="V1097" s="201">
        <f t="shared" si="107"/>
        <v>8</v>
      </c>
      <c r="W1097" s="201">
        <f t="shared" si="107"/>
        <v>8</v>
      </c>
      <c r="X1097" s="201">
        <f t="shared" si="107"/>
        <v>0</v>
      </c>
    </row>
    <row r="1098" spans="1:24" s="169" customFormat="1" ht="27.6">
      <c r="A1098" s="192" t="s">
        <v>1153</v>
      </c>
      <c r="B1098" s="165" t="s">
        <v>1154</v>
      </c>
      <c r="C1098" s="183" t="str">
        <f t="shared" si="102"/>
        <v>1063798</v>
      </c>
      <c r="D1098" s="182" t="str">
        <f t="shared" si="103"/>
        <v>-Trường Trung học PhS thông Nguyễn Trãi - huyện Ngọc Hồi</v>
      </c>
      <c r="E1098" s="206"/>
      <c r="F1098" s="207"/>
      <c r="G1098" s="207"/>
      <c r="H1098" s="205"/>
      <c r="I1098" s="167">
        <v>6347944000</v>
      </c>
      <c r="J1098" s="166"/>
      <c r="K1098" s="167">
        <v>6247081000</v>
      </c>
      <c r="L1098" s="168">
        <v>100863000</v>
      </c>
      <c r="M1098" s="168">
        <f t="shared" si="104"/>
        <v>6347944000</v>
      </c>
      <c r="N1098" s="168"/>
      <c r="O1098" s="167">
        <v>6347014500</v>
      </c>
      <c r="P1098" s="167">
        <f t="shared" si="105"/>
        <v>6347014500</v>
      </c>
      <c r="Q1098" s="167"/>
      <c r="S1098" s="201">
        <f t="shared" si="106"/>
        <v>6347.9440000000004</v>
      </c>
      <c r="T1098" s="201">
        <f t="shared" si="107"/>
        <v>6347.9440000000004</v>
      </c>
      <c r="U1098" s="201">
        <f t="shared" si="107"/>
        <v>0</v>
      </c>
      <c r="V1098" s="201">
        <f t="shared" si="107"/>
        <v>6347.0145000000002</v>
      </c>
      <c r="W1098" s="201">
        <f t="shared" si="107"/>
        <v>6347.0145000000002</v>
      </c>
      <c r="X1098" s="201">
        <f t="shared" si="107"/>
        <v>0</v>
      </c>
    </row>
    <row r="1099" spans="1:24" s="169" customFormat="1" ht="13.8">
      <c r="A1099" s="192" t="s">
        <v>1155</v>
      </c>
      <c r="B1099" s="170" t="s">
        <v>689</v>
      </c>
      <c r="C1099" s="183" t="str">
        <f t="shared" si="102"/>
        <v/>
      </c>
      <c r="D1099" s="182" t="str">
        <f t="shared" si="103"/>
        <v/>
      </c>
      <c r="E1099" s="206"/>
      <c r="F1099" s="207"/>
      <c r="G1099" s="207"/>
      <c r="H1099" s="205"/>
      <c r="I1099" s="167">
        <v>6347944000</v>
      </c>
      <c r="J1099" s="166"/>
      <c r="K1099" s="167">
        <v>6247081000</v>
      </c>
      <c r="L1099" s="168">
        <v>100863000</v>
      </c>
      <c r="M1099" s="168">
        <f t="shared" si="104"/>
        <v>6347944000</v>
      </c>
      <c r="N1099" s="168"/>
      <c r="O1099" s="167">
        <v>6347014500</v>
      </c>
      <c r="P1099" s="167">
        <f t="shared" si="105"/>
        <v>6347014500</v>
      </c>
      <c r="Q1099" s="167"/>
      <c r="S1099" s="201">
        <f t="shared" si="106"/>
        <v>6347.9440000000004</v>
      </c>
      <c r="T1099" s="201">
        <f t="shared" si="107"/>
        <v>6347.9440000000004</v>
      </c>
      <c r="U1099" s="201">
        <f t="shared" si="107"/>
        <v>0</v>
      </c>
      <c r="V1099" s="201">
        <f t="shared" si="107"/>
        <v>6347.0145000000002</v>
      </c>
      <c r="W1099" s="201">
        <f t="shared" si="107"/>
        <v>6347.0145000000002</v>
      </c>
      <c r="X1099" s="201">
        <f t="shared" si="107"/>
        <v>0</v>
      </c>
    </row>
    <row r="1100" spans="1:24" s="169" customFormat="1" ht="13.8">
      <c r="A1100" s="192"/>
      <c r="B1100" s="170" t="s">
        <v>690</v>
      </c>
      <c r="C1100" s="183" t="str">
        <f t="shared" si="102"/>
        <v/>
      </c>
      <c r="D1100" s="182" t="str">
        <f t="shared" si="103"/>
        <v/>
      </c>
      <c r="E1100" s="206"/>
      <c r="F1100" s="207"/>
      <c r="G1100" s="207"/>
      <c r="H1100" s="205"/>
      <c r="I1100" s="167">
        <v>5726619000</v>
      </c>
      <c r="J1100" s="166"/>
      <c r="K1100" s="167">
        <v>5630056000</v>
      </c>
      <c r="L1100" s="168">
        <v>96563000</v>
      </c>
      <c r="M1100" s="168">
        <f t="shared" si="104"/>
        <v>5726619000</v>
      </c>
      <c r="N1100" s="168"/>
      <c r="O1100" s="167">
        <v>5726619000</v>
      </c>
      <c r="P1100" s="167">
        <f t="shared" si="105"/>
        <v>5726619000</v>
      </c>
      <c r="Q1100" s="167"/>
      <c r="S1100" s="201">
        <f t="shared" si="106"/>
        <v>5726.6189999999997</v>
      </c>
      <c r="T1100" s="201">
        <f t="shared" ref="T1100:X1150" si="108">M1100/1000000</f>
        <v>5726.6189999999997</v>
      </c>
      <c r="U1100" s="201">
        <f t="shared" si="108"/>
        <v>0</v>
      </c>
      <c r="V1100" s="201">
        <f t="shared" si="108"/>
        <v>5726.6189999999997</v>
      </c>
      <c r="W1100" s="201">
        <f t="shared" si="108"/>
        <v>5726.6189999999997</v>
      </c>
      <c r="X1100" s="201">
        <f t="shared" si="108"/>
        <v>0</v>
      </c>
    </row>
    <row r="1101" spans="1:24" s="169" customFormat="1" ht="13.8">
      <c r="A1101" s="193"/>
      <c r="B1101" s="187"/>
      <c r="C1101" s="183" t="str">
        <f t="shared" si="102"/>
        <v/>
      </c>
      <c r="D1101" s="182" t="str">
        <f t="shared" si="103"/>
        <v/>
      </c>
      <c r="E1101" s="192" t="s">
        <v>666</v>
      </c>
      <c r="F1101" s="192" t="s">
        <v>677</v>
      </c>
      <c r="G1101" s="192" t="s">
        <v>678</v>
      </c>
      <c r="H1101" s="210" t="s">
        <v>1440</v>
      </c>
      <c r="I1101" s="167">
        <v>5630056000</v>
      </c>
      <c r="J1101" s="166"/>
      <c r="K1101" s="167">
        <v>5630056000</v>
      </c>
      <c r="L1101" s="171"/>
      <c r="M1101" s="168">
        <f t="shared" si="104"/>
        <v>5630056000</v>
      </c>
      <c r="N1101" s="171"/>
      <c r="O1101" s="167">
        <v>5630056000</v>
      </c>
      <c r="P1101" s="167">
        <f t="shared" si="105"/>
        <v>5630056000</v>
      </c>
      <c r="Q1101" s="167"/>
      <c r="S1101" s="201">
        <f t="shared" si="106"/>
        <v>5630.0559999999996</v>
      </c>
      <c r="T1101" s="201">
        <f t="shared" si="108"/>
        <v>5630.0559999999996</v>
      </c>
      <c r="U1101" s="201">
        <f t="shared" si="108"/>
        <v>0</v>
      </c>
      <c r="V1101" s="201">
        <f t="shared" si="108"/>
        <v>5630.0559999999996</v>
      </c>
      <c r="W1101" s="201">
        <f t="shared" si="108"/>
        <v>5630.0559999999996</v>
      </c>
      <c r="X1101" s="201">
        <f t="shared" si="108"/>
        <v>0</v>
      </c>
    </row>
    <row r="1102" spans="1:24" s="169" customFormat="1" ht="13.8">
      <c r="A1102" s="194"/>
      <c r="B1102" s="184"/>
      <c r="C1102" s="183" t="str">
        <f t="shared" si="102"/>
        <v/>
      </c>
      <c r="D1102" s="182" t="str">
        <f t="shared" si="103"/>
        <v/>
      </c>
      <c r="E1102" s="192" t="s">
        <v>679</v>
      </c>
      <c r="F1102" s="192" t="s">
        <v>677</v>
      </c>
      <c r="G1102" s="192" t="s">
        <v>678</v>
      </c>
      <c r="H1102" s="210" t="s">
        <v>1440</v>
      </c>
      <c r="I1102" s="167">
        <v>88000000</v>
      </c>
      <c r="J1102" s="166"/>
      <c r="K1102" s="166"/>
      <c r="L1102" s="168">
        <v>88000000</v>
      </c>
      <c r="M1102" s="168">
        <f t="shared" si="104"/>
        <v>88000000</v>
      </c>
      <c r="N1102" s="168"/>
      <c r="O1102" s="167">
        <v>88000000</v>
      </c>
      <c r="P1102" s="167">
        <f t="shared" si="105"/>
        <v>88000000</v>
      </c>
      <c r="Q1102" s="167"/>
      <c r="S1102" s="201">
        <f t="shared" si="106"/>
        <v>88</v>
      </c>
      <c r="T1102" s="201">
        <f t="shared" si="108"/>
        <v>88</v>
      </c>
      <c r="U1102" s="201">
        <f t="shared" si="108"/>
        <v>0</v>
      </c>
      <c r="V1102" s="201">
        <f t="shared" si="108"/>
        <v>88</v>
      </c>
      <c r="W1102" s="201">
        <f t="shared" si="108"/>
        <v>88</v>
      </c>
      <c r="X1102" s="201">
        <f t="shared" si="108"/>
        <v>0</v>
      </c>
    </row>
    <row r="1103" spans="1:24" s="169" customFormat="1" ht="13.8">
      <c r="A1103" s="195"/>
      <c r="B1103" s="188"/>
      <c r="C1103" s="183" t="str">
        <f t="shared" si="102"/>
        <v/>
      </c>
      <c r="D1103" s="182" t="str">
        <f t="shared" si="103"/>
        <v/>
      </c>
      <c r="E1103" s="192" t="s">
        <v>669</v>
      </c>
      <c r="F1103" s="192" t="s">
        <v>677</v>
      </c>
      <c r="G1103" s="192" t="s">
        <v>678</v>
      </c>
      <c r="H1103" s="210" t="s">
        <v>1440</v>
      </c>
      <c r="I1103" s="167">
        <v>8563000</v>
      </c>
      <c r="J1103" s="166"/>
      <c r="K1103" s="166"/>
      <c r="L1103" s="168">
        <v>8563000</v>
      </c>
      <c r="M1103" s="168">
        <f t="shared" si="104"/>
        <v>8563000</v>
      </c>
      <c r="N1103" s="168"/>
      <c r="O1103" s="167">
        <v>8563000</v>
      </c>
      <c r="P1103" s="167">
        <f t="shared" si="105"/>
        <v>8563000</v>
      </c>
      <c r="Q1103" s="167"/>
      <c r="S1103" s="201">
        <f t="shared" si="106"/>
        <v>8.5630000000000006</v>
      </c>
      <c r="T1103" s="201">
        <f t="shared" si="108"/>
        <v>8.5630000000000006</v>
      </c>
      <c r="U1103" s="201">
        <f t="shared" si="108"/>
        <v>0</v>
      </c>
      <c r="V1103" s="201">
        <f t="shared" si="108"/>
        <v>8.5630000000000006</v>
      </c>
      <c r="W1103" s="201">
        <f t="shared" si="108"/>
        <v>8.5630000000000006</v>
      </c>
      <c r="X1103" s="201">
        <f t="shared" si="108"/>
        <v>0</v>
      </c>
    </row>
    <row r="1104" spans="1:24" s="169" customFormat="1" ht="13.8">
      <c r="A1104" s="192"/>
      <c r="B1104" s="170" t="s">
        <v>686</v>
      </c>
      <c r="C1104" s="183" t="str">
        <f t="shared" si="102"/>
        <v/>
      </c>
      <c r="D1104" s="182" t="str">
        <f t="shared" si="103"/>
        <v/>
      </c>
      <c r="E1104" s="206"/>
      <c r="F1104" s="207"/>
      <c r="G1104" s="207"/>
      <c r="H1104" s="205"/>
      <c r="I1104" s="167">
        <v>621325000</v>
      </c>
      <c r="J1104" s="166"/>
      <c r="K1104" s="167">
        <v>617025000</v>
      </c>
      <c r="L1104" s="168">
        <v>4300000</v>
      </c>
      <c r="M1104" s="168">
        <f t="shared" si="104"/>
        <v>621325000</v>
      </c>
      <c r="N1104" s="168"/>
      <c r="O1104" s="167">
        <v>620395500</v>
      </c>
      <c r="P1104" s="167">
        <f t="shared" si="105"/>
        <v>620395500</v>
      </c>
      <c r="Q1104" s="167"/>
      <c r="S1104" s="201">
        <f t="shared" si="106"/>
        <v>621.32500000000005</v>
      </c>
      <c r="T1104" s="201">
        <f t="shared" si="108"/>
        <v>621.32500000000005</v>
      </c>
      <c r="U1104" s="201">
        <f t="shared" si="108"/>
        <v>0</v>
      </c>
      <c r="V1104" s="201">
        <f t="shared" si="108"/>
        <v>620.39549999999997</v>
      </c>
      <c r="W1104" s="201">
        <f t="shared" si="108"/>
        <v>620.39549999999997</v>
      </c>
      <c r="X1104" s="201">
        <f t="shared" si="108"/>
        <v>0</v>
      </c>
    </row>
    <row r="1105" spans="1:24" s="169" customFormat="1" ht="13.8">
      <c r="A1105" s="193"/>
      <c r="B1105" s="187"/>
      <c r="C1105" s="183" t="str">
        <f t="shared" si="102"/>
        <v/>
      </c>
      <c r="D1105" s="182" t="str">
        <f t="shared" si="103"/>
        <v/>
      </c>
      <c r="E1105" s="192" t="s">
        <v>681</v>
      </c>
      <c r="F1105" s="192" t="s">
        <v>677</v>
      </c>
      <c r="G1105" s="192" t="s">
        <v>678</v>
      </c>
      <c r="H1105" s="210" t="s">
        <v>1440</v>
      </c>
      <c r="I1105" s="167">
        <v>550000000</v>
      </c>
      <c r="J1105" s="166"/>
      <c r="K1105" s="167">
        <v>550000000</v>
      </c>
      <c r="L1105" s="171"/>
      <c r="M1105" s="168">
        <f t="shared" si="104"/>
        <v>550000000</v>
      </c>
      <c r="N1105" s="171"/>
      <c r="O1105" s="167">
        <v>549070500</v>
      </c>
      <c r="P1105" s="167">
        <f t="shared" si="105"/>
        <v>549070500</v>
      </c>
      <c r="Q1105" s="167"/>
      <c r="S1105" s="201">
        <f t="shared" si="106"/>
        <v>550</v>
      </c>
      <c r="T1105" s="201">
        <f t="shared" si="108"/>
        <v>550</v>
      </c>
      <c r="U1105" s="201">
        <f t="shared" si="108"/>
        <v>0</v>
      </c>
      <c r="V1105" s="201">
        <f t="shared" si="108"/>
        <v>549.07050000000004</v>
      </c>
      <c r="W1105" s="201">
        <f t="shared" si="108"/>
        <v>549.07050000000004</v>
      </c>
      <c r="X1105" s="201">
        <f t="shared" si="108"/>
        <v>0</v>
      </c>
    </row>
    <row r="1106" spans="1:24" s="169" customFormat="1" ht="13.8">
      <c r="A1106" s="195"/>
      <c r="B1106" s="188"/>
      <c r="C1106" s="183" t="str">
        <f t="shared" si="102"/>
        <v/>
      </c>
      <c r="D1106" s="182" t="str">
        <f t="shared" si="103"/>
        <v/>
      </c>
      <c r="E1106" s="192" t="s">
        <v>669</v>
      </c>
      <c r="F1106" s="192" t="s">
        <v>677</v>
      </c>
      <c r="G1106" s="192" t="s">
        <v>678</v>
      </c>
      <c r="H1106" s="210" t="s">
        <v>1440</v>
      </c>
      <c r="I1106" s="167">
        <v>71325000</v>
      </c>
      <c r="J1106" s="166"/>
      <c r="K1106" s="167">
        <v>67025000</v>
      </c>
      <c r="L1106" s="168">
        <v>4300000</v>
      </c>
      <c r="M1106" s="168">
        <f t="shared" si="104"/>
        <v>71325000</v>
      </c>
      <c r="N1106" s="168"/>
      <c r="O1106" s="167">
        <v>71325000</v>
      </c>
      <c r="P1106" s="167">
        <f t="shared" si="105"/>
        <v>71325000</v>
      </c>
      <c r="Q1106" s="167"/>
      <c r="S1106" s="201">
        <f t="shared" si="106"/>
        <v>71.325000000000003</v>
      </c>
      <c r="T1106" s="201">
        <f t="shared" si="108"/>
        <v>71.325000000000003</v>
      </c>
      <c r="U1106" s="201">
        <f t="shared" si="108"/>
        <v>0</v>
      </c>
      <c r="V1106" s="201">
        <f t="shared" si="108"/>
        <v>71.325000000000003</v>
      </c>
      <c r="W1106" s="201">
        <f t="shared" si="108"/>
        <v>71.325000000000003</v>
      </c>
      <c r="X1106" s="201">
        <f t="shared" si="108"/>
        <v>0</v>
      </c>
    </row>
    <row r="1107" spans="1:24" s="169" customFormat="1" ht="13.8">
      <c r="A1107" s="192" t="s">
        <v>1156</v>
      </c>
      <c r="B1107" s="170" t="s">
        <v>1157</v>
      </c>
      <c r="C1107" s="183" t="str">
        <f t="shared" si="102"/>
        <v>1064680</v>
      </c>
      <c r="D1107" s="182" t="str">
        <f t="shared" si="103"/>
        <v>-SỜ Tư Pháp</v>
      </c>
      <c r="E1107" s="206"/>
      <c r="F1107" s="207"/>
      <c r="G1107" s="207"/>
      <c r="H1107" s="205"/>
      <c r="I1107" s="167">
        <v>5453607532</v>
      </c>
      <c r="J1107" s="167">
        <v>169397532</v>
      </c>
      <c r="K1107" s="167">
        <v>5154842000</v>
      </c>
      <c r="L1107" s="168">
        <v>129368000</v>
      </c>
      <c r="M1107" s="168">
        <f t="shared" si="104"/>
        <v>5453607532</v>
      </c>
      <c r="N1107" s="168"/>
      <c r="O1107" s="167">
        <v>5284987032</v>
      </c>
      <c r="P1107" s="167">
        <f t="shared" si="105"/>
        <v>5284987032</v>
      </c>
      <c r="Q1107" s="167"/>
      <c r="S1107" s="201">
        <f t="shared" si="106"/>
        <v>5453.607532</v>
      </c>
      <c r="T1107" s="201">
        <f t="shared" si="108"/>
        <v>5453.607532</v>
      </c>
      <c r="U1107" s="201">
        <f t="shared" si="108"/>
        <v>0</v>
      </c>
      <c r="V1107" s="201">
        <f t="shared" si="108"/>
        <v>5284.987032</v>
      </c>
      <c r="W1107" s="201">
        <f t="shared" si="108"/>
        <v>5284.987032</v>
      </c>
      <c r="X1107" s="201">
        <f t="shared" si="108"/>
        <v>0</v>
      </c>
    </row>
    <row r="1108" spans="1:24" s="169" customFormat="1" ht="13.8">
      <c r="A1108" s="192" t="s">
        <v>1158</v>
      </c>
      <c r="B1108" s="170" t="s">
        <v>689</v>
      </c>
      <c r="C1108" s="183" t="str">
        <f t="shared" si="102"/>
        <v/>
      </c>
      <c r="D1108" s="182" t="str">
        <f t="shared" si="103"/>
        <v/>
      </c>
      <c r="E1108" s="206"/>
      <c r="F1108" s="207"/>
      <c r="G1108" s="207"/>
      <c r="H1108" s="205"/>
      <c r="I1108" s="167">
        <v>5453607532</v>
      </c>
      <c r="J1108" s="167">
        <v>169397532</v>
      </c>
      <c r="K1108" s="167">
        <v>5154842000</v>
      </c>
      <c r="L1108" s="168">
        <v>129368000</v>
      </c>
      <c r="M1108" s="168">
        <f t="shared" si="104"/>
        <v>5453607532</v>
      </c>
      <c r="N1108" s="168"/>
      <c r="O1108" s="167">
        <v>5284987032</v>
      </c>
      <c r="P1108" s="167">
        <f t="shared" si="105"/>
        <v>5284987032</v>
      </c>
      <c r="Q1108" s="167"/>
      <c r="S1108" s="201">
        <f t="shared" si="106"/>
        <v>5453.607532</v>
      </c>
      <c r="T1108" s="201">
        <f t="shared" si="108"/>
        <v>5453.607532</v>
      </c>
      <c r="U1108" s="201">
        <f t="shared" si="108"/>
        <v>0</v>
      </c>
      <c r="V1108" s="201">
        <f t="shared" si="108"/>
        <v>5284.987032</v>
      </c>
      <c r="W1108" s="201">
        <f t="shared" si="108"/>
        <v>5284.987032</v>
      </c>
      <c r="X1108" s="201">
        <f t="shared" si="108"/>
        <v>0</v>
      </c>
    </row>
    <row r="1109" spans="1:24" s="169" customFormat="1" ht="13.8">
      <c r="A1109" s="192"/>
      <c r="B1109" s="170" t="s">
        <v>690</v>
      </c>
      <c r="C1109" s="183" t="str">
        <f t="shared" si="102"/>
        <v/>
      </c>
      <c r="D1109" s="182" t="str">
        <f t="shared" si="103"/>
        <v/>
      </c>
      <c r="E1109" s="206"/>
      <c r="F1109" s="207"/>
      <c r="G1109" s="207"/>
      <c r="H1109" s="205"/>
      <c r="I1109" s="167">
        <v>3588786432</v>
      </c>
      <c r="J1109" s="167">
        <v>19476432</v>
      </c>
      <c r="K1109" s="167">
        <v>3519510000</v>
      </c>
      <c r="L1109" s="168">
        <v>49800000</v>
      </c>
      <c r="M1109" s="168">
        <f t="shared" si="104"/>
        <v>3588786432</v>
      </c>
      <c r="N1109" s="168"/>
      <c r="O1109" s="167">
        <v>3588786432</v>
      </c>
      <c r="P1109" s="167">
        <f t="shared" si="105"/>
        <v>3588786432</v>
      </c>
      <c r="Q1109" s="167"/>
      <c r="S1109" s="201">
        <f t="shared" si="106"/>
        <v>3588.7864319999999</v>
      </c>
      <c r="T1109" s="201">
        <f t="shared" si="108"/>
        <v>3588.7864319999999</v>
      </c>
      <c r="U1109" s="201">
        <f t="shared" si="108"/>
        <v>0</v>
      </c>
      <c r="V1109" s="201">
        <f t="shared" si="108"/>
        <v>3588.7864319999999</v>
      </c>
      <c r="W1109" s="201">
        <f t="shared" si="108"/>
        <v>3588.7864319999999</v>
      </c>
      <c r="X1109" s="201">
        <f t="shared" si="108"/>
        <v>0</v>
      </c>
    </row>
    <row r="1110" spans="1:24" s="169" customFormat="1" ht="13.8">
      <c r="A1110" s="193"/>
      <c r="B1110" s="187"/>
      <c r="C1110" s="183" t="str">
        <f t="shared" ref="C1110:C1173" si="109">IF(B1110&lt;&gt;"",IF(AND(LEFT(B1110,1)&gt;="0",LEFT(B1110,1)&lt;="9"),LEFT(B1110,7),""),"")</f>
        <v/>
      </c>
      <c r="D1110" s="182" t="str">
        <f t="shared" si="103"/>
        <v/>
      </c>
      <c r="E1110" s="192" t="s">
        <v>666</v>
      </c>
      <c r="F1110" s="192" t="s">
        <v>854</v>
      </c>
      <c r="G1110" s="192" t="s">
        <v>695</v>
      </c>
      <c r="H1110" s="210" t="s">
        <v>1440</v>
      </c>
      <c r="I1110" s="167">
        <v>3538986432</v>
      </c>
      <c r="J1110" s="167">
        <v>19476432</v>
      </c>
      <c r="K1110" s="167">
        <v>3519510000</v>
      </c>
      <c r="L1110" s="171"/>
      <c r="M1110" s="168">
        <f t="shared" si="104"/>
        <v>3538986432</v>
      </c>
      <c r="N1110" s="171"/>
      <c r="O1110" s="167">
        <v>3538986432</v>
      </c>
      <c r="P1110" s="167">
        <f t="shared" si="105"/>
        <v>3538986432</v>
      </c>
      <c r="Q1110" s="167"/>
      <c r="S1110" s="201">
        <f t="shared" si="106"/>
        <v>3538.9864320000001</v>
      </c>
      <c r="T1110" s="201">
        <f t="shared" si="108"/>
        <v>3538.9864320000001</v>
      </c>
      <c r="U1110" s="201">
        <f t="shared" si="108"/>
        <v>0</v>
      </c>
      <c r="V1110" s="201">
        <f t="shared" si="108"/>
        <v>3538.9864320000001</v>
      </c>
      <c r="W1110" s="201">
        <f t="shared" si="108"/>
        <v>3538.9864320000001</v>
      </c>
      <c r="X1110" s="201">
        <f t="shared" si="108"/>
        <v>0</v>
      </c>
    </row>
    <row r="1111" spans="1:24" s="169" customFormat="1" ht="13.8">
      <c r="A1111" s="195"/>
      <c r="B1111" s="188"/>
      <c r="C1111" s="183" t="str">
        <f t="shared" si="109"/>
        <v/>
      </c>
      <c r="D1111" s="182" t="str">
        <f t="shared" ref="D1111:D1174" si="110">IF(C1111&lt;&gt;"",RIGHT(B1111,LEN(B1111)-7),"")</f>
        <v/>
      </c>
      <c r="E1111" s="192" t="s">
        <v>679</v>
      </c>
      <c r="F1111" s="192" t="s">
        <v>854</v>
      </c>
      <c r="G1111" s="192" t="s">
        <v>695</v>
      </c>
      <c r="H1111" s="210" t="s">
        <v>1440</v>
      </c>
      <c r="I1111" s="167">
        <v>49800000</v>
      </c>
      <c r="J1111" s="166"/>
      <c r="K1111" s="166"/>
      <c r="L1111" s="168">
        <v>49800000</v>
      </c>
      <c r="M1111" s="168">
        <f t="shared" ref="M1111:M1174" si="111">I1111-N1111</f>
        <v>49800000</v>
      </c>
      <c r="N1111" s="168"/>
      <c r="O1111" s="167">
        <v>49800000</v>
      </c>
      <c r="P1111" s="167">
        <f t="shared" ref="P1111:P1174" si="112">O1111-Q1111</f>
        <v>49800000</v>
      </c>
      <c r="Q1111" s="167"/>
      <c r="S1111" s="201">
        <f t="shared" ref="S1111:S1174" si="113">I1111/1000000</f>
        <v>49.8</v>
      </c>
      <c r="T1111" s="201">
        <f t="shared" si="108"/>
        <v>49.8</v>
      </c>
      <c r="U1111" s="201">
        <f t="shared" si="108"/>
        <v>0</v>
      </c>
      <c r="V1111" s="201">
        <f t="shared" si="108"/>
        <v>49.8</v>
      </c>
      <c r="W1111" s="201">
        <f t="shared" si="108"/>
        <v>49.8</v>
      </c>
      <c r="X1111" s="201">
        <f t="shared" si="108"/>
        <v>0</v>
      </c>
    </row>
    <row r="1112" spans="1:24" s="169" customFormat="1" ht="13.8">
      <c r="A1112" s="192"/>
      <c r="B1112" s="170" t="s">
        <v>686</v>
      </c>
      <c r="C1112" s="183" t="str">
        <f t="shared" si="109"/>
        <v/>
      </c>
      <c r="D1112" s="182" t="str">
        <f t="shared" si="110"/>
        <v/>
      </c>
      <c r="E1112" s="206"/>
      <c r="F1112" s="207"/>
      <c r="G1112" s="207"/>
      <c r="H1112" s="205"/>
      <c r="I1112" s="167">
        <v>1864821100</v>
      </c>
      <c r="J1112" s="167">
        <v>149921100</v>
      </c>
      <c r="K1112" s="167">
        <v>1635332000</v>
      </c>
      <c r="L1112" s="168">
        <v>79568000</v>
      </c>
      <c r="M1112" s="168">
        <f t="shared" si="111"/>
        <v>1864821100</v>
      </c>
      <c r="N1112" s="168"/>
      <c r="O1112" s="167">
        <v>1696200600</v>
      </c>
      <c r="P1112" s="167">
        <f t="shared" si="112"/>
        <v>1696200600</v>
      </c>
      <c r="Q1112" s="167"/>
      <c r="S1112" s="201">
        <f t="shared" si="113"/>
        <v>1864.8210999999999</v>
      </c>
      <c r="T1112" s="201">
        <f t="shared" si="108"/>
        <v>1864.8210999999999</v>
      </c>
      <c r="U1112" s="201">
        <f t="shared" si="108"/>
        <v>0</v>
      </c>
      <c r="V1112" s="201">
        <f t="shared" si="108"/>
        <v>1696.2005999999999</v>
      </c>
      <c r="W1112" s="201">
        <f t="shared" si="108"/>
        <v>1696.2005999999999</v>
      </c>
      <c r="X1112" s="201">
        <f t="shared" si="108"/>
        <v>0</v>
      </c>
    </row>
    <row r="1113" spans="1:24" s="169" customFormat="1" ht="13.8">
      <c r="A1113" s="193"/>
      <c r="B1113" s="187"/>
      <c r="C1113" s="183" t="str">
        <f t="shared" si="109"/>
        <v/>
      </c>
      <c r="D1113" s="182" t="str">
        <f t="shared" si="110"/>
        <v/>
      </c>
      <c r="E1113" s="192" t="s">
        <v>681</v>
      </c>
      <c r="F1113" s="192" t="s">
        <v>854</v>
      </c>
      <c r="G1113" s="192" t="s">
        <v>855</v>
      </c>
      <c r="H1113" s="210" t="s">
        <v>1440</v>
      </c>
      <c r="I1113" s="167">
        <v>1027421100</v>
      </c>
      <c r="J1113" s="167">
        <v>149921100</v>
      </c>
      <c r="K1113" s="167">
        <v>846000000</v>
      </c>
      <c r="L1113" s="168">
        <v>31500000</v>
      </c>
      <c r="M1113" s="168">
        <f t="shared" si="111"/>
        <v>1027421100</v>
      </c>
      <c r="N1113" s="168"/>
      <c r="O1113" s="167">
        <v>858800600</v>
      </c>
      <c r="P1113" s="167">
        <f t="shared" si="112"/>
        <v>858800600</v>
      </c>
      <c r="Q1113" s="167"/>
      <c r="S1113" s="201">
        <f t="shared" si="113"/>
        <v>1027.4211</v>
      </c>
      <c r="T1113" s="201">
        <f t="shared" si="108"/>
        <v>1027.4211</v>
      </c>
      <c r="U1113" s="201">
        <f t="shared" si="108"/>
        <v>0</v>
      </c>
      <c r="V1113" s="201">
        <f t="shared" si="108"/>
        <v>858.80060000000003</v>
      </c>
      <c r="W1113" s="201">
        <f t="shared" si="108"/>
        <v>858.80060000000003</v>
      </c>
      <c r="X1113" s="201">
        <f t="shared" si="108"/>
        <v>0</v>
      </c>
    </row>
    <row r="1114" spans="1:24" s="169" customFormat="1" ht="13.8">
      <c r="A1114" s="194"/>
      <c r="B1114" s="184"/>
      <c r="C1114" s="183" t="str">
        <f t="shared" si="109"/>
        <v/>
      </c>
      <c r="D1114" s="182" t="str">
        <f t="shared" si="110"/>
        <v/>
      </c>
      <c r="E1114" s="192" t="s">
        <v>681</v>
      </c>
      <c r="F1114" s="192" t="s">
        <v>854</v>
      </c>
      <c r="G1114" s="192" t="s">
        <v>695</v>
      </c>
      <c r="H1114" s="210" t="s">
        <v>1440</v>
      </c>
      <c r="I1114" s="167">
        <v>813332000</v>
      </c>
      <c r="J1114" s="166"/>
      <c r="K1114" s="167">
        <v>789332000</v>
      </c>
      <c r="L1114" s="168">
        <v>24000000</v>
      </c>
      <c r="M1114" s="168">
        <f t="shared" si="111"/>
        <v>813332000</v>
      </c>
      <c r="N1114" s="168"/>
      <c r="O1114" s="167">
        <v>813332000</v>
      </c>
      <c r="P1114" s="167">
        <f t="shared" si="112"/>
        <v>813332000</v>
      </c>
      <c r="Q1114" s="167"/>
      <c r="S1114" s="201">
        <f t="shared" si="113"/>
        <v>813.33199999999999</v>
      </c>
      <c r="T1114" s="201">
        <f t="shared" si="108"/>
        <v>813.33199999999999</v>
      </c>
      <c r="U1114" s="201">
        <f t="shared" si="108"/>
        <v>0</v>
      </c>
      <c r="V1114" s="201">
        <f t="shared" si="108"/>
        <v>813.33199999999999</v>
      </c>
      <c r="W1114" s="201">
        <f t="shared" si="108"/>
        <v>813.33199999999999</v>
      </c>
      <c r="X1114" s="201">
        <f t="shared" si="108"/>
        <v>0</v>
      </c>
    </row>
    <row r="1115" spans="1:24" s="169" customFormat="1" ht="13.8">
      <c r="A1115" s="195"/>
      <c r="B1115" s="188"/>
      <c r="C1115" s="183" t="str">
        <f t="shared" si="109"/>
        <v/>
      </c>
      <c r="D1115" s="182" t="str">
        <f t="shared" si="110"/>
        <v/>
      </c>
      <c r="E1115" s="192" t="s">
        <v>681</v>
      </c>
      <c r="F1115" s="192" t="s">
        <v>854</v>
      </c>
      <c r="G1115" s="192" t="s">
        <v>915</v>
      </c>
      <c r="H1115" s="210" t="s">
        <v>1440</v>
      </c>
      <c r="I1115" s="167">
        <v>24068000</v>
      </c>
      <c r="J1115" s="166"/>
      <c r="K1115" s="166"/>
      <c r="L1115" s="168">
        <v>24068000</v>
      </c>
      <c r="M1115" s="168">
        <f t="shared" si="111"/>
        <v>24068000</v>
      </c>
      <c r="N1115" s="168"/>
      <c r="O1115" s="167">
        <v>24068000</v>
      </c>
      <c r="P1115" s="167">
        <f t="shared" si="112"/>
        <v>24068000</v>
      </c>
      <c r="Q1115" s="167"/>
      <c r="S1115" s="201">
        <f t="shared" si="113"/>
        <v>24.068000000000001</v>
      </c>
      <c r="T1115" s="201">
        <f t="shared" si="108"/>
        <v>24.068000000000001</v>
      </c>
      <c r="U1115" s="201">
        <f t="shared" si="108"/>
        <v>0</v>
      </c>
      <c r="V1115" s="201">
        <f t="shared" si="108"/>
        <v>24.068000000000001</v>
      </c>
      <c r="W1115" s="201">
        <f t="shared" si="108"/>
        <v>24.068000000000001</v>
      </c>
      <c r="X1115" s="201">
        <f t="shared" si="108"/>
        <v>0</v>
      </c>
    </row>
    <row r="1116" spans="1:24" s="169" customFormat="1" ht="39.6">
      <c r="A1116" s="192" t="s">
        <v>1159</v>
      </c>
      <c r="B1116" s="165" t="s">
        <v>1160</v>
      </c>
      <c r="C1116" s="183" t="str">
        <f t="shared" si="109"/>
        <v>1065149</v>
      </c>
      <c r="D1116" s="182" t="str">
        <f t="shared" si="110"/>
        <v>-Trung Tâm ứng dụng Tiẽn JỘ Khoa Học và Công nghệ Kon Tum</v>
      </c>
      <c r="E1116" s="206"/>
      <c r="F1116" s="207"/>
      <c r="G1116" s="207"/>
      <c r="H1116" s="205"/>
      <c r="I1116" s="167">
        <v>1405882090</v>
      </c>
      <c r="J1116" s="167">
        <v>65282090</v>
      </c>
      <c r="K1116" s="167">
        <v>1338900000</v>
      </c>
      <c r="L1116" s="168">
        <v>1700000</v>
      </c>
      <c r="M1116" s="168">
        <f t="shared" si="111"/>
        <v>1405882090</v>
      </c>
      <c r="N1116" s="168"/>
      <c r="O1116" s="167">
        <v>1337300106</v>
      </c>
      <c r="P1116" s="167">
        <f t="shared" si="112"/>
        <v>1337300106</v>
      </c>
      <c r="Q1116" s="167"/>
      <c r="S1116" s="201">
        <f t="shared" si="113"/>
        <v>1405.8820900000001</v>
      </c>
      <c r="T1116" s="201">
        <f t="shared" si="108"/>
        <v>1405.8820900000001</v>
      </c>
      <c r="U1116" s="201">
        <f t="shared" si="108"/>
        <v>0</v>
      </c>
      <c r="V1116" s="201">
        <f t="shared" si="108"/>
        <v>1337.3001059999999</v>
      </c>
      <c r="W1116" s="201">
        <f t="shared" si="108"/>
        <v>1337.3001059999999</v>
      </c>
      <c r="X1116" s="201">
        <f t="shared" si="108"/>
        <v>0</v>
      </c>
    </row>
    <row r="1117" spans="1:24" s="169" customFormat="1" ht="13.8">
      <c r="A1117" s="192" t="s">
        <v>1161</v>
      </c>
      <c r="B1117" s="170" t="s">
        <v>689</v>
      </c>
      <c r="C1117" s="183" t="str">
        <f t="shared" si="109"/>
        <v/>
      </c>
      <c r="D1117" s="182" t="str">
        <f t="shared" si="110"/>
        <v/>
      </c>
      <c r="E1117" s="206"/>
      <c r="F1117" s="207"/>
      <c r="G1117" s="207"/>
      <c r="H1117" s="205"/>
      <c r="I1117" s="167">
        <v>1405882090</v>
      </c>
      <c r="J1117" s="167">
        <v>65282090</v>
      </c>
      <c r="K1117" s="167">
        <v>1338900000</v>
      </c>
      <c r="L1117" s="168">
        <v>1700000</v>
      </c>
      <c r="M1117" s="168">
        <f t="shared" si="111"/>
        <v>1405882090</v>
      </c>
      <c r="N1117" s="168"/>
      <c r="O1117" s="167">
        <v>1337300106</v>
      </c>
      <c r="P1117" s="167">
        <f t="shared" si="112"/>
        <v>1337300106</v>
      </c>
      <c r="Q1117" s="167"/>
      <c r="S1117" s="201">
        <f t="shared" si="113"/>
        <v>1405.8820900000001</v>
      </c>
      <c r="T1117" s="201">
        <f t="shared" si="108"/>
        <v>1405.8820900000001</v>
      </c>
      <c r="U1117" s="201">
        <f t="shared" si="108"/>
        <v>0</v>
      </c>
      <c r="V1117" s="201">
        <f t="shared" si="108"/>
        <v>1337.3001059999999</v>
      </c>
      <c r="W1117" s="201">
        <f t="shared" si="108"/>
        <v>1337.3001059999999</v>
      </c>
      <c r="X1117" s="201">
        <f t="shared" si="108"/>
        <v>0</v>
      </c>
    </row>
    <row r="1118" spans="1:24" s="169" customFormat="1" ht="13.8">
      <c r="A1118" s="192"/>
      <c r="B1118" s="170" t="s">
        <v>690</v>
      </c>
      <c r="C1118" s="183" t="str">
        <f t="shared" si="109"/>
        <v/>
      </c>
      <c r="D1118" s="182" t="str">
        <f t="shared" si="110"/>
        <v/>
      </c>
      <c r="E1118" s="206"/>
      <c r="F1118" s="207"/>
      <c r="G1118" s="207"/>
      <c r="H1118" s="205"/>
      <c r="I1118" s="167">
        <v>821600000</v>
      </c>
      <c r="J1118" s="166"/>
      <c r="K1118" s="167">
        <v>819900000</v>
      </c>
      <c r="L1118" s="168">
        <v>1700000</v>
      </c>
      <c r="M1118" s="168">
        <f t="shared" si="111"/>
        <v>821600000</v>
      </c>
      <c r="N1118" s="168"/>
      <c r="O1118" s="167">
        <v>821600000</v>
      </c>
      <c r="P1118" s="167">
        <f t="shared" si="112"/>
        <v>821600000</v>
      </c>
      <c r="Q1118" s="167"/>
      <c r="S1118" s="201">
        <f t="shared" si="113"/>
        <v>821.6</v>
      </c>
      <c r="T1118" s="201">
        <f t="shared" si="108"/>
        <v>821.6</v>
      </c>
      <c r="U1118" s="201">
        <f t="shared" si="108"/>
        <v>0</v>
      </c>
      <c r="V1118" s="201">
        <f t="shared" si="108"/>
        <v>821.6</v>
      </c>
      <c r="W1118" s="201">
        <f t="shared" si="108"/>
        <v>821.6</v>
      </c>
      <c r="X1118" s="201">
        <f t="shared" si="108"/>
        <v>0</v>
      </c>
    </row>
    <row r="1119" spans="1:24" s="169" customFormat="1" ht="13.8">
      <c r="A1119" s="192"/>
      <c r="B1119" s="173"/>
      <c r="C1119" s="183" t="str">
        <f t="shared" si="109"/>
        <v/>
      </c>
      <c r="D1119" s="182" t="str">
        <f t="shared" si="110"/>
        <v/>
      </c>
      <c r="E1119" s="192"/>
      <c r="F1119" s="192"/>
      <c r="G1119" s="192"/>
      <c r="H1119" s="210"/>
      <c r="I1119" s="174"/>
      <c r="J1119" s="174"/>
      <c r="K1119" s="174"/>
      <c r="L1119" s="175"/>
      <c r="M1119" s="168">
        <f t="shared" si="111"/>
        <v>0</v>
      </c>
      <c r="N1119" s="175"/>
      <c r="O1119" s="174"/>
      <c r="P1119" s="167">
        <f t="shared" si="112"/>
        <v>0</v>
      </c>
      <c r="Q1119" s="174"/>
      <c r="S1119" s="201">
        <f t="shared" si="113"/>
        <v>0</v>
      </c>
      <c r="T1119" s="201">
        <f t="shared" si="108"/>
        <v>0</v>
      </c>
      <c r="U1119" s="201">
        <f t="shared" si="108"/>
        <v>0</v>
      </c>
      <c r="V1119" s="201">
        <f t="shared" si="108"/>
        <v>0</v>
      </c>
      <c r="W1119" s="201">
        <f t="shared" si="108"/>
        <v>0</v>
      </c>
      <c r="X1119" s="201">
        <f t="shared" si="108"/>
        <v>0</v>
      </c>
    </row>
    <row r="1120" spans="1:24" s="169" customFormat="1" ht="13.8">
      <c r="A1120" s="193"/>
      <c r="B1120" s="187"/>
      <c r="C1120" s="183" t="str">
        <f t="shared" si="109"/>
        <v/>
      </c>
      <c r="D1120" s="182" t="str">
        <f t="shared" si="110"/>
        <v/>
      </c>
      <c r="E1120" s="192" t="s">
        <v>666</v>
      </c>
      <c r="F1120" s="192" t="s">
        <v>1122</v>
      </c>
      <c r="G1120" s="192" t="s">
        <v>785</v>
      </c>
      <c r="H1120" s="210" t="s">
        <v>1440</v>
      </c>
      <c r="I1120" s="167">
        <v>819900000</v>
      </c>
      <c r="J1120" s="166"/>
      <c r="K1120" s="167">
        <v>819900000</v>
      </c>
      <c r="L1120" s="171"/>
      <c r="M1120" s="168">
        <f t="shared" si="111"/>
        <v>819900000</v>
      </c>
      <c r="N1120" s="171"/>
      <c r="O1120" s="167">
        <v>819900000</v>
      </c>
      <c r="P1120" s="167">
        <f t="shared" si="112"/>
        <v>819900000</v>
      </c>
      <c r="Q1120" s="167"/>
      <c r="S1120" s="201">
        <f t="shared" si="113"/>
        <v>819.9</v>
      </c>
      <c r="T1120" s="201">
        <f t="shared" si="108"/>
        <v>819.9</v>
      </c>
      <c r="U1120" s="201">
        <f t="shared" si="108"/>
        <v>0</v>
      </c>
      <c r="V1120" s="201">
        <f t="shared" si="108"/>
        <v>819.9</v>
      </c>
      <c r="W1120" s="201">
        <f t="shared" si="108"/>
        <v>819.9</v>
      </c>
      <c r="X1120" s="201">
        <f t="shared" si="108"/>
        <v>0</v>
      </c>
    </row>
    <row r="1121" spans="1:24" s="169" customFormat="1" ht="13.8">
      <c r="A1121" s="195"/>
      <c r="B1121" s="188"/>
      <c r="C1121" s="183" t="str">
        <f t="shared" si="109"/>
        <v/>
      </c>
      <c r="D1121" s="182" t="str">
        <f t="shared" si="110"/>
        <v/>
      </c>
      <c r="E1121" s="192" t="s">
        <v>679</v>
      </c>
      <c r="F1121" s="192" t="s">
        <v>1122</v>
      </c>
      <c r="G1121" s="192" t="s">
        <v>785</v>
      </c>
      <c r="H1121" s="210" t="s">
        <v>1440</v>
      </c>
      <c r="I1121" s="167">
        <v>1700000</v>
      </c>
      <c r="J1121" s="166"/>
      <c r="K1121" s="166"/>
      <c r="L1121" s="168">
        <v>1700000</v>
      </c>
      <c r="M1121" s="168">
        <f t="shared" si="111"/>
        <v>1700000</v>
      </c>
      <c r="N1121" s="168"/>
      <c r="O1121" s="167">
        <v>1700000</v>
      </c>
      <c r="P1121" s="167">
        <f t="shared" si="112"/>
        <v>1700000</v>
      </c>
      <c r="Q1121" s="167"/>
      <c r="S1121" s="201">
        <f t="shared" si="113"/>
        <v>1.7</v>
      </c>
      <c r="T1121" s="201">
        <f t="shared" si="108"/>
        <v>1.7</v>
      </c>
      <c r="U1121" s="201">
        <f t="shared" si="108"/>
        <v>0</v>
      </c>
      <c r="V1121" s="201">
        <f t="shared" si="108"/>
        <v>1.7</v>
      </c>
      <c r="W1121" s="201">
        <f t="shared" si="108"/>
        <v>1.7</v>
      </c>
      <c r="X1121" s="201">
        <f t="shared" si="108"/>
        <v>0</v>
      </c>
    </row>
    <row r="1122" spans="1:24" s="169" customFormat="1" ht="13.8">
      <c r="A1122" s="192"/>
      <c r="B1122" s="170" t="s">
        <v>686</v>
      </c>
      <c r="C1122" s="183" t="str">
        <f t="shared" si="109"/>
        <v/>
      </c>
      <c r="D1122" s="182" t="str">
        <f t="shared" si="110"/>
        <v/>
      </c>
      <c r="E1122" s="206"/>
      <c r="F1122" s="207"/>
      <c r="G1122" s="207"/>
      <c r="H1122" s="205"/>
      <c r="I1122" s="167">
        <v>584282090</v>
      </c>
      <c r="J1122" s="167">
        <v>65282090</v>
      </c>
      <c r="K1122" s="167">
        <v>519000000</v>
      </c>
      <c r="L1122" s="171"/>
      <c r="M1122" s="168">
        <f t="shared" si="111"/>
        <v>584282090</v>
      </c>
      <c r="N1122" s="171"/>
      <c r="O1122" s="167">
        <v>515700106</v>
      </c>
      <c r="P1122" s="167">
        <f t="shared" si="112"/>
        <v>515700106</v>
      </c>
      <c r="Q1122" s="167"/>
      <c r="S1122" s="201">
        <f t="shared" si="113"/>
        <v>584.28209000000004</v>
      </c>
      <c r="T1122" s="201">
        <f t="shared" si="108"/>
        <v>584.28209000000004</v>
      </c>
      <c r="U1122" s="201">
        <f t="shared" si="108"/>
        <v>0</v>
      </c>
      <c r="V1122" s="201">
        <f t="shared" si="108"/>
        <v>515.70010600000001</v>
      </c>
      <c r="W1122" s="201">
        <f t="shared" si="108"/>
        <v>515.70010600000001</v>
      </c>
      <c r="X1122" s="201">
        <f t="shared" si="108"/>
        <v>0</v>
      </c>
    </row>
    <row r="1123" spans="1:24" s="169" customFormat="1" ht="13.8">
      <c r="A1123" s="192"/>
      <c r="B1123" s="164"/>
      <c r="C1123" s="183" t="str">
        <f t="shared" si="109"/>
        <v/>
      </c>
      <c r="D1123" s="182" t="str">
        <f t="shared" si="110"/>
        <v/>
      </c>
      <c r="E1123" s="192" t="s">
        <v>681</v>
      </c>
      <c r="F1123" s="192" t="s">
        <v>1122</v>
      </c>
      <c r="G1123" s="192" t="s">
        <v>785</v>
      </c>
      <c r="H1123" s="210" t="s">
        <v>1440</v>
      </c>
      <c r="I1123" s="167">
        <v>584282090</v>
      </c>
      <c r="J1123" s="167">
        <v>65282090</v>
      </c>
      <c r="K1123" s="167">
        <v>519000000</v>
      </c>
      <c r="L1123" s="171"/>
      <c r="M1123" s="168">
        <f t="shared" si="111"/>
        <v>584282090</v>
      </c>
      <c r="N1123" s="171"/>
      <c r="O1123" s="167">
        <v>515700106</v>
      </c>
      <c r="P1123" s="167">
        <f t="shared" si="112"/>
        <v>515700106</v>
      </c>
      <c r="Q1123" s="167"/>
      <c r="S1123" s="201">
        <f t="shared" si="113"/>
        <v>584.28209000000004</v>
      </c>
      <c r="T1123" s="201">
        <f t="shared" si="108"/>
        <v>584.28209000000004</v>
      </c>
      <c r="U1123" s="201">
        <f t="shared" si="108"/>
        <v>0</v>
      </c>
      <c r="V1123" s="201">
        <f t="shared" si="108"/>
        <v>515.70010600000001</v>
      </c>
      <c r="W1123" s="201">
        <f t="shared" si="108"/>
        <v>515.70010600000001</v>
      </c>
      <c r="X1123" s="201">
        <f t="shared" si="108"/>
        <v>0</v>
      </c>
    </row>
    <row r="1124" spans="1:24" s="169" customFormat="1" ht="26.4">
      <c r="A1124" s="192" t="s">
        <v>1162</v>
      </c>
      <c r="B1124" s="165" t="s">
        <v>1163</v>
      </c>
      <c r="C1124" s="183" t="str">
        <f t="shared" si="109"/>
        <v>1065150</v>
      </c>
      <c r="D1124" s="182" t="str">
        <f t="shared" si="110"/>
        <v>-Chi cục Tiêu chuẫn Đo lường Chăt lượng</v>
      </c>
      <c r="E1124" s="206"/>
      <c r="F1124" s="207"/>
      <c r="G1124" s="207"/>
      <c r="H1124" s="205"/>
      <c r="I1124" s="167">
        <v>1371800000</v>
      </c>
      <c r="J1124" s="166"/>
      <c r="K1124" s="167">
        <v>1348000000</v>
      </c>
      <c r="L1124" s="168">
        <v>23800000</v>
      </c>
      <c r="M1124" s="168">
        <f t="shared" si="111"/>
        <v>1371800000</v>
      </c>
      <c r="N1124" s="168"/>
      <c r="O1124" s="167">
        <v>1161647505</v>
      </c>
      <c r="P1124" s="167">
        <f t="shared" si="112"/>
        <v>1161647505</v>
      </c>
      <c r="Q1124" s="167"/>
      <c r="S1124" s="201">
        <f t="shared" si="113"/>
        <v>1371.8</v>
      </c>
      <c r="T1124" s="201">
        <f t="shared" si="108"/>
        <v>1371.8</v>
      </c>
      <c r="U1124" s="201">
        <f t="shared" si="108"/>
        <v>0</v>
      </c>
      <c r="V1124" s="201">
        <f t="shared" si="108"/>
        <v>1161.6475049999999</v>
      </c>
      <c r="W1124" s="201">
        <f t="shared" si="108"/>
        <v>1161.6475049999999</v>
      </c>
      <c r="X1124" s="201">
        <f t="shared" si="108"/>
        <v>0</v>
      </c>
    </row>
    <row r="1125" spans="1:24" s="169" customFormat="1" ht="13.8">
      <c r="A1125" s="192" t="s">
        <v>1164</v>
      </c>
      <c r="B1125" s="170" t="s">
        <v>689</v>
      </c>
      <c r="C1125" s="183" t="str">
        <f t="shared" si="109"/>
        <v/>
      </c>
      <c r="D1125" s="182" t="str">
        <f t="shared" si="110"/>
        <v/>
      </c>
      <c r="E1125" s="206"/>
      <c r="F1125" s="207"/>
      <c r="G1125" s="207"/>
      <c r="H1125" s="205"/>
      <c r="I1125" s="167">
        <v>1371800000</v>
      </c>
      <c r="J1125" s="166"/>
      <c r="K1125" s="167">
        <v>1348000000</v>
      </c>
      <c r="L1125" s="168">
        <v>23800000</v>
      </c>
      <c r="M1125" s="168">
        <f t="shared" si="111"/>
        <v>1371800000</v>
      </c>
      <c r="N1125" s="168"/>
      <c r="O1125" s="167">
        <v>1161647505</v>
      </c>
      <c r="P1125" s="167">
        <f t="shared" si="112"/>
        <v>1161647505</v>
      </c>
      <c r="Q1125" s="167"/>
      <c r="S1125" s="201">
        <f t="shared" si="113"/>
        <v>1371.8</v>
      </c>
      <c r="T1125" s="201">
        <f t="shared" si="108"/>
        <v>1371.8</v>
      </c>
      <c r="U1125" s="201">
        <f t="shared" si="108"/>
        <v>0</v>
      </c>
      <c r="V1125" s="201">
        <f t="shared" si="108"/>
        <v>1161.6475049999999</v>
      </c>
      <c r="W1125" s="201">
        <f t="shared" si="108"/>
        <v>1161.6475049999999</v>
      </c>
      <c r="X1125" s="201">
        <f t="shared" si="108"/>
        <v>0</v>
      </c>
    </row>
    <row r="1126" spans="1:24" s="169" customFormat="1" ht="13.8">
      <c r="A1126" s="192"/>
      <c r="B1126" s="170" t="s">
        <v>690</v>
      </c>
      <c r="C1126" s="183" t="str">
        <f t="shared" si="109"/>
        <v/>
      </c>
      <c r="D1126" s="182" t="str">
        <f t="shared" si="110"/>
        <v/>
      </c>
      <c r="E1126" s="206"/>
      <c r="F1126" s="207"/>
      <c r="G1126" s="207"/>
      <c r="H1126" s="205"/>
      <c r="I1126" s="167">
        <v>971800000</v>
      </c>
      <c r="J1126" s="166"/>
      <c r="K1126" s="167">
        <v>948000000</v>
      </c>
      <c r="L1126" s="168">
        <v>23800000</v>
      </c>
      <c r="M1126" s="168">
        <f t="shared" si="111"/>
        <v>971800000</v>
      </c>
      <c r="N1126" s="168"/>
      <c r="O1126" s="167">
        <v>971800000</v>
      </c>
      <c r="P1126" s="167">
        <f t="shared" si="112"/>
        <v>971800000</v>
      </c>
      <c r="Q1126" s="167"/>
      <c r="S1126" s="201">
        <f t="shared" si="113"/>
        <v>971.8</v>
      </c>
      <c r="T1126" s="201">
        <f t="shared" si="108"/>
        <v>971.8</v>
      </c>
      <c r="U1126" s="201">
        <f t="shared" si="108"/>
        <v>0</v>
      </c>
      <c r="V1126" s="201">
        <f t="shared" si="108"/>
        <v>971.8</v>
      </c>
      <c r="W1126" s="201">
        <f t="shared" si="108"/>
        <v>971.8</v>
      </c>
      <c r="X1126" s="201">
        <f t="shared" si="108"/>
        <v>0</v>
      </c>
    </row>
    <row r="1127" spans="1:24" s="169" customFormat="1" ht="13.8">
      <c r="A1127" s="193"/>
      <c r="B1127" s="187"/>
      <c r="C1127" s="183" t="str">
        <f t="shared" si="109"/>
        <v/>
      </c>
      <c r="D1127" s="182" t="str">
        <f t="shared" si="110"/>
        <v/>
      </c>
      <c r="E1127" s="192" t="s">
        <v>666</v>
      </c>
      <c r="F1127" s="192" t="s">
        <v>1122</v>
      </c>
      <c r="G1127" s="192" t="s">
        <v>695</v>
      </c>
      <c r="H1127" s="210" t="s">
        <v>1440</v>
      </c>
      <c r="I1127" s="167">
        <v>948000000</v>
      </c>
      <c r="J1127" s="166"/>
      <c r="K1127" s="167">
        <v>948000000</v>
      </c>
      <c r="L1127" s="171"/>
      <c r="M1127" s="168">
        <f t="shared" si="111"/>
        <v>948000000</v>
      </c>
      <c r="N1127" s="171"/>
      <c r="O1127" s="167">
        <v>948000000</v>
      </c>
      <c r="P1127" s="167">
        <f t="shared" si="112"/>
        <v>948000000</v>
      </c>
      <c r="Q1127" s="167"/>
      <c r="S1127" s="201">
        <f t="shared" si="113"/>
        <v>948</v>
      </c>
      <c r="T1127" s="201">
        <f t="shared" si="108"/>
        <v>948</v>
      </c>
      <c r="U1127" s="201">
        <f t="shared" si="108"/>
        <v>0</v>
      </c>
      <c r="V1127" s="201">
        <f t="shared" si="108"/>
        <v>948</v>
      </c>
      <c r="W1127" s="201">
        <f t="shared" si="108"/>
        <v>948</v>
      </c>
      <c r="X1127" s="201">
        <f t="shared" si="108"/>
        <v>0</v>
      </c>
    </row>
    <row r="1128" spans="1:24" s="169" customFormat="1" ht="13.8">
      <c r="A1128" s="195"/>
      <c r="B1128" s="188"/>
      <c r="C1128" s="183" t="str">
        <f t="shared" si="109"/>
        <v/>
      </c>
      <c r="D1128" s="182" t="str">
        <f t="shared" si="110"/>
        <v/>
      </c>
      <c r="E1128" s="192" t="s">
        <v>679</v>
      </c>
      <c r="F1128" s="192" t="s">
        <v>1122</v>
      </c>
      <c r="G1128" s="192" t="s">
        <v>695</v>
      </c>
      <c r="H1128" s="210" t="s">
        <v>1440</v>
      </c>
      <c r="I1128" s="167">
        <v>23800000</v>
      </c>
      <c r="J1128" s="166"/>
      <c r="K1128" s="166"/>
      <c r="L1128" s="168">
        <v>23800000</v>
      </c>
      <c r="M1128" s="168">
        <f t="shared" si="111"/>
        <v>23800000</v>
      </c>
      <c r="N1128" s="168"/>
      <c r="O1128" s="167">
        <v>23800000</v>
      </c>
      <c r="P1128" s="167">
        <f t="shared" si="112"/>
        <v>23800000</v>
      </c>
      <c r="Q1128" s="167"/>
      <c r="S1128" s="201">
        <f t="shared" si="113"/>
        <v>23.8</v>
      </c>
      <c r="T1128" s="201">
        <f t="shared" si="108"/>
        <v>23.8</v>
      </c>
      <c r="U1128" s="201">
        <f t="shared" si="108"/>
        <v>0</v>
      </c>
      <c r="V1128" s="201">
        <f t="shared" si="108"/>
        <v>23.8</v>
      </c>
      <c r="W1128" s="201">
        <f t="shared" si="108"/>
        <v>23.8</v>
      </c>
      <c r="X1128" s="201">
        <f t="shared" si="108"/>
        <v>0</v>
      </c>
    </row>
    <row r="1129" spans="1:24" s="169" customFormat="1" ht="13.8">
      <c r="A1129" s="192"/>
      <c r="B1129" s="170" t="s">
        <v>686</v>
      </c>
      <c r="C1129" s="183" t="str">
        <f t="shared" si="109"/>
        <v/>
      </c>
      <c r="D1129" s="182" t="str">
        <f t="shared" si="110"/>
        <v/>
      </c>
      <c r="E1129" s="206"/>
      <c r="F1129" s="207"/>
      <c r="G1129" s="207"/>
      <c r="H1129" s="205"/>
      <c r="I1129" s="167">
        <v>400000000</v>
      </c>
      <c r="J1129" s="166"/>
      <c r="K1129" s="167">
        <v>400000000</v>
      </c>
      <c r="L1129" s="171"/>
      <c r="M1129" s="168">
        <f t="shared" si="111"/>
        <v>400000000</v>
      </c>
      <c r="N1129" s="171"/>
      <c r="O1129" s="167">
        <v>189847505</v>
      </c>
      <c r="P1129" s="167">
        <f t="shared" si="112"/>
        <v>189847505</v>
      </c>
      <c r="Q1129" s="167"/>
      <c r="S1129" s="201">
        <f t="shared" si="113"/>
        <v>400</v>
      </c>
      <c r="T1129" s="201">
        <f t="shared" si="108"/>
        <v>400</v>
      </c>
      <c r="U1129" s="201">
        <f t="shared" si="108"/>
        <v>0</v>
      </c>
      <c r="V1129" s="201">
        <f t="shared" si="108"/>
        <v>189.84750500000001</v>
      </c>
      <c r="W1129" s="201">
        <f t="shared" si="108"/>
        <v>189.84750500000001</v>
      </c>
      <c r="X1129" s="201">
        <f t="shared" si="108"/>
        <v>0</v>
      </c>
    </row>
    <row r="1130" spans="1:24" s="169" customFormat="1" ht="13.8">
      <c r="A1130" s="192"/>
      <c r="B1130" s="164"/>
      <c r="C1130" s="183" t="str">
        <f t="shared" si="109"/>
        <v/>
      </c>
      <c r="D1130" s="182" t="str">
        <f t="shared" si="110"/>
        <v/>
      </c>
      <c r="E1130" s="192" t="s">
        <v>681</v>
      </c>
      <c r="F1130" s="192" t="s">
        <v>1122</v>
      </c>
      <c r="G1130" s="192" t="s">
        <v>785</v>
      </c>
      <c r="H1130" s="210" t="s">
        <v>1440</v>
      </c>
      <c r="I1130" s="167">
        <v>400000000</v>
      </c>
      <c r="J1130" s="166"/>
      <c r="K1130" s="167">
        <v>400000000</v>
      </c>
      <c r="L1130" s="171"/>
      <c r="M1130" s="168">
        <f t="shared" si="111"/>
        <v>400000000</v>
      </c>
      <c r="N1130" s="171"/>
      <c r="O1130" s="167">
        <v>189847505</v>
      </c>
      <c r="P1130" s="167">
        <f t="shared" si="112"/>
        <v>189847505</v>
      </c>
      <c r="Q1130" s="167"/>
      <c r="S1130" s="201">
        <f t="shared" si="113"/>
        <v>400</v>
      </c>
      <c r="T1130" s="201">
        <f t="shared" si="108"/>
        <v>400</v>
      </c>
      <c r="U1130" s="201">
        <f t="shared" si="108"/>
        <v>0</v>
      </c>
      <c r="V1130" s="201">
        <f t="shared" si="108"/>
        <v>189.84750500000001</v>
      </c>
      <c r="W1130" s="201">
        <f t="shared" si="108"/>
        <v>189.84750500000001</v>
      </c>
      <c r="X1130" s="201">
        <f t="shared" si="108"/>
        <v>0</v>
      </c>
    </row>
    <row r="1131" spans="1:24" s="169" customFormat="1" ht="13.8">
      <c r="A1131" s="192" t="s">
        <v>1165</v>
      </c>
      <c r="B1131" s="170" t="s">
        <v>1166</v>
      </c>
      <c r="C1131" s="183" t="str">
        <f t="shared" si="109"/>
        <v>1065152</v>
      </c>
      <c r="D1131" s="182" t="str">
        <f t="shared" si="110"/>
        <v>-SỜ Tài chính tỉnh Kontum</v>
      </c>
      <c r="E1131" s="206"/>
      <c r="F1131" s="207"/>
      <c r="G1131" s="207"/>
      <c r="H1131" s="205"/>
      <c r="I1131" s="167">
        <v>8988200000</v>
      </c>
      <c r="J1131" s="166"/>
      <c r="K1131" s="167">
        <v>8542000000</v>
      </c>
      <c r="L1131" s="168">
        <v>446200000</v>
      </c>
      <c r="M1131" s="168">
        <f t="shared" si="111"/>
        <v>8988200000</v>
      </c>
      <c r="N1131" s="168"/>
      <c r="O1131" s="167">
        <v>8988200000</v>
      </c>
      <c r="P1131" s="167">
        <f t="shared" si="112"/>
        <v>8988200000</v>
      </c>
      <c r="Q1131" s="167"/>
      <c r="S1131" s="201">
        <f t="shared" si="113"/>
        <v>8988.2000000000007</v>
      </c>
      <c r="T1131" s="201">
        <f t="shared" si="108"/>
        <v>8988.2000000000007</v>
      </c>
      <c r="U1131" s="201">
        <f t="shared" si="108"/>
        <v>0</v>
      </c>
      <c r="V1131" s="201">
        <f t="shared" si="108"/>
        <v>8988.2000000000007</v>
      </c>
      <c r="W1131" s="201">
        <f t="shared" si="108"/>
        <v>8988.2000000000007</v>
      </c>
      <c r="X1131" s="201">
        <f t="shared" si="108"/>
        <v>0</v>
      </c>
    </row>
    <row r="1132" spans="1:24" s="169" customFormat="1" ht="13.8">
      <c r="A1132" s="192" t="s">
        <v>1167</v>
      </c>
      <c r="B1132" s="170" t="s">
        <v>689</v>
      </c>
      <c r="C1132" s="183" t="str">
        <f t="shared" si="109"/>
        <v/>
      </c>
      <c r="D1132" s="182" t="str">
        <f t="shared" si="110"/>
        <v/>
      </c>
      <c r="E1132" s="206"/>
      <c r="F1132" s="207"/>
      <c r="G1132" s="207"/>
      <c r="H1132" s="205"/>
      <c r="I1132" s="167">
        <v>8988200000</v>
      </c>
      <c r="J1132" s="166"/>
      <c r="K1132" s="167">
        <v>8542000000</v>
      </c>
      <c r="L1132" s="168">
        <v>446200000</v>
      </c>
      <c r="M1132" s="168">
        <f t="shared" si="111"/>
        <v>8988200000</v>
      </c>
      <c r="N1132" s="168"/>
      <c r="O1132" s="167">
        <v>8988200000</v>
      </c>
      <c r="P1132" s="167">
        <f t="shared" si="112"/>
        <v>8988200000</v>
      </c>
      <c r="Q1132" s="167"/>
      <c r="S1132" s="201">
        <f t="shared" si="113"/>
        <v>8988.2000000000007</v>
      </c>
      <c r="T1132" s="201">
        <f t="shared" si="108"/>
        <v>8988.2000000000007</v>
      </c>
      <c r="U1132" s="201">
        <f t="shared" si="108"/>
        <v>0</v>
      </c>
      <c r="V1132" s="201">
        <f t="shared" si="108"/>
        <v>8988.2000000000007</v>
      </c>
      <c r="W1132" s="201">
        <f t="shared" si="108"/>
        <v>8988.2000000000007</v>
      </c>
      <c r="X1132" s="201">
        <f t="shared" si="108"/>
        <v>0</v>
      </c>
    </row>
    <row r="1133" spans="1:24" s="169" customFormat="1" ht="13.8">
      <c r="A1133" s="192"/>
      <c r="B1133" s="170" t="s">
        <v>690</v>
      </c>
      <c r="C1133" s="183" t="str">
        <f t="shared" si="109"/>
        <v/>
      </c>
      <c r="D1133" s="182" t="str">
        <f t="shared" si="110"/>
        <v/>
      </c>
      <c r="E1133" s="206"/>
      <c r="F1133" s="207"/>
      <c r="G1133" s="207"/>
      <c r="H1133" s="205"/>
      <c r="I1133" s="167">
        <v>6720700000</v>
      </c>
      <c r="J1133" s="166"/>
      <c r="K1133" s="167">
        <v>6471000000</v>
      </c>
      <c r="L1133" s="168">
        <v>249700000</v>
      </c>
      <c r="M1133" s="168">
        <f t="shared" si="111"/>
        <v>6720700000</v>
      </c>
      <c r="N1133" s="168"/>
      <c r="O1133" s="167">
        <v>6720700000</v>
      </c>
      <c r="P1133" s="167">
        <f t="shared" si="112"/>
        <v>6720700000</v>
      </c>
      <c r="Q1133" s="167"/>
      <c r="S1133" s="201">
        <f t="shared" si="113"/>
        <v>6720.7</v>
      </c>
      <c r="T1133" s="201">
        <f t="shared" si="108"/>
        <v>6720.7</v>
      </c>
      <c r="U1133" s="201">
        <f t="shared" si="108"/>
        <v>0</v>
      </c>
      <c r="V1133" s="201">
        <f t="shared" si="108"/>
        <v>6720.7</v>
      </c>
      <c r="W1133" s="201">
        <f t="shared" si="108"/>
        <v>6720.7</v>
      </c>
      <c r="X1133" s="201">
        <f t="shared" si="108"/>
        <v>0</v>
      </c>
    </row>
    <row r="1134" spans="1:24" s="169" customFormat="1" ht="13.8">
      <c r="A1134" s="193"/>
      <c r="B1134" s="187"/>
      <c r="C1134" s="183" t="str">
        <f t="shared" si="109"/>
        <v/>
      </c>
      <c r="D1134" s="182" t="str">
        <f t="shared" si="110"/>
        <v/>
      </c>
      <c r="E1134" s="192" t="s">
        <v>666</v>
      </c>
      <c r="F1134" s="192" t="s">
        <v>1168</v>
      </c>
      <c r="G1134" s="192" t="s">
        <v>695</v>
      </c>
      <c r="H1134" s="210" t="s">
        <v>1440</v>
      </c>
      <c r="I1134" s="167">
        <v>6553000000</v>
      </c>
      <c r="J1134" s="166"/>
      <c r="K1134" s="167">
        <v>6471000000</v>
      </c>
      <c r="L1134" s="168">
        <v>82000000</v>
      </c>
      <c r="M1134" s="168">
        <f t="shared" si="111"/>
        <v>6553000000</v>
      </c>
      <c r="N1134" s="168"/>
      <c r="O1134" s="167">
        <v>6553000000</v>
      </c>
      <c r="P1134" s="167">
        <f t="shared" si="112"/>
        <v>6553000000</v>
      </c>
      <c r="Q1134" s="167"/>
      <c r="S1134" s="201">
        <f t="shared" si="113"/>
        <v>6553</v>
      </c>
      <c r="T1134" s="201">
        <f t="shared" si="108"/>
        <v>6553</v>
      </c>
      <c r="U1134" s="201">
        <f t="shared" si="108"/>
        <v>0</v>
      </c>
      <c r="V1134" s="201">
        <f t="shared" si="108"/>
        <v>6553</v>
      </c>
      <c r="W1134" s="201">
        <f t="shared" si="108"/>
        <v>6553</v>
      </c>
      <c r="X1134" s="201">
        <f t="shared" si="108"/>
        <v>0</v>
      </c>
    </row>
    <row r="1135" spans="1:24" s="169" customFormat="1" ht="13.8">
      <c r="A1135" s="195"/>
      <c r="B1135" s="188"/>
      <c r="C1135" s="183" t="str">
        <f t="shared" si="109"/>
        <v/>
      </c>
      <c r="D1135" s="182" t="str">
        <f t="shared" si="110"/>
        <v/>
      </c>
      <c r="E1135" s="192" t="s">
        <v>679</v>
      </c>
      <c r="F1135" s="192" t="s">
        <v>1168</v>
      </c>
      <c r="G1135" s="192" t="s">
        <v>695</v>
      </c>
      <c r="H1135" s="210" t="s">
        <v>1440</v>
      </c>
      <c r="I1135" s="167">
        <v>167700000</v>
      </c>
      <c r="J1135" s="166"/>
      <c r="K1135" s="166"/>
      <c r="L1135" s="168">
        <v>167700000</v>
      </c>
      <c r="M1135" s="168">
        <f t="shared" si="111"/>
        <v>167700000</v>
      </c>
      <c r="N1135" s="168"/>
      <c r="O1135" s="167">
        <v>167700000</v>
      </c>
      <c r="P1135" s="167">
        <f t="shared" si="112"/>
        <v>167700000</v>
      </c>
      <c r="Q1135" s="167"/>
      <c r="S1135" s="201">
        <f t="shared" si="113"/>
        <v>167.7</v>
      </c>
      <c r="T1135" s="201">
        <f t="shared" si="108"/>
        <v>167.7</v>
      </c>
      <c r="U1135" s="201">
        <f t="shared" si="108"/>
        <v>0</v>
      </c>
      <c r="V1135" s="201">
        <f t="shared" si="108"/>
        <v>167.7</v>
      </c>
      <c r="W1135" s="201">
        <f t="shared" si="108"/>
        <v>167.7</v>
      </c>
      <c r="X1135" s="201">
        <f t="shared" si="108"/>
        <v>0</v>
      </c>
    </row>
    <row r="1136" spans="1:24" s="169" customFormat="1" ht="13.8">
      <c r="A1136" s="192"/>
      <c r="B1136" s="170" t="s">
        <v>686</v>
      </c>
      <c r="C1136" s="183" t="str">
        <f t="shared" si="109"/>
        <v/>
      </c>
      <c r="D1136" s="182" t="str">
        <f t="shared" si="110"/>
        <v/>
      </c>
      <c r="E1136" s="206"/>
      <c r="F1136" s="207"/>
      <c r="G1136" s="207"/>
      <c r="H1136" s="205"/>
      <c r="I1136" s="167">
        <v>2267500000</v>
      </c>
      <c r="J1136" s="166"/>
      <c r="K1136" s="167">
        <v>2071000000</v>
      </c>
      <c r="L1136" s="168">
        <v>196500000</v>
      </c>
      <c r="M1136" s="168">
        <f t="shared" si="111"/>
        <v>2267500000</v>
      </c>
      <c r="N1136" s="168"/>
      <c r="O1136" s="167">
        <v>2267500000</v>
      </c>
      <c r="P1136" s="167">
        <f t="shared" si="112"/>
        <v>2267500000</v>
      </c>
      <c r="Q1136" s="167"/>
      <c r="S1136" s="201">
        <f t="shared" si="113"/>
        <v>2267.5</v>
      </c>
      <c r="T1136" s="201">
        <f t="shared" si="108"/>
        <v>2267.5</v>
      </c>
      <c r="U1136" s="201">
        <f t="shared" si="108"/>
        <v>0</v>
      </c>
      <c r="V1136" s="201">
        <f t="shared" si="108"/>
        <v>2267.5</v>
      </c>
      <c r="W1136" s="201">
        <f t="shared" si="108"/>
        <v>2267.5</v>
      </c>
      <c r="X1136" s="201">
        <f t="shared" si="108"/>
        <v>0</v>
      </c>
    </row>
    <row r="1137" spans="1:24" s="169" customFormat="1" ht="13.8">
      <c r="A1137" s="192"/>
      <c r="B1137" s="164"/>
      <c r="C1137" s="183" t="str">
        <f t="shared" si="109"/>
        <v/>
      </c>
      <c r="D1137" s="182" t="str">
        <f t="shared" si="110"/>
        <v/>
      </c>
      <c r="E1137" s="192" t="s">
        <v>681</v>
      </c>
      <c r="F1137" s="192" t="s">
        <v>1168</v>
      </c>
      <c r="G1137" s="192" t="s">
        <v>695</v>
      </c>
      <c r="H1137" s="210" t="s">
        <v>1440</v>
      </c>
      <c r="I1137" s="167">
        <v>2267500000</v>
      </c>
      <c r="J1137" s="166"/>
      <c r="K1137" s="167">
        <v>2071000000</v>
      </c>
      <c r="L1137" s="168">
        <v>196500000</v>
      </c>
      <c r="M1137" s="168">
        <f t="shared" si="111"/>
        <v>2267500000</v>
      </c>
      <c r="N1137" s="168"/>
      <c r="O1137" s="167">
        <v>2267500000</v>
      </c>
      <c r="P1137" s="167">
        <f t="shared" si="112"/>
        <v>2267500000</v>
      </c>
      <c r="Q1137" s="167"/>
      <c r="S1137" s="201">
        <f t="shared" si="113"/>
        <v>2267.5</v>
      </c>
      <c r="T1137" s="201">
        <f t="shared" si="108"/>
        <v>2267.5</v>
      </c>
      <c r="U1137" s="201">
        <f t="shared" si="108"/>
        <v>0</v>
      </c>
      <c r="V1137" s="201">
        <f t="shared" si="108"/>
        <v>2267.5</v>
      </c>
      <c r="W1137" s="201">
        <f t="shared" si="108"/>
        <v>2267.5</v>
      </c>
      <c r="X1137" s="201">
        <f t="shared" si="108"/>
        <v>0</v>
      </c>
    </row>
    <row r="1138" spans="1:24" s="169" customFormat="1" ht="26.4">
      <c r="A1138" s="192" t="s">
        <v>1169</v>
      </c>
      <c r="B1138" s="165" t="s">
        <v>1170</v>
      </c>
      <c r="C1138" s="183" t="str">
        <f t="shared" si="109"/>
        <v>1067980</v>
      </c>
      <c r="D1138" s="182" t="str">
        <f t="shared" si="110"/>
        <v>-Trường Trung học PhS thông Lê Lợi</v>
      </c>
      <c r="E1138" s="206"/>
      <c r="F1138" s="207"/>
      <c r="G1138" s="207"/>
      <c r="H1138" s="205"/>
      <c r="I1138" s="167">
        <v>7747523000</v>
      </c>
      <c r="J1138" s="167">
        <v>145000000</v>
      </c>
      <c r="K1138" s="167">
        <v>7527013000</v>
      </c>
      <c r="L1138" s="168">
        <v>75510000</v>
      </c>
      <c r="M1138" s="168">
        <f t="shared" si="111"/>
        <v>7747523000</v>
      </c>
      <c r="N1138" s="168"/>
      <c r="O1138" s="167">
        <v>7741339129</v>
      </c>
      <c r="P1138" s="167">
        <f t="shared" si="112"/>
        <v>7741339129</v>
      </c>
      <c r="Q1138" s="167"/>
      <c r="S1138" s="201">
        <f t="shared" si="113"/>
        <v>7747.5230000000001</v>
      </c>
      <c r="T1138" s="201">
        <f t="shared" si="108"/>
        <v>7747.5230000000001</v>
      </c>
      <c r="U1138" s="201">
        <f t="shared" si="108"/>
        <v>0</v>
      </c>
      <c r="V1138" s="201">
        <f t="shared" si="108"/>
        <v>7741.339129</v>
      </c>
      <c r="W1138" s="201">
        <f t="shared" si="108"/>
        <v>7741.339129</v>
      </c>
      <c r="X1138" s="201">
        <f t="shared" si="108"/>
        <v>0</v>
      </c>
    </row>
    <row r="1139" spans="1:24" s="169" customFormat="1" ht="13.8">
      <c r="A1139" s="192" t="s">
        <v>1171</v>
      </c>
      <c r="B1139" s="170" t="s">
        <v>689</v>
      </c>
      <c r="C1139" s="183" t="str">
        <f t="shared" si="109"/>
        <v/>
      </c>
      <c r="D1139" s="182" t="str">
        <f t="shared" si="110"/>
        <v/>
      </c>
      <c r="E1139" s="206"/>
      <c r="F1139" s="207"/>
      <c r="G1139" s="207"/>
      <c r="H1139" s="205"/>
      <c r="I1139" s="167">
        <v>7747523000</v>
      </c>
      <c r="J1139" s="167">
        <v>145000000</v>
      </c>
      <c r="K1139" s="167">
        <v>7527013000</v>
      </c>
      <c r="L1139" s="168">
        <v>75510000</v>
      </c>
      <c r="M1139" s="168">
        <f t="shared" si="111"/>
        <v>7747523000</v>
      </c>
      <c r="N1139" s="168"/>
      <c r="O1139" s="167">
        <v>7741339129</v>
      </c>
      <c r="P1139" s="167">
        <f t="shared" si="112"/>
        <v>7741339129</v>
      </c>
      <c r="Q1139" s="167"/>
      <c r="S1139" s="201">
        <f t="shared" si="113"/>
        <v>7747.5230000000001</v>
      </c>
      <c r="T1139" s="201">
        <f t="shared" si="108"/>
        <v>7747.5230000000001</v>
      </c>
      <c r="U1139" s="201">
        <f t="shared" si="108"/>
        <v>0</v>
      </c>
      <c r="V1139" s="201">
        <f t="shared" si="108"/>
        <v>7741.339129</v>
      </c>
      <c r="W1139" s="201">
        <f t="shared" si="108"/>
        <v>7741.339129</v>
      </c>
      <c r="X1139" s="201">
        <f t="shared" si="108"/>
        <v>0</v>
      </c>
    </row>
    <row r="1140" spans="1:24" s="169" customFormat="1" ht="13.8">
      <c r="A1140" s="192"/>
      <c r="B1140" s="170" t="s">
        <v>690</v>
      </c>
      <c r="C1140" s="183" t="str">
        <f t="shared" si="109"/>
        <v/>
      </c>
      <c r="D1140" s="182" t="str">
        <f t="shared" si="110"/>
        <v/>
      </c>
      <c r="E1140" s="206"/>
      <c r="F1140" s="207"/>
      <c r="G1140" s="207"/>
      <c r="H1140" s="205"/>
      <c r="I1140" s="167">
        <v>7287795000</v>
      </c>
      <c r="J1140" s="167">
        <v>145000000</v>
      </c>
      <c r="K1140" s="167">
        <v>7091685000</v>
      </c>
      <c r="L1140" s="168">
        <v>51110000</v>
      </c>
      <c r="M1140" s="168">
        <f t="shared" si="111"/>
        <v>7287795000</v>
      </c>
      <c r="N1140" s="168"/>
      <c r="O1140" s="167">
        <v>7287795000</v>
      </c>
      <c r="P1140" s="167">
        <f t="shared" si="112"/>
        <v>7287795000</v>
      </c>
      <c r="Q1140" s="167"/>
      <c r="S1140" s="201">
        <f t="shared" si="113"/>
        <v>7287.7950000000001</v>
      </c>
      <c r="T1140" s="201">
        <f t="shared" si="108"/>
        <v>7287.7950000000001</v>
      </c>
      <c r="U1140" s="201">
        <f t="shared" si="108"/>
        <v>0</v>
      </c>
      <c r="V1140" s="201">
        <f t="shared" si="108"/>
        <v>7287.7950000000001</v>
      </c>
      <c r="W1140" s="201">
        <f t="shared" si="108"/>
        <v>7287.7950000000001</v>
      </c>
      <c r="X1140" s="201">
        <f t="shared" si="108"/>
        <v>0</v>
      </c>
    </row>
    <row r="1141" spans="1:24" s="169" customFormat="1" ht="13.8">
      <c r="A1141" s="193"/>
      <c r="B1141" s="187"/>
      <c r="C1141" s="183" t="str">
        <f t="shared" si="109"/>
        <v/>
      </c>
      <c r="D1141" s="182" t="str">
        <f t="shared" si="110"/>
        <v/>
      </c>
      <c r="E1141" s="192" t="s">
        <v>666</v>
      </c>
      <c r="F1141" s="192" t="s">
        <v>677</v>
      </c>
      <c r="G1141" s="192" t="s">
        <v>678</v>
      </c>
      <c r="H1141" s="210" t="s">
        <v>1440</v>
      </c>
      <c r="I1141" s="167">
        <v>7236685000</v>
      </c>
      <c r="J1141" s="167">
        <v>145000000</v>
      </c>
      <c r="K1141" s="167">
        <v>7091685000</v>
      </c>
      <c r="L1141" s="171"/>
      <c r="M1141" s="168">
        <f t="shared" si="111"/>
        <v>7236685000</v>
      </c>
      <c r="N1141" s="171"/>
      <c r="O1141" s="167">
        <v>7236685000</v>
      </c>
      <c r="P1141" s="167">
        <f t="shared" si="112"/>
        <v>7236685000</v>
      </c>
      <c r="Q1141" s="167"/>
      <c r="S1141" s="201">
        <f t="shared" si="113"/>
        <v>7236.6850000000004</v>
      </c>
      <c r="T1141" s="201">
        <f t="shared" si="108"/>
        <v>7236.6850000000004</v>
      </c>
      <c r="U1141" s="201">
        <f t="shared" si="108"/>
        <v>0</v>
      </c>
      <c r="V1141" s="201">
        <f t="shared" si="108"/>
        <v>7236.6850000000004</v>
      </c>
      <c r="W1141" s="201">
        <f t="shared" si="108"/>
        <v>7236.6850000000004</v>
      </c>
      <c r="X1141" s="201">
        <f t="shared" si="108"/>
        <v>0</v>
      </c>
    </row>
    <row r="1142" spans="1:24" s="169" customFormat="1" ht="13.8">
      <c r="A1142" s="194"/>
      <c r="B1142" s="184"/>
      <c r="C1142" s="183" t="str">
        <f t="shared" si="109"/>
        <v/>
      </c>
      <c r="D1142" s="182" t="str">
        <f t="shared" si="110"/>
        <v/>
      </c>
      <c r="E1142" s="192" t="s">
        <v>679</v>
      </c>
      <c r="F1142" s="192" t="s">
        <v>677</v>
      </c>
      <c r="G1142" s="192" t="s">
        <v>678</v>
      </c>
      <c r="H1142" s="210" t="s">
        <v>1440</v>
      </c>
      <c r="I1142" s="167">
        <v>45000000</v>
      </c>
      <c r="J1142" s="166"/>
      <c r="K1142" s="166"/>
      <c r="L1142" s="168">
        <v>45000000</v>
      </c>
      <c r="M1142" s="168">
        <f t="shared" si="111"/>
        <v>45000000</v>
      </c>
      <c r="N1142" s="168"/>
      <c r="O1142" s="167">
        <v>45000000</v>
      </c>
      <c r="P1142" s="167">
        <f t="shared" si="112"/>
        <v>45000000</v>
      </c>
      <c r="Q1142" s="167"/>
      <c r="S1142" s="201">
        <f t="shared" si="113"/>
        <v>45</v>
      </c>
      <c r="T1142" s="201">
        <f t="shared" si="108"/>
        <v>45</v>
      </c>
      <c r="U1142" s="201">
        <f t="shared" si="108"/>
        <v>0</v>
      </c>
      <c r="V1142" s="201">
        <f t="shared" si="108"/>
        <v>45</v>
      </c>
      <c r="W1142" s="201">
        <f t="shared" si="108"/>
        <v>45</v>
      </c>
      <c r="X1142" s="201">
        <f t="shared" si="108"/>
        <v>0</v>
      </c>
    </row>
    <row r="1143" spans="1:24" s="169" customFormat="1" ht="13.8">
      <c r="A1143" s="195"/>
      <c r="B1143" s="188"/>
      <c r="C1143" s="183" t="str">
        <f t="shared" si="109"/>
        <v/>
      </c>
      <c r="D1143" s="182" t="str">
        <f t="shared" si="110"/>
        <v/>
      </c>
      <c r="E1143" s="192" t="s">
        <v>669</v>
      </c>
      <c r="F1143" s="192" t="s">
        <v>677</v>
      </c>
      <c r="G1143" s="192" t="s">
        <v>678</v>
      </c>
      <c r="H1143" s="210" t="s">
        <v>1440</v>
      </c>
      <c r="I1143" s="167">
        <v>6110000</v>
      </c>
      <c r="J1143" s="166"/>
      <c r="K1143" s="166"/>
      <c r="L1143" s="168">
        <v>6110000</v>
      </c>
      <c r="M1143" s="168">
        <f t="shared" si="111"/>
        <v>6110000</v>
      </c>
      <c r="N1143" s="168"/>
      <c r="O1143" s="167">
        <v>6110000</v>
      </c>
      <c r="P1143" s="167">
        <f t="shared" si="112"/>
        <v>6110000</v>
      </c>
      <c r="Q1143" s="167"/>
      <c r="S1143" s="201">
        <f t="shared" si="113"/>
        <v>6.11</v>
      </c>
      <c r="T1143" s="201">
        <f t="shared" si="108"/>
        <v>6.11</v>
      </c>
      <c r="U1143" s="201">
        <f t="shared" si="108"/>
        <v>0</v>
      </c>
      <c r="V1143" s="201">
        <f t="shared" si="108"/>
        <v>6.11</v>
      </c>
      <c r="W1143" s="201">
        <f t="shared" si="108"/>
        <v>6.11</v>
      </c>
      <c r="X1143" s="201">
        <f t="shared" si="108"/>
        <v>0</v>
      </c>
    </row>
    <row r="1144" spans="1:24" s="169" customFormat="1" ht="13.8">
      <c r="A1144" s="192"/>
      <c r="B1144" s="170" t="s">
        <v>686</v>
      </c>
      <c r="C1144" s="183" t="str">
        <f t="shared" si="109"/>
        <v/>
      </c>
      <c r="D1144" s="182" t="str">
        <f t="shared" si="110"/>
        <v/>
      </c>
      <c r="E1144" s="206"/>
      <c r="F1144" s="207"/>
      <c r="G1144" s="207"/>
      <c r="H1144" s="205"/>
      <c r="I1144" s="167">
        <v>459728000</v>
      </c>
      <c r="J1144" s="166"/>
      <c r="K1144" s="167">
        <v>435328000</v>
      </c>
      <c r="L1144" s="168">
        <v>24400000</v>
      </c>
      <c r="M1144" s="168">
        <f t="shared" si="111"/>
        <v>459728000</v>
      </c>
      <c r="N1144" s="168"/>
      <c r="O1144" s="167">
        <v>453544129</v>
      </c>
      <c r="P1144" s="167">
        <f t="shared" si="112"/>
        <v>453544129</v>
      </c>
      <c r="Q1144" s="167"/>
      <c r="S1144" s="201">
        <f t="shared" si="113"/>
        <v>459.72800000000001</v>
      </c>
      <c r="T1144" s="201">
        <f t="shared" si="108"/>
        <v>459.72800000000001</v>
      </c>
      <c r="U1144" s="201">
        <f t="shared" si="108"/>
        <v>0</v>
      </c>
      <c r="V1144" s="201">
        <f t="shared" si="108"/>
        <v>453.544129</v>
      </c>
      <c r="W1144" s="201">
        <f t="shared" si="108"/>
        <v>453.544129</v>
      </c>
      <c r="X1144" s="201">
        <f t="shared" si="108"/>
        <v>0</v>
      </c>
    </row>
    <row r="1145" spans="1:24" s="169" customFormat="1" ht="13.8">
      <c r="A1145" s="193"/>
      <c r="B1145" s="187"/>
      <c r="C1145" s="183" t="str">
        <f t="shared" si="109"/>
        <v/>
      </c>
      <c r="D1145" s="182" t="str">
        <f t="shared" si="110"/>
        <v/>
      </c>
      <c r="E1145" s="192" t="s">
        <v>681</v>
      </c>
      <c r="F1145" s="192" t="s">
        <v>677</v>
      </c>
      <c r="G1145" s="192" t="s">
        <v>678</v>
      </c>
      <c r="H1145" s="210" t="s">
        <v>1440</v>
      </c>
      <c r="I1145" s="167">
        <v>300000000</v>
      </c>
      <c r="J1145" s="166"/>
      <c r="K1145" s="167">
        <v>300000000</v>
      </c>
      <c r="L1145" s="171"/>
      <c r="M1145" s="168">
        <f t="shared" si="111"/>
        <v>300000000</v>
      </c>
      <c r="N1145" s="171"/>
      <c r="O1145" s="167">
        <v>294176129</v>
      </c>
      <c r="P1145" s="167">
        <f t="shared" si="112"/>
        <v>294176129</v>
      </c>
      <c r="Q1145" s="167"/>
      <c r="S1145" s="201">
        <f t="shared" si="113"/>
        <v>300</v>
      </c>
      <c r="T1145" s="201">
        <f t="shared" si="108"/>
        <v>300</v>
      </c>
      <c r="U1145" s="201">
        <f t="shared" si="108"/>
        <v>0</v>
      </c>
      <c r="V1145" s="201">
        <f t="shared" si="108"/>
        <v>294.176129</v>
      </c>
      <c r="W1145" s="201">
        <f t="shared" si="108"/>
        <v>294.176129</v>
      </c>
      <c r="X1145" s="201">
        <f t="shared" si="108"/>
        <v>0</v>
      </c>
    </row>
    <row r="1146" spans="1:24" s="169" customFormat="1" ht="13.8">
      <c r="A1146" s="195"/>
      <c r="B1146" s="188"/>
      <c r="C1146" s="183" t="str">
        <f t="shared" si="109"/>
        <v/>
      </c>
      <c r="D1146" s="182" t="str">
        <f t="shared" si="110"/>
        <v/>
      </c>
      <c r="E1146" s="192" t="s">
        <v>669</v>
      </c>
      <c r="F1146" s="192" t="s">
        <v>677</v>
      </c>
      <c r="G1146" s="192" t="s">
        <v>678</v>
      </c>
      <c r="H1146" s="210" t="s">
        <v>1440</v>
      </c>
      <c r="I1146" s="167">
        <v>159728000</v>
      </c>
      <c r="J1146" s="166"/>
      <c r="K1146" s="167">
        <v>135328000</v>
      </c>
      <c r="L1146" s="168">
        <v>24400000</v>
      </c>
      <c r="M1146" s="168">
        <f t="shared" si="111"/>
        <v>159728000</v>
      </c>
      <c r="N1146" s="168"/>
      <c r="O1146" s="167">
        <v>159368000</v>
      </c>
      <c r="P1146" s="167">
        <f t="shared" si="112"/>
        <v>159368000</v>
      </c>
      <c r="Q1146" s="167"/>
      <c r="S1146" s="201">
        <f t="shared" si="113"/>
        <v>159.72800000000001</v>
      </c>
      <c r="T1146" s="201">
        <f t="shared" si="108"/>
        <v>159.72800000000001</v>
      </c>
      <c r="U1146" s="201">
        <f t="shared" si="108"/>
        <v>0</v>
      </c>
      <c r="V1146" s="201">
        <f t="shared" si="108"/>
        <v>159.36799999999999</v>
      </c>
      <c r="W1146" s="201">
        <f t="shared" si="108"/>
        <v>159.36799999999999</v>
      </c>
      <c r="X1146" s="201">
        <f t="shared" si="108"/>
        <v>0</v>
      </c>
    </row>
    <row r="1147" spans="1:24" s="169" customFormat="1" ht="26.4">
      <c r="A1147" s="192" t="s">
        <v>1172</v>
      </c>
      <c r="B1147" s="165" t="s">
        <v>1173</v>
      </c>
      <c r="C1147" s="183" t="str">
        <f t="shared" si="109"/>
        <v>1068011</v>
      </c>
      <c r="D1147" s="182" t="str">
        <f t="shared" si="110"/>
        <v>-Chi cục Kiểm lâm tỉnh Kon Tum</v>
      </c>
      <c r="E1147" s="206"/>
      <c r="F1147" s="207"/>
      <c r="G1147" s="207"/>
      <c r="H1147" s="205"/>
      <c r="I1147" s="167">
        <v>11165089508</v>
      </c>
      <c r="J1147" s="167">
        <v>1644439508</v>
      </c>
      <c r="K1147" s="167">
        <v>9170400000</v>
      </c>
      <c r="L1147" s="168">
        <v>350250000</v>
      </c>
      <c r="M1147" s="168">
        <f t="shared" si="111"/>
        <v>11165089508</v>
      </c>
      <c r="N1147" s="168"/>
      <c r="O1147" s="167">
        <v>9181406623</v>
      </c>
      <c r="P1147" s="167">
        <f t="shared" si="112"/>
        <v>9181406623</v>
      </c>
      <c r="Q1147" s="167"/>
      <c r="S1147" s="201">
        <f t="shared" si="113"/>
        <v>11165.089507999999</v>
      </c>
      <c r="T1147" s="201">
        <f t="shared" si="108"/>
        <v>11165.089507999999</v>
      </c>
      <c r="U1147" s="201">
        <f t="shared" si="108"/>
        <v>0</v>
      </c>
      <c r="V1147" s="201">
        <f t="shared" si="108"/>
        <v>9181.4066230000008</v>
      </c>
      <c r="W1147" s="201">
        <f t="shared" si="108"/>
        <v>9181.4066230000008</v>
      </c>
      <c r="X1147" s="201">
        <f t="shared" si="108"/>
        <v>0</v>
      </c>
    </row>
    <row r="1148" spans="1:24" s="169" customFormat="1" ht="13.8">
      <c r="A1148" s="192" t="s">
        <v>1174</v>
      </c>
      <c r="B1148" s="170" t="s">
        <v>689</v>
      </c>
      <c r="C1148" s="183" t="str">
        <f t="shared" si="109"/>
        <v/>
      </c>
      <c r="D1148" s="182" t="str">
        <f t="shared" si="110"/>
        <v/>
      </c>
      <c r="E1148" s="206"/>
      <c r="F1148" s="207"/>
      <c r="G1148" s="207"/>
      <c r="H1148" s="205"/>
      <c r="I1148" s="167">
        <v>11165089508</v>
      </c>
      <c r="J1148" s="167">
        <v>1644439508</v>
      </c>
      <c r="K1148" s="167">
        <v>9170400000</v>
      </c>
      <c r="L1148" s="168">
        <v>350250000</v>
      </c>
      <c r="M1148" s="168">
        <f t="shared" si="111"/>
        <v>11165089508</v>
      </c>
      <c r="N1148" s="168"/>
      <c r="O1148" s="167">
        <v>9181406623</v>
      </c>
      <c r="P1148" s="167">
        <f t="shared" si="112"/>
        <v>9181406623</v>
      </c>
      <c r="Q1148" s="167"/>
      <c r="S1148" s="201">
        <f t="shared" si="113"/>
        <v>11165.089507999999</v>
      </c>
      <c r="T1148" s="201">
        <f t="shared" si="108"/>
        <v>11165.089507999999</v>
      </c>
      <c r="U1148" s="201">
        <f t="shared" si="108"/>
        <v>0</v>
      </c>
      <c r="V1148" s="201">
        <f t="shared" si="108"/>
        <v>9181.4066230000008</v>
      </c>
      <c r="W1148" s="201">
        <f t="shared" si="108"/>
        <v>9181.4066230000008</v>
      </c>
      <c r="X1148" s="201">
        <f t="shared" si="108"/>
        <v>0</v>
      </c>
    </row>
    <row r="1149" spans="1:24" s="169" customFormat="1" ht="13.8">
      <c r="A1149" s="192"/>
      <c r="B1149" s="170" t="s">
        <v>690</v>
      </c>
      <c r="C1149" s="183" t="str">
        <f t="shared" si="109"/>
        <v/>
      </c>
      <c r="D1149" s="182" t="str">
        <f t="shared" si="110"/>
        <v/>
      </c>
      <c r="E1149" s="206"/>
      <c r="F1149" s="207"/>
      <c r="G1149" s="207"/>
      <c r="H1149" s="205"/>
      <c r="I1149" s="167">
        <v>7371839508</v>
      </c>
      <c r="J1149" s="167">
        <v>330439508</v>
      </c>
      <c r="K1149" s="167">
        <v>6991400000</v>
      </c>
      <c r="L1149" s="168">
        <v>50000000</v>
      </c>
      <c r="M1149" s="168">
        <f t="shared" si="111"/>
        <v>7371839508</v>
      </c>
      <c r="N1149" s="168"/>
      <c r="O1149" s="167">
        <v>5987006724</v>
      </c>
      <c r="P1149" s="167">
        <f t="shared" si="112"/>
        <v>5987006724</v>
      </c>
      <c r="Q1149" s="167"/>
      <c r="S1149" s="201">
        <f t="shared" si="113"/>
        <v>7371.839508</v>
      </c>
      <c r="T1149" s="201">
        <f t="shared" si="108"/>
        <v>7371.839508</v>
      </c>
      <c r="U1149" s="201">
        <f t="shared" si="108"/>
        <v>0</v>
      </c>
      <c r="V1149" s="201">
        <f t="shared" si="108"/>
        <v>5987.0067239999998</v>
      </c>
      <c r="W1149" s="201">
        <f t="shared" si="108"/>
        <v>5987.0067239999998</v>
      </c>
      <c r="X1149" s="201">
        <f t="shared" si="108"/>
        <v>0</v>
      </c>
    </row>
    <row r="1150" spans="1:24" s="169" customFormat="1" ht="13.8">
      <c r="A1150" s="192"/>
      <c r="B1150" s="173"/>
      <c r="C1150" s="183" t="str">
        <f t="shared" si="109"/>
        <v/>
      </c>
      <c r="D1150" s="182" t="str">
        <f t="shared" si="110"/>
        <v/>
      </c>
      <c r="E1150" s="192"/>
      <c r="F1150" s="192"/>
      <c r="G1150" s="192"/>
      <c r="H1150" s="210"/>
      <c r="I1150" s="174"/>
      <c r="J1150" s="174"/>
      <c r="K1150" s="174"/>
      <c r="L1150" s="175"/>
      <c r="M1150" s="168">
        <f t="shared" si="111"/>
        <v>0</v>
      </c>
      <c r="N1150" s="175"/>
      <c r="O1150" s="174"/>
      <c r="P1150" s="167">
        <f t="shared" si="112"/>
        <v>0</v>
      </c>
      <c r="Q1150" s="174"/>
      <c r="S1150" s="201">
        <f t="shared" si="113"/>
        <v>0</v>
      </c>
      <c r="T1150" s="201">
        <f t="shared" si="108"/>
        <v>0</v>
      </c>
      <c r="U1150" s="201">
        <f t="shared" si="108"/>
        <v>0</v>
      </c>
      <c r="V1150" s="201">
        <f t="shared" si="108"/>
        <v>0</v>
      </c>
      <c r="W1150" s="201">
        <f t="shared" si="108"/>
        <v>0</v>
      </c>
      <c r="X1150" s="201">
        <f t="shared" si="108"/>
        <v>0</v>
      </c>
    </row>
    <row r="1151" spans="1:24" s="169" customFormat="1" ht="13.8">
      <c r="A1151" s="193"/>
      <c r="B1151" s="187"/>
      <c r="C1151" s="183" t="str">
        <f t="shared" si="109"/>
        <v/>
      </c>
      <c r="D1151" s="182" t="str">
        <f t="shared" si="110"/>
        <v/>
      </c>
      <c r="E1151" s="192" t="s">
        <v>666</v>
      </c>
      <c r="F1151" s="192" t="s">
        <v>698</v>
      </c>
      <c r="G1151" s="192" t="s">
        <v>695</v>
      </c>
      <c r="H1151" s="210" t="s">
        <v>1440</v>
      </c>
      <c r="I1151" s="167">
        <v>7025789508</v>
      </c>
      <c r="J1151" s="167">
        <v>34389508</v>
      </c>
      <c r="K1151" s="167">
        <v>6991400000</v>
      </c>
      <c r="L1151" s="171"/>
      <c r="M1151" s="168">
        <f t="shared" si="111"/>
        <v>7025789508</v>
      </c>
      <c r="N1151" s="171"/>
      <c r="O1151" s="167">
        <v>5690956724</v>
      </c>
      <c r="P1151" s="167">
        <f t="shared" si="112"/>
        <v>5690956724</v>
      </c>
      <c r="Q1151" s="167"/>
      <c r="S1151" s="201">
        <f t="shared" si="113"/>
        <v>7025.7895079999998</v>
      </c>
      <c r="T1151" s="201">
        <f t="shared" ref="T1151:X1201" si="114">M1151/1000000</f>
        <v>7025.7895079999998</v>
      </c>
      <c r="U1151" s="201">
        <f t="shared" si="114"/>
        <v>0</v>
      </c>
      <c r="V1151" s="201">
        <f t="shared" si="114"/>
        <v>5690.9567239999997</v>
      </c>
      <c r="W1151" s="201">
        <f t="shared" si="114"/>
        <v>5690.9567239999997</v>
      </c>
      <c r="X1151" s="201">
        <f t="shared" si="114"/>
        <v>0</v>
      </c>
    </row>
    <row r="1152" spans="1:24" s="169" customFormat="1" ht="13.8">
      <c r="A1152" s="195"/>
      <c r="B1152" s="188"/>
      <c r="C1152" s="183" t="str">
        <f t="shared" si="109"/>
        <v/>
      </c>
      <c r="D1152" s="182" t="str">
        <f t="shared" si="110"/>
        <v/>
      </c>
      <c r="E1152" s="192" t="s">
        <v>679</v>
      </c>
      <c r="F1152" s="192" t="s">
        <v>698</v>
      </c>
      <c r="G1152" s="192" t="s">
        <v>695</v>
      </c>
      <c r="H1152" s="210" t="s">
        <v>1440</v>
      </c>
      <c r="I1152" s="167">
        <v>346050000</v>
      </c>
      <c r="J1152" s="167">
        <v>296050000</v>
      </c>
      <c r="K1152" s="166"/>
      <c r="L1152" s="168">
        <v>50000000</v>
      </c>
      <c r="M1152" s="168">
        <f t="shared" si="111"/>
        <v>346050000</v>
      </c>
      <c r="N1152" s="168"/>
      <c r="O1152" s="167">
        <v>296050000</v>
      </c>
      <c r="P1152" s="167">
        <f t="shared" si="112"/>
        <v>296050000</v>
      </c>
      <c r="Q1152" s="167"/>
      <c r="S1152" s="201">
        <f t="shared" si="113"/>
        <v>346.05</v>
      </c>
      <c r="T1152" s="201">
        <f t="shared" si="114"/>
        <v>346.05</v>
      </c>
      <c r="U1152" s="201">
        <f t="shared" si="114"/>
        <v>0</v>
      </c>
      <c r="V1152" s="201">
        <f t="shared" si="114"/>
        <v>296.05</v>
      </c>
      <c r="W1152" s="201">
        <f t="shared" si="114"/>
        <v>296.05</v>
      </c>
      <c r="X1152" s="201">
        <f t="shared" si="114"/>
        <v>0</v>
      </c>
    </row>
    <row r="1153" spans="1:24" s="169" customFormat="1" ht="13.8">
      <c r="A1153" s="192"/>
      <c r="B1153" s="170" t="s">
        <v>686</v>
      </c>
      <c r="C1153" s="183" t="str">
        <f t="shared" si="109"/>
        <v/>
      </c>
      <c r="D1153" s="182" t="str">
        <f t="shared" si="110"/>
        <v/>
      </c>
      <c r="E1153" s="206"/>
      <c r="F1153" s="207"/>
      <c r="G1153" s="207"/>
      <c r="H1153" s="205"/>
      <c r="I1153" s="167">
        <v>3793250000</v>
      </c>
      <c r="J1153" s="167">
        <v>1314000000</v>
      </c>
      <c r="K1153" s="167">
        <v>2179000000</v>
      </c>
      <c r="L1153" s="168">
        <v>300250000</v>
      </c>
      <c r="M1153" s="168">
        <f t="shared" si="111"/>
        <v>3793250000</v>
      </c>
      <c r="N1153" s="168"/>
      <c r="O1153" s="167">
        <v>3194399899</v>
      </c>
      <c r="P1153" s="167">
        <f t="shared" si="112"/>
        <v>3194399899</v>
      </c>
      <c r="Q1153" s="167"/>
      <c r="S1153" s="201">
        <f t="shared" si="113"/>
        <v>3793.25</v>
      </c>
      <c r="T1153" s="201">
        <f t="shared" si="114"/>
        <v>3793.25</v>
      </c>
      <c r="U1153" s="201">
        <f t="shared" si="114"/>
        <v>0</v>
      </c>
      <c r="V1153" s="201">
        <f t="shared" si="114"/>
        <v>3194.399899</v>
      </c>
      <c r="W1153" s="201">
        <f t="shared" si="114"/>
        <v>3194.399899</v>
      </c>
      <c r="X1153" s="201">
        <f t="shared" si="114"/>
        <v>0</v>
      </c>
    </row>
    <row r="1154" spans="1:24" s="169" customFormat="1" ht="13.8">
      <c r="A1154" s="193"/>
      <c r="B1154" s="187"/>
      <c r="C1154" s="183" t="str">
        <f t="shared" si="109"/>
        <v/>
      </c>
      <c r="D1154" s="182" t="str">
        <f t="shared" si="110"/>
        <v/>
      </c>
      <c r="E1154" s="192" t="s">
        <v>681</v>
      </c>
      <c r="F1154" s="192" t="s">
        <v>698</v>
      </c>
      <c r="G1154" s="192" t="s">
        <v>699</v>
      </c>
      <c r="H1154" s="210" t="s">
        <v>1440</v>
      </c>
      <c r="I1154" s="167">
        <v>3479000000</v>
      </c>
      <c r="J1154" s="167">
        <v>1314000000</v>
      </c>
      <c r="K1154" s="167">
        <v>2165000000</v>
      </c>
      <c r="L1154" s="171"/>
      <c r="M1154" s="168">
        <f t="shared" si="111"/>
        <v>3479000000</v>
      </c>
      <c r="N1154" s="171"/>
      <c r="O1154" s="167">
        <v>2880456286</v>
      </c>
      <c r="P1154" s="167">
        <f t="shared" si="112"/>
        <v>2880456286</v>
      </c>
      <c r="Q1154" s="167"/>
      <c r="S1154" s="201">
        <f t="shared" si="113"/>
        <v>3479</v>
      </c>
      <c r="T1154" s="201">
        <f t="shared" si="114"/>
        <v>3479</v>
      </c>
      <c r="U1154" s="201">
        <f t="shared" si="114"/>
        <v>0</v>
      </c>
      <c r="V1154" s="201">
        <f t="shared" si="114"/>
        <v>2880.4562860000001</v>
      </c>
      <c r="W1154" s="201">
        <f t="shared" si="114"/>
        <v>2880.4562860000001</v>
      </c>
      <c r="X1154" s="201">
        <f t="shared" si="114"/>
        <v>0</v>
      </c>
    </row>
    <row r="1155" spans="1:24" s="169" customFormat="1" ht="13.8">
      <c r="A1155" s="195"/>
      <c r="B1155" s="188"/>
      <c r="C1155" s="183" t="str">
        <f t="shared" si="109"/>
        <v/>
      </c>
      <c r="D1155" s="182" t="str">
        <f t="shared" si="110"/>
        <v/>
      </c>
      <c r="E1155" s="192" t="s">
        <v>681</v>
      </c>
      <c r="F1155" s="192" t="s">
        <v>698</v>
      </c>
      <c r="G1155" s="192" t="s">
        <v>695</v>
      </c>
      <c r="H1155" s="210" t="s">
        <v>1440</v>
      </c>
      <c r="I1155" s="167">
        <v>314250000</v>
      </c>
      <c r="J1155" s="166"/>
      <c r="K1155" s="167">
        <v>14000000</v>
      </c>
      <c r="L1155" s="168">
        <v>300250000</v>
      </c>
      <c r="M1155" s="168">
        <f t="shared" si="111"/>
        <v>314250000</v>
      </c>
      <c r="N1155" s="168"/>
      <c r="O1155" s="167">
        <v>313943613</v>
      </c>
      <c r="P1155" s="167">
        <f t="shared" si="112"/>
        <v>313943613</v>
      </c>
      <c r="Q1155" s="167"/>
      <c r="S1155" s="201">
        <f t="shared" si="113"/>
        <v>314.25</v>
      </c>
      <c r="T1155" s="201">
        <f t="shared" si="114"/>
        <v>314.25</v>
      </c>
      <c r="U1155" s="201">
        <f t="shared" si="114"/>
        <v>0</v>
      </c>
      <c r="V1155" s="201">
        <f t="shared" si="114"/>
        <v>313.94361300000003</v>
      </c>
      <c r="W1155" s="201">
        <f t="shared" si="114"/>
        <v>313.94361300000003</v>
      </c>
      <c r="X1155" s="201">
        <f t="shared" si="114"/>
        <v>0</v>
      </c>
    </row>
    <row r="1156" spans="1:24" s="169" customFormat="1" ht="26.4">
      <c r="A1156" s="192" t="s">
        <v>1175</v>
      </c>
      <c r="B1156" s="165" t="s">
        <v>1176</v>
      </c>
      <c r="C1156" s="183" t="str">
        <f t="shared" si="109"/>
        <v>1078282</v>
      </c>
      <c r="D1156" s="182" t="str">
        <f t="shared" si="110"/>
        <v>-Hội nạn nhân chăt độc Da cam - Điôxin Kontum</v>
      </c>
      <c r="E1156" s="206"/>
      <c r="F1156" s="207"/>
      <c r="G1156" s="207"/>
      <c r="H1156" s="205"/>
      <c r="I1156" s="167">
        <v>378700000</v>
      </c>
      <c r="J1156" s="166"/>
      <c r="K1156" s="167">
        <v>376000000</v>
      </c>
      <c r="L1156" s="168">
        <v>2700000</v>
      </c>
      <c r="M1156" s="168">
        <f t="shared" si="111"/>
        <v>378700000</v>
      </c>
      <c r="N1156" s="168"/>
      <c r="O1156" s="167">
        <v>378700000</v>
      </c>
      <c r="P1156" s="167">
        <f t="shared" si="112"/>
        <v>378700000</v>
      </c>
      <c r="Q1156" s="167"/>
      <c r="S1156" s="201">
        <f t="shared" si="113"/>
        <v>378.7</v>
      </c>
      <c r="T1156" s="201">
        <f t="shared" si="114"/>
        <v>378.7</v>
      </c>
      <c r="U1156" s="201">
        <f t="shared" si="114"/>
        <v>0</v>
      </c>
      <c r="V1156" s="201">
        <f t="shared" si="114"/>
        <v>378.7</v>
      </c>
      <c r="W1156" s="201">
        <f t="shared" si="114"/>
        <v>378.7</v>
      </c>
      <c r="X1156" s="201">
        <f t="shared" si="114"/>
        <v>0</v>
      </c>
    </row>
    <row r="1157" spans="1:24" s="169" customFormat="1" ht="13.8">
      <c r="A1157" s="192" t="s">
        <v>1177</v>
      </c>
      <c r="B1157" s="170" t="s">
        <v>689</v>
      </c>
      <c r="C1157" s="183" t="str">
        <f t="shared" si="109"/>
        <v/>
      </c>
      <c r="D1157" s="182" t="str">
        <f t="shared" si="110"/>
        <v/>
      </c>
      <c r="E1157" s="206"/>
      <c r="F1157" s="207"/>
      <c r="G1157" s="207"/>
      <c r="H1157" s="205"/>
      <c r="I1157" s="167">
        <v>378700000</v>
      </c>
      <c r="J1157" s="166"/>
      <c r="K1157" s="167">
        <v>376000000</v>
      </c>
      <c r="L1157" s="168">
        <v>2700000</v>
      </c>
      <c r="M1157" s="168">
        <f t="shared" si="111"/>
        <v>378700000</v>
      </c>
      <c r="N1157" s="168"/>
      <c r="O1157" s="167">
        <v>378700000</v>
      </c>
      <c r="P1157" s="167">
        <f t="shared" si="112"/>
        <v>378700000</v>
      </c>
      <c r="Q1157" s="167"/>
      <c r="S1157" s="201">
        <f t="shared" si="113"/>
        <v>378.7</v>
      </c>
      <c r="T1157" s="201">
        <f t="shared" si="114"/>
        <v>378.7</v>
      </c>
      <c r="U1157" s="201">
        <f t="shared" si="114"/>
        <v>0</v>
      </c>
      <c r="V1157" s="201">
        <f t="shared" si="114"/>
        <v>378.7</v>
      </c>
      <c r="W1157" s="201">
        <f t="shared" si="114"/>
        <v>378.7</v>
      </c>
      <c r="X1157" s="201">
        <f t="shared" si="114"/>
        <v>0</v>
      </c>
    </row>
    <row r="1158" spans="1:24" s="169" customFormat="1" ht="13.8">
      <c r="A1158" s="192"/>
      <c r="B1158" s="170" t="s">
        <v>686</v>
      </c>
      <c r="C1158" s="183" t="str">
        <f t="shared" si="109"/>
        <v/>
      </c>
      <c r="D1158" s="182" t="str">
        <f t="shared" si="110"/>
        <v/>
      </c>
      <c r="E1158" s="206"/>
      <c r="F1158" s="207"/>
      <c r="G1158" s="207"/>
      <c r="H1158" s="205"/>
      <c r="I1158" s="167">
        <v>378700000</v>
      </c>
      <c r="J1158" s="166"/>
      <c r="K1158" s="167">
        <v>376000000</v>
      </c>
      <c r="L1158" s="168">
        <v>2700000</v>
      </c>
      <c r="M1158" s="168">
        <f t="shared" si="111"/>
        <v>378700000</v>
      </c>
      <c r="N1158" s="168"/>
      <c r="O1158" s="167">
        <v>378700000</v>
      </c>
      <c r="P1158" s="167">
        <f t="shared" si="112"/>
        <v>378700000</v>
      </c>
      <c r="Q1158" s="167"/>
      <c r="S1158" s="201">
        <f t="shared" si="113"/>
        <v>378.7</v>
      </c>
      <c r="T1158" s="201">
        <f t="shared" si="114"/>
        <v>378.7</v>
      </c>
      <c r="U1158" s="201">
        <f t="shared" si="114"/>
        <v>0</v>
      </c>
      <c r="V1158" s="201">
        <f t="shared" si="114"/>
        <v>378.7</v>
      </c>
      <c r="W1158" s="201">
        <f t="shared" si="114"/>
        <v>378.7</v>
      </c>
      <c r="X1158" s="201">
        <f t="shared" si="114"/>
        <v>0</v>
      </c>
    </row>
    <row r="1159" spans="1:24" s="169" customFormat="1" ht="13.8">
      <c r="A1159" s="193"/>
      <c r="B1159" s="187"/>
      <c r="C1159" s="183" t="str">
        <f t="shared" si="109"/>
        <v/>
      </c>
      <c r="D1159" s="182" t="str">
        <f t="shared" si="110"/>
        <v/>
      </c>
      <c r="E1159" s="192" t="s">
        <v>681</v>
      </c>
      <c r="F1159" s="192" t="s">
        <v>1178</v>
      </c>
      <c r="G1159" s="192" t="s">
        <v>906</v>
      </c>
      <c r="H1159" s="210" t="s">
        <v>1440</v>
      </c>
      <c r="I1159" s="167">
        <v>376000000</v>
      </c>
      <c r="J1159" s="166"/>
      <c r="K1159" s="167">
        <v>376000000</v>
      </c>
      <c r="L1159" s="171"/>
      <c r="M1159" s="168">
        <f t="shared" si="111"/>
        <v>376000000</v>
      </c>
      <c r="N1159" s="171"/>
      <c r="O1159" s="167">
        <v>376000000</v>
      </c>
      <c r="P1159" s="167">
        <f t="shared" si="112"/>
        <v>376000000</v>
      </c>
      <c r="Q1159" s="167"/>
      <c r="S1159" s="201">
        <f t="shared" si="113"/>
        <v>376</v>
      </c>
      <c r="T1159" s="201">
        <f t="shared" si="114"/>
        <v>376</v>
      </c>
      <c r="U1159" s="201">
        <f t="shared" si="114"/>
        <v>0</v>
      </c>
      <c r="V1159" s="201">
        <f t="shared" si="114"/>
        <v>376</v>
      </c>
      <c r="W1159" s="201">
        <f t="shared" si="114"/>
        <v>376</v>
      </c>
      <c r="X1159" s="201">
        <f t="shared" si="114"/>
        <v>0</v>
      </c>
    </row>
    <row r="1160" spans="1:24" s="169" customFormat="1" ht="13.8">
      <c r="A1160" s="195"/>
      <c r="B1160" s="188"/>
      <c r="C1160" s="183" t="str">
        <f t="shared" si="109"/>
        <v/>
      </c>
      <c r="D1160" s="182" t="str">
        <f t="shared" si="110"/>
        <v/>
      </c>
      <c r="E1160" s="192" t="s">
        <v>679</v>
      </c>
      <c r="F1160" s="192" t="s">
        <v>1178</v>
      </c>
      <c r="G1160" s="192" t="s">
        <v>906</v>
      </c>
      <c r="H1160" s="210" t="s">
        <v>1440</v>
      </c>
      <c r="I1160" s="167">
        <v>2700000</v>
      </c>
      <c r="J1160" s="166"/>
      <c r="K1160" s="166"/>
      <c r="L1160" s="168">
        <v>2700000</v>
      </c>
      <c r="M1160" s="168">
        <f t="shared" si="111"/>
        <v>2700000</v>
      </c>
      <c r="N1160" s="168"/>
      <c r="O1160" s="167">
        <v>2700000</v>
      </c>
      <c r="P1160" s="167">
        <f t="shared" si="112"/>
        <v>2700000</v>
      </c>
      <c r="Q1160" s="167"/>
      <c r="S1160" s="201">
        <f t="shared" si="113"/>
        <v>2.7</v>
      </c>
      <c r="T1160" s="201">
        <f t="shared" si="114"/>
        <v>2.7</v>
      </c>
      <c r="U1160" s="201">
        <f t="shared" si="114"/>
        <v>0</v>
      </c>
      <c r="V1160" s="201">
        <f t="shared" si="114"/>
        <v>2.7</v>
      </c>
      <c r="W1160" s="201">
        <f t="shared" si="114"/>
        <v>2.7</v>
      </c>
      <c r="X1160" s="201">
        <f t="shared" si="114"/>
        <v>0</v>
      </c>
    </row>
    <row r="1161" spans="1:24" s="169" customFormat="1" ht="26.4">
      <c r="A1161" s="192" t="s">
        <v>1179</v>
      </c>
      <c r="B1161" s="170" t="s">
        <v>1180</v>
      </c>
      <c r="C1161" s="183" t="str">
        <f t="shared" si="109"/>
        <v>1078283</v>
      </c>
      <c r="D1161" s="182" t="str">
        <f t="shared" si="110"/>
        <v>-Nhà khách Hữu nghị Kontum</v>
      </c>
      <c r="E1161" s="206"/>
      <c r="F1161" s="207"/>
      <c r="G1161" s="207"/>
      <c r="H1161" s="205"/>
      <c r="I1161" s="167">
        <v>390000000</v>
      </c>
      <c r="J1161" s="166"/>
      <c r="K1161" s="167">
        <v>390000000</v>
      </c>
      <c r="L1161" s="171"/>
      <c r="M1161" s="168">
        <f t="shared" si="111"/>
        <v>390000000</v>
      </c>
      <c r="N1161" s="171"/>
      <c r="O1161" s="167">
        <v>390000000</v>
      </c>
      <c r="P1161" s="167">
        <f t="shared" si="112"/>
        <v>390000000</v>
      </c>
      <c r="Q1161" s="167"/>
      <c r="S1161" s="201">
        <f t="shared" si="113"/>
        <v>390</v>
      </c>
      <c r="T1161" s="201">
        <f t="shared" si="114"/>
        <v>390</v>
      </c>
      <c r="U1161" s="201">
        <f t="shared" si="114"/>
        <v>0</v>
      </c>
      <c r="V1161" s="201">
        <f t="shared" si="114"/>
        <v>390</v>
      </c>
      <c r="W1161" s="201">
        <f t="shared" si="114"/>
        <v>390</v>
      </c>
      <c r="X1161" s="201">
        <f t="shared" si="114"/>
        <v>0</v>
      </c>
    </row>
    <row r="1162" spans="1:24" s="169" customFormat="1" ht="13.8">
      <c r="A1162" s="192" t="s">
        <v>1181</v>
      </c>
      <c r="B1162" s="170" t="s">
        <v>689</v>
      </c>
      <c r="C1162" s="183" t="str">
        <f t="shared" si="109"/>
        <v/>
      </c>
      <c r="D1162" s="182" t="str">
        <f t="shared" si="110"/>
        <v/>
      </c>
      <c r="E1162" s="206"/>
      <c r="F1162" s="207"/>
      <c r="G1162" s="207"/>
      <c r="H1162" s="205"/>
      <c r="I1162" s="167">
        <v>390000000</v>
      </c>
      <c r="J1162" s="166"/>
      <c r="K1162" s="167">
        <v>390000000</v>
      </c>
      <c r="L1162" s="171"/>
      <c r="M1162" s="168">
        <f t="shared" si="111"/>
        <v>390000000</v>
      </c>
      <c r="N1162" s="171"/>
      <c r="O1162" s="167">
        <v>390000000</v>
      </c>
      <c r="P1162" s="167">
        <f t="shared" si="112"/>
        <v>390000000</v>
      </c>
      <c r="Q1162" s="167"/>
      <c r="S1162" s="201">
        <f t="shared" si="113"/>
        <v>390</v>
      </c>
      <c r="T1162" s="201">
        <f t="shared" si="114"/>
        <v>390</v>
      </c>
      <c r="U1162" s="201">
        <f t="shared" si="114"/>
        <v>0</v>
      </c>
      <c r="V1162" s="201">
        <f t="shared" si="114"/>
        <v>390</v>
      </c>
      <c r="W1162" s="201">
        <f t="shared" si="114"/>
        <v>390</v>
      </c>
      <c r="X1162" s="201">
        <f t="shared" si="114"/>
        <v>0</v>
      </c>
    </row>
    <row r="1163" spans="1:24" s="169" customFormat="1" ht="13.8">
      <c r="A1163" s="192"/>
      <c r="B1163" s="170" t="s">
        <v>686</v>
      </c>
      <c r="C1163" s="183" t="str">
        <f t="shared" si="109"/>
        <v/>
      </c>
      <c r="D1163" s="182" t="str">
        <f t="shared" si="110"/>
        <v/>
      </c>
      <c r="E1163" s="206"/>
      <c r="F1163" s="207"/>
      <c r="G1163" s="207"/>
      <c r="H1163" s="205"/>
      <c r="I1163" s="167">
        <v>390000000</v>
      </c>
      <c r="J1163" s="166"/>
      <c r="K1163" s="167">
        <v>390000000</v>
      </c>
      <c r="L1163" s="171"/>
      <c r="M1163" s="168">
        <f t="shared" si="111"/>
        <v>390000000</v>
      </c>
      <c r="N1163" s="171"/>
      <c r="O1163" s="167">
        <v>390000000</v>
      </c>
      <c r="P1163" s="167">
        <f t="shared" si="112"/>
        <v>390000000</v>
      </c>
      <c r="Q1163" s="167"/>
      <c r="S1163" s="201">
        <f t="shared" si="113"/>
        <v>390</v>
      </c>
      <c r="T1163" s="201">
        <f t="shared" si="114"/>
        <v>390</v>
      </c>
      <c r="U1163" s="201">
        <f t="shared" si="114"/>
        <v>0</v>
      </c>
      <c r="V1163" s="201">
        <f t="shared" si="114"/>
        <v>390</v>
      </c>
      <c r="W1163" s="201">
        <f t="shared" si="114"/>
        <v>390</v>
      </c>
      <c r="X1163" s="201">
        <f t="shared" si="114"/>
        <v>0</v>
      </c>
    </row>
    <row r="1164" spans="1:24" s="169" customFormat="1" ht="13.8">
      <c r="A1164" s="192"/>
      <c r="B1164" s="164"/>
      <c r="C1164" s="183" t="str">
        <f t="shared" si="109"/>
        <v/>
      </c>
      <c r="D1164" s="182" t="str">
        <f t="shared" si="110"/>
        <v/>
      </c>
      <c r="E1164" s="192" t="s">
        <v>681</v>
      </c>
      <c r="F1164" s="192" t="s">
        <v>722</v>
      </c>
      <c r="G1164" s="192" t="s">
        <v>1182</v>
      </c>
      <c r="H1164" s="210" t="s">
        <v>1440</v>
      </c>
      <c r="I1164" s="167">
        <v>390000000</v>
      </c>
      <c r="J1164" s="166"/>
      <c r="K1164" s="167">
        <v>390000000</v>
      </c>
      <c r="L1164" s="171"/>
      <c r="M1164" s="168">
        <f t="shared" si="111"/>
        <v>390000000</v>
      </c>
      <c r="N1164" s="171"/>
      <c r="O1164" s="167">
        <v>390000000</v>
      </c>
      <c r="P1164" s="167">
        <f t="shared" si="112"/>
        <v>390000000</v>
      </c>
      <c r="Q1164" s="167"/>
      <c r="S1164" s="201">
        <f t="shared" si="113"/>
        <v>390</v>
      </c>
      <c r="T1164" s="201">
        <f t="shared" si="114"/>
        <v>390</v>
      </c>
      <c r="U1164" s="201">
        <f t="shared" si="114"/>
        <v>0</v>
      </c>
      <c r="V1164" s="201">
        <f t="shared" si="114"/>
        <v>390</v>
      </c>
      <c r="W1164" s="201">
        <f t="shared" si="114"/>
        <v>390</v>
      </c>
      <c r="X1164" s="201">
        <f t="shared" si="114"/>
        <v>0</v>
      </c>
    </row>
    <row r="1165" spans="1:24" s="169" customFormat="1" ht="26.4">
      <c r="A1165" s="192" t="s">
        <v>1183</v>
      </c>
      <c r="B1165" s="165" t="s">
        <v>1184</v>
      </c>
      <c r="C1165" s="183" t="str">
        <f t="shared" si="109"/>
        <v>1078438</v>
      </c>
      <c r="D1165" s="182" t="str">
        <f t="shared" si="110"/>
        <v>-Văn phòng đăng ký đãt đai tỉnh Kon Tum</v>
      </c>
      <c r="E1165" s="206"/>
      <c r="F1165" s="207"/>
      <c r="G1165" s="207"/>
      <c r="H1165" s="205"/>
      <c r="I1165" s="167">
        <v>7742311853</v>
      </c>
      <c r="J1165" s="167">
        <v>2011411853</v>
      </c>
      <c r="K1165" s="167">
        <v>3338900000</v>
      </c>
      <c r="L1165" s="168">
        <v>2392000000</v>
      </c>
      <c r="M1165" s="168">
        <f t="shared" si="111"/>
        <v>7742311853</v>
      </c>
      <c r="N1165" s="168"/>
      <c r="O1165" s="167">
        <v>6949211171</v>
      </c>
      <c r="P1165" s="167">
        <f t="shared" si="112"/>
        <v>6949211171</v>
      </c>
      <c r="Q1165" s="167"/>
      <c r="S1165" s="201">
        <f t="shared" si="113"/>
        <v>7742.3118530000002</v>
      </c>
      <c r="T1165" s="201">
        <f t="shared" si="114"/>
        <v>7742.3118530000002</v>
      </c>
      <c r="U1165" s="201">
        <f t="shared" si="114"/>
        <v>0</v>
      </c>
      <c r="V1165" s="201">
        <f t="shared" si="114"/>
        <v>6949.2111709999999</v>
      </c>
      <c r="W1165" s="201">
        <f t="shared" si="114"/>
        <v>6949.2111709999999</v>
      </c>
      <c r="X1165" s="201">
        <f t="shared" si="114"/>
        <v>0</v>
      </c>
    </row>
    <row r="1166" spans="1:24" s="169" customFormat="1" ht="13.8">
      <c r="A1166" s="192" t="s">
        <v>1185</v>
      </c>
      <c r="B1166" s="170" t="s">
        <v>689</v>
      </c>
      <c r="C1166" s="183" t="str">
        <f t="shared" si="109"/>
        <v/>
      </c>
      <c r="D1166" s="182" t="str">
        <f t="shared" si="110"/>
        <v/>
      </c>
      <c r="E1166" s="206"/>
      <c r="F1166" s="207"/>
      <c r="G1166" s="207"/>
      <c r="H1166" s="205"/>
      <c r="I1166" s="167">
        <v>7742311853</v>
      </c>
      <c r="J1166" s="167">
        <v>2011411853</v>
      </c>
      <c r="K1166" s="167">
        <v>3338900000</v>
      </c>
      <c r="L1166" s="168">
        <v>2392000000</v>
      </c>
      <c r="M1166" s="168">
        <f t="shared" si="111"/>
        <v>7742311853</v>
      </c>
      <c r="N1166" s="168"/>
      <c r="O1166" s="167">
        <v>6949211171</v>
      </c>
      <c r="P1166" s="167">
        <f t="shared" si="112"/>
        <v>6949211171</v>
      </c>
      <c r="Q1166" s="167"/>
      <c r="S1166" s="201">
        <f t="shared" si="113"/>
        <v>7742.3118530000002</v>
      </c>
      <c r="T1166" s="201">
        <f t="shared" si="114"/>
        <v>7742.3118530000002</v>
      </c>
      <c r="U1166" s="201">
        <f t="shared" si="114"/>
        <v>0</v>
      </c>
      <c r="V1166" s="201">
        <f t="shared" si="114"/>
        <v>6949.2111709999999</v>
      </c>
      <c r="W1166" s="201">
        <f t="shared" si="114"/>
        <v>6949.2111709999999</v>
      </c>
      <c r="X1166" s="201">
        <f t="shared" si="114"/>
        <v>0</v>
      </c>
    </row>
    <row r="1167" spans="1:24" s="169" customFormat="1" ht="13.8">
      <c r="A1167" s="192"/>
      <c r="B1167" s="170" t="s">
        <v>686</v>
      </c>
      <c r="C1167" s="183" t="str">
        <f t="shared" si="109"/>
        <v/>
      </c>
      <c r="D1167" s="182" t="str">
        <f t="shared" si="110"/>
        <v/>
      </c>
      <c r="E1167" s="206"/>
      <c r="F1167" s="207"/>
      <c r="G1167" s="207"/>
      <c r="H1167" s="205"/>
      <c r="I1167" s="167">
        <v>7742311853</v>
      </c>
      <c r="J1167" s="167">
        <v>2011411853</v>
      </c>
      <c r="K1167" s="167">
        <v>3338900000</v>
      </c>
      <c r="L1167" s="168">
        <v>2392000000</v>
      </c>
      <c r="M1167" s="168">
        <f t="shared" si="111"/>
        <v>7742311853</v>
      </c>
      <c r="N1167" s="168"/>
      <c r="O1167" s="167">
        <v>6949211171</v>
      </c>
      <c r="P1167" s="167">
        <f t="shared" si="112"/>
        <v>6949211171</v>
      </c>
      <c r="Q1167" s="167"/>
      <c r="S1167" s="201">
        <f t="shared" si="113"/>
        <v>7742.3118530000002</v>
      </c>
      <c r="T1167" s="201">
        <f t="shared" si="114"/>
        <v>7742.3118530000002</v>
      </c>
      <c r="U1167" s="201">
        <f t="shared" si="114"/>
        <v>0</v>
      </c>
      <c r="V1167" s="201">
        <f t="shared" si="114"/>
        <v>6949.2111709999999</v>
      </c>
      <c r="W1167" s="201">
        <f t="shared" si="114"/>
        <v>6949.2111709999999</v>
      </c>
      <c r="X1167" s="201">
        <f t="shared" si="114"/>
        <v>0</v>
      </c>
    </row>
    <row r="1168" spans="1:24" s="169" customFormat="1" ht="13.8">
      <c r="A1168" s="193"/>
      <c r="B1168" s="187"/>
      <c r="C1168" s="183" t="str">
        <f t="shared" si="109"/>
        <v/>
      </c>
      <c r="D1168" s="182" t="str">
        <f t="shared" si="110"/>
        <v/>
      </c>
      <c r="E1168" s="192" t="s">
        <v>681</v>
      </c>
      <c r="F1168" s="192" t="s">
        <v>972</v>
      </c>
      <c r="G1168" s="192" t="s">
        <v>780</v>
      </c>
      <c r="H1168" s="210" t="s">
        <v>1440</v>
      </c>
      <c r="I1168" s="167">
        <v>7010311853</v>
      </c>
      <c r="J1168" s="167">
        <v>2011411853</v>
      </c>
      <c r="K1168" s="167">
        <v>3338900000</v>
      </c>
      <c r="L1168" s="168">
        <v>1660000000</v>
      </c>
      <c r="M1168" s="168">
        <f t="shared" si="111"/>
        <v>7010311853</v>
      </c>
      <c r="N1168" s="168"/>
      <c r="O1168" s="167">
        <v>6949211171</v>
      </c>
      <c r="P1168" s="167">
        <f t="shared" si="112"/>
        <v>6949211171</v>
      </c>
      <c r="Q1168" s="167"/>
      <c r="S1168" s="201">
        <f t="shared" si="113"/>
        <v>7010.3118530000002</v>
      </c>
      <c r="T1168" s="201">
        <f t="shared" si="114"/>
        <v>7010.3118530000002</v>
      </c>
      <c r="U1168" s="201">
        <f t="shared" si="114"/>
        <v>0</v>
      </c>
      <c r="V1168" s="201">
        <f t="shared" si="114"/>
        <v>6949.2111709999999</v>
      </c>
      <c r="W1168" s="201">
        <f t="shared" si="114"/>
        <v>6949.2111709999999</v>
      </c>
      <c r="X1168" s="201">
        <f t="shared" si="114"/>
        <v>0</v>
      </c>
    </row>
    <row r="1169" spans="1:24" s="169" customFormat="1" ht="13.8">
      <c r="A1169" s="195"/>
      <c r="B1169" s="188"/>
      <c r="C1169" s="183" t="str">
        <f t="shared" si="109"/>
        <v/>
      </c>
      <c r="D1169" s="182" t="str">
        <f t="shared" si="110"/>
        <v/>
      </c>
      <c r="E1169" s="192" t="s">
        <v>667</v>
      </c>
      <c r="F1169" s="192" t="s">
        <v>972</v>
      </c>
      <c r="G1169" s="192" t="s">
        <v>780</v>
      </c>
      <c r="H1169" s="210" t="s">
        <v>1440</v>
      </c>
      <c r="I1169" s="167">
        <v>732000000</v>
      </c>
      <c r="J1169" s="166"/>
      <c r="K1169" s="166"/>
      <c r="L1169" s="168">
        <v>732000000</v>
      </c>
      <c r="M1169" s="168">
        <f t="shared" si="111"/>
        <v>732000000</v>
      </c>
      <c r="N1169" s="168"/>
      <c r="O1169" s="166"/>
      <c r="P1169" s="167">
        <f t="shared" si="112"/>
        <v>0</v>
      </c>
      <c r="Q1169" s="166"/>
      <c r="S1169" s="201">
        <f t="shared" si="113"/>
        <v>732</v>
      </c>
      <c r="T1169" s="201">
        <f t="shared" si="114"/>
        <v>732</v>
      </c>
      <c r="U1169" s="201">
        <f t="shared" si="114"/>
        <v>0</v>
      </c>
      <c r="V1169" s="201">
        <f t="shared" si="114"/>
        <v>0</v>
      </c>
      <c r="W1169" s="201">
        <f t="shared" si="114"/>
        <v>0</v>
      </c>
      <c r="X1169" s="201">
        <f t="shared" si="114"/>
        <v>0</v>
      </c>
    </row>
    <row r="1170" spans="1:24" s="169" customFormat="1" ht="26.4">
      <c r="A1170" s="192" t="s">
        <v>1186</v>
      </c>
      <c r="B1170" s="170" t="s">
        <v>1187</v>
      </c>
      <c r="C1170" s="183" t="str">
        <f t="shared" si="109"/>
        <v>1078439</v>
      </c>
      <c r="D1170" s="182" t="str">
        <f t="shared" si="110"/>
        <v>-Trung tâm Phát triển Quỹđãt</v>
      </c>
      <c r="E1170" s="206"/>
      <c r="F1170" s="207"/>
      <c r="G1170" s="207"/>
      <c r="H1170" s="205"/>
      <c r="I1170" s="167">
        <v>1319300000</v>
      </c>
      <c r="J1170" s="166"/>
      <c r="K1170" s="167">
        <v>574000000</v>
      </c>
      <c r="L1170" s="168">
        <v>745300000</v>
      </c>
      <c r="M1170" s="168">
        <f t="shared" si="111"/>
        <v>1319300000</v>
      </c>
      <c r="N1170" s="168"/>
      <c r="O1170" s="167">
        <v>1209620328</v>
      </c>
      <c r="P1170" s="167">
        <f t="shared" si="112"/>
        <v>1209620328</v>
      </c>
      <c r="Q1170" s="167"/>
      <c r="S1170" s="201">
        <f t="shared" si="113"/>
        <v>1319.3</v>
      </c>
      <c r="T1170" s="201">
        <f t="shared" si="114"/>
        <v>1319.3</v>
      </c>
      <c r="U1170" s="201">
        <f t="shared" si="114"/>
        <v>0</v>
      </c>
      <c r="V1170" s="201">
        <f t="shared" si="114"/>
        <v>1209.620328</v>
      </c>
      <c r="W1170" s="201">
        <f t="shared" si="114"/>
        <v>1209.620328</v>
      </c>
      <c r="X1170" s="201">
        <f t="shared" si="114"/>
        <v>0</v>
      </c>
    </row>
    <row r="1171" spans="1:24" s="169" customFormat="1" ht="13.8">
      <c r="A1171" s="192" t="s">
        <v>1188</v>
      </c>
      <c r="B1171" s="170" t="s">
        <v>689</v>
      </c>
      <c r="C1171" s="183" t="str">
        <f t="shared" si="109"/>
        <v/>
      </c>
      <c r="D1171" s="182" t="str">
        <f t="shared" si="110"/>
        <v/>
      </c>
      <c r="E1171" s="206"/>
      <c r="F1171" s="207"/>
      <c r="G1171" s="207"/>
      <c r="H1171" s="205"/>
      <c r="I1171" s="167">
        <v>1319300000</v>
      </c>
      <c r="J1171" s="166"/>
      <c r="K1171" s="167">
        <v>574000000</v>
      </c>
      <c r="L1171" s="168">
        <v>745300000</v>
      </c>
      <c r="M1171" s="168">
        <f t="shared" si="111"/>
        <v>1319300000</v>
      </c>
      <c r="N1171" s="168"/>
      <c r="O1171" s="167">
        <v>1209620328</v>
      </c>
      <c r="P1171" s="167">
        <f t="shared" si="112"/>
        <v>1209620328</v>
      </c>
      <c r="Q1171" s="167"/>
      <c r="S1171" s="201">
        <f t="shared" si="113"/>
        <v>1319.3</v>
      </c>
      <c r="T1171" s="201">
        <f t="shared" si="114"/>
        <v>1319.3</v>
      </c>
      <c r="U1171" s="201">
        <f t="shared" si="114"/>
        <v>0</v>
      </c>
      <c r="V1171" s="201">
        <f t="shared" si="114"/>
        <v>1209.620328</v>
      </c>
      <c r="W1171" s="201">
        <f t="shared" si="114"/>
        <v>1209.620328</v>
      </c>
      <c r="X1171" s="201">
        <f t="shared" si="114"/>
        <v>0</v>
      </c>
    </row>
    <row r="1172" spans="1:24" s="169" customFormat="1" ht="13.8">
      <c r="A1172" s="192"/>
      <c r="B1172" s="170" t="s">
        <v>690</v>
      </c>
      <c r="C1172" s="183" t="str">
        <f t="shared" si="109"/>
        <v/>
      </c>
      <c r="D1172" s="182" t="str">
        <f t="shared" si="110"/>
        <v/>
      </c>
      <c r="E1172" s="206"/>
      <c r="F1172" s="207"/>
      <c r="G1172" s="207"/>
      <c r="H1172" s="205"/>
      <c r="I1172" s="166"/>
      <c r="J1172" s="166"/>
      <c r="K1172" s="167">
        <v>-590000000</v>
      </c>
      <c r="L1172" s="168">
        <v>590000000</v>
      </c>
      <c r="M1172" s="168">
        <f t="shared" si="111"/>
        <v>0</v>
      </c>
      <c r="N1172" s="168"/>
      <c r="O1172" s="166"/>
      <c r="P1172" s="167">
        <f t="shared" si="112"/>
        <v>0</v>
      </c>
      <c r="Q1172" s="166"/>
      <c r="S1172" s="201">
        <f t="shared" si="113"/>
        <v>0</v>
      </c>
      <c r="T1172" s="201">
        <f t="shared" si="114"/>
        <v>0</v>
      </c>
      <c r="U1172" s="201">
        <f t="shared" si="114"/>
        <v>0</v>
      </c>
      <c r="V1172" s="201">
        <f t="shared" si="114"/>
        <v>0</v>
      </c>
      <c r="W1172" s="201">
        <f t="shared" si="114"/>
        <v>0</v>
      </c>
      <c r="X1172" s="201">
        <f t="shared" si="114"/>
        <v>0</v>
      </c>
    </row>
    <row r="1173" spans="1:24" s="169" customFormat="1" ht="13.8">
      <c r="A1173" s="192"/>
      <c r="B1173" s="164"/>
      <c r="C1173" s="183" t="str">
        <f t="shared" si="109"/>
        <v/>
      </c>
      <c r="D1173" s="182" t="str">
        <f t="shared" si="110"/>
        <v/>
      </c>
      <c r="E1173" s="192" t="s">
        <v>666</v>
      </c>
      <c r="F1173" s="192" t="s">
        <v>972</v>
      </c>
      <c r="G1173" s="192" t="s">
        <v>780</v>
      </c>
      <c r="H1173" s="210" t="s">
        <v>1440</v>
      </c>
      <c r="I1173" s="166"/>
      <c r="J1173" s="166"/>
      <c r="K1173" s="167">
        <v>-590000000</v>
      </c>
      <c r="L1173" s="168">
        <v>590000000</v>
      </c>
      <c r="M1173" s="168">
        <f t="shared" si="111"/>
        <v>0</v>
      </c>
      <c r="N1173" s="168"/>
      <c r="O1173" s="166"/>
      <c r="P1173" s="167">
        <f t="shared" si="112"/>
        <v>0</v>
      </c>
      <c r="Q1173" s="166"/>
      <c r="S1173" s="201">
        <f t="shared" si="113"/>
        <v>0</v>
      </c>
      <c r="T1173" s="201">
        <f t="shared" si="114"/>
        <v>0</v>
      </c>
      <c r="U1173" s="201">
        <f t="shared" si="114"/>
        <v>0</v>
      </c>
      <c r="V1173" s="201">
        <f t="shared" si="114"/>
        <v>0</v>
      </c>
      <c r="W1173" s="201">
        <f t="shared" si="114"/>
        <v>0</v>
      </c>
      <c r="X1173" s="201">
        <f t="shared" si="114"/>
        <v>0</v>
      </c>
    </row>
    <row r="1174" spans="1:24" s="169" customFormat="1" ht="13.8">
      <c r="A1174" s="192"/>
      <c r="B1174" s="170" t="s">
        <v>686</v>
      </c>
      <c r="C1174" s="183" t="str">
        <f t="shared" ref="C1174:C1237" si="115">IF(B1174&lt;&gt;"",IF(AND(LEFT(B1174,1)&gt;="0",LEFT(B1174,1)&lt;="9"),LEFT(B1174,7),""),"")</f>
        <v/>
      </c>
      <c r="D1174" s="182" t="str">
        <f t="shared" si="110"/>
        <v/>
      </c>
      <c r="E1174" s="206"/>
      <c r="F1174" s="207"/>
      <c r="G1174" s="207"/>
      <c r="H1174" s="205"/>
      <c r="I1174" s="167">
        <v>1319300000</v>
      </c>
      <c r="J1174" s="166"/>
      <c r="K1174" s="167">
        <v>1164000000</v>
      </c>
      <c r="L1174" s="168">
        <v>155300000</v>
      </c>
      <c r="M1174" s="168">
        <f t="shared" si="111"/>
        <v>1319300000</v>
      </c>
      <c r="N1174" s="168"/>
      <c r="O1174" s="167">
        <v>1209620328</v>
      </c>
      <c r="P1174" s="167">
        <f t="shared" si="112"/>
        <v>1209620328</v>
      </c>
      <c r="Q1174" s="167"/>
      <c r="S1174" s="201">
        <f t="shared" si="113"/>
        <v>1319.3</v>
      </c>
      <c r="T1174" s="201">
        <f t="shared" si="114"/>
        <v>1319.3</v>
      </c>
      <c r="U1174" s="201">
        <f t="shared" si="114"/>
        <v>0</v>
      </c>
      <c r="V1174" s="201">
        <f t="shared" si="114"/>
        <v>1209.620328</v>
      </c>
      <c r="W1174" s="201">
        <f t="shared" si="114"/>
        <v>1209.620328</v>
      </c>
      <c r="X1174" s="201">
        <f t="shared" si="114"/>
        <v>0</v>
      </c>
    </row>
    <row r="1175" spans="1:24" s="169" customFormat="1" ht="13.8">
      <c r="A1175" s="193"/>
      <c r="B1175" s="187"/>
      <c r="C1175" s="183" t="str">
        <f t="shared" si="115"/>
        <v/>
      </c>
      <c r="D1175" s="182" t="str">
        <f t="shared" ref="D1175:D1238" si="116">IF(C1175&lt;&gt;"",RIGHT(B1175,LEN(B1175)-7),"")</f>
        <v/>
      </c>
      <c r="E1175" s="192" t="s">
        <v>681</v>
      </c>
      <c r="F1175" s="192" t="s">
        <v>972</v>
      </c>
      <c r="G1175" s="192" t="s">
        <v>780</v>
      </c>
      <c r="H1175" s="210" t="s">
        <v>1440</v>
      </c>
      <c r="I1175" s="167">
        <v>1290000000</v>
      </c>
      <c r="J1175" s="166"/>
      <c r="K1175" s="167">
        <v>1164000000</v>
      </c>
      <c r="L1175" s="168">
        <v>126000000</v>
      </c>
      <c r="M1175" s="168">
        <f t="shared" ref="M1175:M1238" si="117">I1175-N1175</f>
        <v>1290000000</v>
      </c>
      <c r="N1175" s="168"/>
      <c r="O1175" s="167">
        <v>1180320328</v>
      </c>
      <c r="P1175" s="167">
        <f t="shared" ref="P1175:P1238" si="118">O1175-Q1175</f>
        <v>1180320328</v>
      </c>
      <c r="Q1175" s="167"/>
      <c r="S1175" s="201">
        <f t="shared" ref="S1175:S1238" si="119">I1175/1000000</f>
        <v>1290</v>
      </c>
      <c r="T1175" s="201">
        <f t="shared" si="114"/>
        <v>1290</v>
      </c>
      <c r="U1175" s="201">
        <f t="shared" si="114"/>
        <v>0</v>
      </c>
      <c r="V1175" s="201">
        <f t="shared" si="114"/>
        <v>1180.320328</v>
      </c>
      <c r="W1175" s="201">
        <f t="shared" si="114"/>
        <v>1180.320328</v>
      </c>
      <c r="X1175" s="201">
        <f t="shared" si="114"/>
        <v>0</v>
      </c>
    </row>
    <row r="1176" spans="1:24" s="169" customFormat="1" ht="13.8">
      <c r="A1176" s="195"/>
      <c r="B1176" s="188"/>
      <c r="C1176" s="183" t="str">
        <f t="shared" si="115"/>
        <v/>
      </c>
      <c r="D1176" s="182" t="str">
        <f t="shared" si="116"/>
        <v/>
      </c>
      <c r="E1176" s="192" t="s">
        <v>679</v>
      </c>
      <c r="F1176" s="192" t="s">
        <v>972</v>
      </c>
      <c r="G1176" s="192" t="s">
        <v>780</v>
      </c>
      <c r="H1176" s="210" t="s">
        <v>1440</v>
      </c>
      <c r="I1176" s="167">
        <v>29300000</v>
      </c>
      <c r="J1176" s="166"/>
      <c r="K1176" s="166"/>
      <c r="L1176" s="168">
        <v>29300000</v>
      </c>
      <c r="M1176" s="168">
        <f t="shared" si="117"/>
        <v>29300000</v>
      </c>
      <c r="N1176" s="168"/>
      <c r="O1176" s="167">
        <v>29300000</v>
      </c>
      <c r="P1176" s="167">
        <f t="shared" si="118"/>
        <v>29300000</v>
      </c>
      <c r="Q1176" s="167"/>
      <c r="S1176" s="201">
        <f t="shared" si="119"/>
        <v>29.3</v>
      </c>
      <c r="T1176" s="201">
        <f t="shared" si="114"/>
        <v>29.3</v>
      </c>
      <c r="U1176" s="201">
        <f t="shared" si="114"/>
        <v>0</v>
      </c>
      <c r="V1176" s="201">
        <f t="shared" si="114"/>
        <v>29.3</v>
      </c>
      <c r="W1176" s="201">
        <f t="shared" si="114"/>
        <v>29.3</v>
      </c>
      <c r="X1176" s="201">
        <f t="shared" si="114"/>
        <v>0</v>
      </c>
    </row>
    <row r="1177" spans="1:24" s="169" customFormat="1" ht="26.4">
      <c r="A1177" s="192" t="s">
        <v>1189</v>
      </c>
      <c r="B1177" s="165" t="s">
        <v>1190</v>
      </c>
      <c r="C1177" s="183" t="str">
        <f t="shared" si="115"/>
        <v>1081016</v>
      </c>
      <c r="D1177" s="182" t="str">
        <f t="shared" si="116"/>
        <v>-Trường Trung học PhS thông Sa Thăy</v>
      </c>
      <c r="E1177" s="206"/>
      <c r="F1177" s="207"/>
      <c r="G1177" s="207"/>
      <c r="H1177" s="205"/>
      <c r="I1177" s="167">
        <v>6575268000</v>
      </c>
      <c r="J1177" s="166"/>
      <c r="K1177" s="167">
        <v>6026358000</v>
      </c>
      <c r="L1177" s="168">
        <v>548910000</v>
      </c>
      <c r="M1177" s="168">
        <f t="shared" si="117"/>
        <v>6575268000</v>
      </c>
      <c r="N1177" s="168"/>
      <c r="O1177" s="167">
        <v>6149240500</v>
      </c>
      <c r="P1177" s="167">
        <f t="shared" si="118"/>
        <v>6149240500</v>
      </c>
      <c r="Q1177" s="167"/>
      <c r="S1177" s="201">
        <f t="shared" si="119"/>
        <v>6575.268</v>
      </c>
      <c r="T1177" s="201">
        <f t="shared" si="114"/>
        <v>6575.268</v>
      </c>
      <c r="U1177" s="201">
        <f t="shared" si="114"/>
        <v>0</v>
      </c>
      <c r="V1177" s="201">
        <f t="shared" si="114"/>
        <v>6149.2404999999999</v>
      </c>
      <c r="W1177" s="201">
        <f t="shared" si="114"/>
        <v>6149.2404999999999</v>
      </c>
      <c r="X1177" s="201">
        <f t="shared" si="114"/>
        <v>0</v>
      </c>
    </row>
    <row r="1178" spans="1:24" s="169" customFormat="1" ht="13.8">
      <c r="A1178" s="192" t="s">
        <v>1191</v>
      </c>
      <c r="B1178" s="170" t="s">
        <v>689</v>
      </c>
      <c r="C1178" s="183" t="str">
        <f t="shared" si="115"/>
        <v/>
      </c>
      <c r="D1178" s="182" t="str">
        <f t="shared" si="116"/>
        <v/>
      </c>
      <c r="E1178" s="206"/>
      <c r="F1178" s="207"/>
      <c r="G1178" s="207"/>
      <c r="H1178" s="205"/>
      <c r="I1178" s="167">
        <v>6575268000</v>
      </c>
      <c r="J1178" s="166"/>
      <c r="K1178" s="167">
        <v>6026358000</v>
      </c>
      <c r="L1178" s="168">
        <v>548910000</v>
      </c>
      <c r="M1178" s="168">
        <f t="shared" si="117"/>
        <v>6575268000</v>
      </c>
      <c r="N1178" s="168"/>
      <c r="O1178" s="167">
        <v>6149240500</v>
      </c>
      <c r="P1178" s="167">
        <f t="shared" si="118"/>
        <v>6149240500</v>
      </c>
      <c r="Q1178" s="167"/>
      <c r="S1178" s="201">
        <f t="shared" si="119"/>
        <v>6575.268</v>
      </c>
      <c r="T1178" s="201">
        <f t="shared" si="114"/>
        <v>6575.268</v>
      </c>
      <c r="U1178" s="201">
        <f t="shared" si="114"/>
        <v>0</v>
      </c>
      <c r="V1178" s="201">
        <f t="shared" si="114"/>
        <v>6149.2404999999999</v>
      </c>
      <c r="W1178" s="201">
        <f t="shared" si="114"/>
        <v>6149.2404999999999</v>
      </c>
      <c r="X1178" s="201">
        <f t="shared" si="114"/>
        <v>0</v>
      </c>
    </row>
    <row r="1179" spans="1:24" s="169" customFormat="1" ht="13.8">
      <c r="A1179" s="192"/>
      <c r="B1179" s="170" t="s">
        <v>690</v>
      </c>
      <c r="C1179" s="183" t="str">
        <f t="shared" si="115"/>
        <v/>
      </c>
      <c r="D1179" s="182" t="str">
        <f t="shared" si="116"/>
        <v/>
      </c>
      <c r="E1179" s="206"/>
      <c r="F1179" s="207"/>
      <c r="G1179" s="207"/>
      <c r="H1179" s="205"/>
      <c r="I1179" s="167">
        <v>5589418000</v>
      </c>
      <c r="J1179" s="166"/>
      <c r="K1179" s="167">
        <v>5474408000</v>
      </c>
      <c r="L1179" s="168">
        <v>115010000</v>
      </c>
      <c r="M1179" s="168">
        <f t="shared" si="117"/>
        <v>5589418000</v>
      </c>
      <c r="N1179" s="168"/>
      <c r="O1179" s="167">
        <v>5589418000</v>
      </c>
      <c r="P1179" s="167">
        <f t="shared" si="118"/>
        <v>5589418000</v>
      </c>
      <c r="Q1179" s="167"/>
      <c r="S1179" s="201">
        <f t="shared" si="119"/>
        <v>5589.4179999999997</v>
      </c>
      <c r="T1179" s="201">
        <f t="shared" si="114"/>
        <v>5589.4179999999997</v>
      </c>
      <c r="U1179" s="201">
        <f t="shared" si="114"/>
        <v>0</v>
      </c>
      <c r="V1179" s="201">
        <f t="shared" si="114"/>
        <v>5589.4179999999997</v>
      </c>
      <c r="W1179" s="201">
        <f t="shared" si="114"/>
        <v>5589.4179999999997</v>
      </c>
      <c r="X1179" s="201">
        <f t="shared" si="114"/>
        <v>0</v>
      </c>
    </row>
    <row r="1180" spans="1:24" s="169" customFormat="1" ht="13.8">
      <c r="A1180" s="192"/>
      <c r="B1180" s="164"/>
      <c r="C1180" s="183" t="str">
        <f t="shared" si="115"/>
        <v/>
      </c>
      <c r="D1180" s="182" t="str">
        <f t="shared" si="116"/>
        <v/>
      </c>
      <c r="E1180" s="192" t="s">
        <v>666</v>
      </c>
      <c r="F1180" s="192" t="s">
        <v>677</v>
      </c>
      <c r="G1180" s="192" t="s">
        <v>678</v>
      </c>
      <c r="H1180" s="210" t="s">
        <v>1440</v>
      </c>
      <c r="I1180" s="167">
        <v>5450408000</v>
      </c>
      <c r="J1180" s="166"/>
      <c r="K1180" s="167">
        <v>5450408000</v>
      </c>
      <c r="L1180" s="171"/>
      <c r="M1180" s="168">
        <f t="shared" si="117"/>
        <v>5450408000</v>
      </c>
      <c r="N1180" s="171"/>
      <c r="O1180" s="167">
        <v>5450408000</v>
      </c>
      <c r="P1180" s="167">
        <f t="shared" si="118"/>
        <v>5450408000</v>
      </c>
      <c r="Q1180" s="167"/>
      <c r="S1180" s="201">
        <f t="shared" si="119"/>
        <v>5450.4080000000004</v>
      </c>
      <c r="T1180" s="201">
        <f t="shared" si="114"/>
        <v>5450.4080000000004</v>
      </c>
      <c r="U1180" s="201">
        <f t="shared" si="114"/>
        <v>0</v>
      </c>
      <c r="V1180" s="201">
        <f t="shared" si="114"/>
        <v>5450.4080000000004</v>
      </c>
      <c r="W1180" s="201">
        <f t="shared" si="114"/>
        <v>5450.4080000000004</v>
      </c>
      <c r="X1180" s="201">
        <f t="shared" si="114"/>
        <v>0</v>
      </c>
    </row>
    <row r="1181" spans="1:24" s="169" customFormat="1" ht="13.8">
      <c r="A1181" s="192"/>
      <c r="B1181" s="173"/>
      <c r="C1181" s="183" t="str">
        <f t="shared" si="115"/>
        <v/>
      </c>
      <c r="D1181" s="182" t="str">
        <f t="shared" si="116"/>
        <v/>
      </c>
      <c r="E1181" s="192"/>
      <c r="F1181" s="192"/>
      <c r="G1181" s="192"/>
      <c r="H1181" s="210"/>
      <c r="I1181" s="174"/>
      <c r="J1181" s="174"/>
      <c r="K1181" s="174"/>
      <c r="L1181" s="175"/>
      <c r="M1181" s="168">
        <f t="shared" si="117"/>
        <v>0</v>
      </c>
      <c r="N1181" s="175"/>
      <c r="O1181" s="174"/>
      <c r="P1181" s="167">
        <f t="shared" si="118"/>
        <v>0</v>
      </c>
      <c r="Q1181" s="174"/>
      <c r="S1181" s="201">
        <f t="shared" si="119"/>
        <v>0</v>
      </c>
      <c r="T1181" s="201">
        <f t="shared" si="114"/>
        <v>0</v>
      </c>
      <c r="U1181" s="201">
        <f t="shared" si="114"/>
        <v>0</v>
      </c>
      <c r="V1181" s="201">
        <f t="shared" si="114"/>
        <v>0</v>
      </c>
      <c r="W1181" s="201">
        <f t="shared" si="114"/>
        <v>0</v>
      </c>
      <c r="X1181" s="201">
        <f t="shared" si="114"/>
        <v>0</v>
      </c>
    </row>
    <row r="1182" spans="1:24" s="169" customFormat="1" ht="13.8">
      <c r="A1182" s="193"/>
      <c r="B1182" s="187"/>
      <c r="C1182" s="183" t="str">
        <f t="shared" si="115"/>
        <v/>
      </c>
      <c r="D1182" s="182" t="str">
        <f t="shared" si="116"/>
        <v/>
      </c>
      <c r="E1182" s="192" t="s">
        <v>679</v>
      </c>
      <c r="F1182" s="192" t="s">
        <v>677</v>
      </c>
      <c r="G1182" s="192" t="s">
        <v>678</v>
      </c>
      <c r="H1182" s="210" t="s">
        <v>1440</v>
      </c>
      <c r="I1182" s="167">
        <v>127000000</v>
      </c>
      <c r="J1182" s="166"/>
      <c r="K1182" s="167">
        <v>24000000</v>
      </c>
      <c r="L1182" s="168">
        <v>103000000</v>
      </c>
      <c r="M1182" s="168">
        <f t="shared" si="117"/>
        <v>127000000</v>
      </c>
      <c r="N1182" s="168"/>
      <c r="O1182" s="167">
        <v>127000000</v>
      </c>
      <c r="P1182" s="167">
        <f t="shared" si="118"/>
        <v>127000000</v>
      </c>
      <c r="Q1182" s="167"/>
      <c r="S1182" s="201">
        <f t="shared" si="119"/>
        <v>127</v>
      </c>
      <c r="T1182" s="201">
        <f t="shared" si="114"/>
        <v>127</v>
      </c>
      <c r="U1182" s="201">
        <f t="shared" si="114"/>
        <v>0</v>
      </c>
      <c r="V1182" s="201">
        <f t="shared" si="114"/>
        <v>127</v>
      </c>
      <c r="W1182" s="201">
        <f t="shared" si="114"/>
        <v>127</v>
      </c>
      <c r="X1182" s="201">
        <f t="shared" si="114"/>
        <v>0</v>
      </c>
    </row>
    <row r="1183" spans="1:24" s="169" customFormat="1" ht="13.8">
      <c r="A1183" s="195"/>
      <c r="B1183" s="188"/>
      <c r="C1183" s="183" t="str">
        <f t="shared" si="115"/>
        <v/>
      </c>
      <c r="D1183" s="182" t="str">
        <f t="shared" si="116"/>
        <v/>
      </c>
      <c r="E1183" s="192" t="s">
        <v>669</v>
      </c>
      <c r="F1183" s="192" t="s">
        <v>677</v>
      </c>
      <c r="G1183" s="192" t="s">
        <v>678</v>
      </c>
      <c r="H1183" s="210" t="s">
        <v>1440</v>
      </c>
      <c r="I1183" s="167">
        <v>12010000</v>
      </c>
      <c r="J1183" s="166"/>
      <c r="K1183" s="166"/>
      <c r="L1183" s="168">
        <v>12010000</v>
      </c>
      <c r="M1183" s="168">
        <f t="shared" si="117"/>
        <v>12010000</v>
      </c>
      <c r="N1183" s="168"/>
      <c r="O1183" s="167">
        <v>12010000</v>
      </c>
      <c r="P1183" s="167">
        <f t="shared" si="118"/>
        <v>12010000</v>
      </c>
      <c r="Q1183" s="167"/>
      <c r="S1183" s="201">
        <f t="shared" si="119"/>
        <v>12.01</v>
      </c>
      <c r="T1183" s="201">
        <f t="shared" si="114"/>
        <v>12.01</v>
      </c>
      <c r="U1183" s="201">
        <f t="shared" si="114"/>
        <v>0</v>
      </c>
      <c r="V1183" s="201">
        <f t="shared" si="114"/>
        <v>12.01</v>
      </c>
      <c r="W1183" s="201">
        <f t="shared" si="114"/>
        <v>12.01</v>
      </c>
      <c r="X1183" s="201">
        <f t="shared" si="114"/>
        <v>0</v>
      </c>
    </row>
    <row r="1184" spans="1:24" s="169" customFormat="1" ht="13.8">
      <c r="A1184" s="192"/>
      <c r="B1184" s="170" t="s">
        <v>686</v>
      </c>
      <c r="C1184" s="183" t="str">
        <f t="shared" si="115"/>
        <v/>
      </c>
      <c r="D1184" s="182" t="str">
        <f t="shared" si="116"/>
        <v/>
      </c>
      <c r="E1184" s="206"/>
      <c r="F1184" s="207"/>
      <c r="G1184" s="207"/>
      <c r="H1184" s="205"/>
      <c r="I1184" s="167">
        <v>985850000</v>
      </c>
      <c r="J1184" s="166"/>
      <c r="K1184" s="167">
        <v>551950000</v>
      </c>
      <c r="L1184" s="168">
        <v>433900000</v>
      </c>
      <c r="M1184" s="168">
        <f t="shared" si="117"/>
        <v>985850000</v>
      </c>
      <c r="N1184" s="168"/>
      <c r="O1184" s="167">
        <v>559822500</v>
      </c>
      <c r="P1184" s="167">
        <f t="shared" si="118"/>
        <v>559822500</v>
      </c>
      <c r="Q1184" s="167"/>
      <c r="S1184" s="201">
        <f t="shared" si="119"/>
        <v>985.85</v>
      </c>
      <c r="T1184" s="201">
        <f t="shared" si="114"/>
        <v>985.85</v>
      </c>
      <c r="U1184" s="201">
        <f t="shared" si="114"/>
        <v>0</v>
      </c>
      <c r="V1184" s="201">
        <f t="shared" si="114"/>
        <v>559.82249999999999</v>
      </c>
      <c r="W1184" s="201">
        <f t="shared" si="114"/>
        <v>559.82249999999999</v>
      </c>
      <c r="X1184" s="201">
        <f t="shared" si="114"/>
        <v>0</v>
      </c>
    </row>
    <row r="1185" spans="1:24" s="169" customFormat="1" ht="13.8">
      <c r="A1185" s="193"/>
      <c r="B1185" s="187"/>
      <c r="C1185" s="183" t="str">
        <f t="shared" si="115"/>
        <v/>
      </c>
      <c r="D1185" s="182" t="str">
        <f t="shared" si="116"/>
        <v/>
      </c>
      <c r="E1185" s="192" t="s">
        <v>681</v>
      </c>
      <c r="F1185" s="192" t="s">
        <v>677</v>
      </c>
      <c r="G1185" s="192" t="s">
        <v>678</v>
      </c>
      <c r="H1185" s="210" t="s">
        <v>1440</v>
      </c>
      <c r="I1185" s="167">
        <v>410000000</v>
      </c>
      <c r="J1185" s="166"/>
      <c r="K1185" s="167">
        <v>410000000</v>
      </c>
      <c r="L1185" s="171"/>
      <c r="M1185" s="168">
        <f t="shared" si="117"/>
        <v>410000000</v>
      </c>
      <c r="N1185" s="171"/>
      <c r="O1185" s="167">
        <v>403272500</v>
      </c>
      <c r="P1185" s="167">
        <f t="shared" si="118"/>
        <v>403272500</v>
      </c>
      <c r="Q1185" s="167"/>
      <c r="S1185" s="201">
        <f t="shared" si="119"/>
        <v>410</v>
      </c>
      <c r="T1185" s="201">
        <f t="shared" si="114"/>
        <v>410</v>
      </c>
      <c r="U1185" s="201">
        <f t="shared" si="114"/>
        <v>0</v>
      </c>
      <c r="V1185" s="201">
        <f t="shared" si="114"/>
        <v>403.27249999999998</v>
      </c>
      <c r="W1185" s="201">
        <f t="shared" si="114"/>
        <v>403.27249999999998</v>
      </c>
      <c r="X1185" s="201">
        <f t="shared" si="114"/>
        <v>0</v>
      </c>
    </row>
    <row r="1186" spans="1:24" s="169" customFormat="1" ht="13.8">
      <c r="A1186" s="194"/>
      <c r="B1186" s="184"/>
      <c r="C1186" s="183" t="str">
        <f t="shared" si="115"/>
        <v/>
      </c>
      <c r="D1186" s="182" t="str">
        <f t="shared" si="116"/>
        <v/>
      </c>
      <c r="E1186" s="192" t="s">
        <v>667</v>
      </c>
      <c r="F1186" s="192" t="s">
        <v>677</v>
      </c>
      <c r="G1186" s="192" t="s">
        <v>678</v>
      </c>
      <c r="H1186" s="210" t="s">
        <v>1440</v>
      </c>
      <c r="I1186" s="167">
        <v>400000000</v>
      </c>
      <c r="J1186" s="166"/>
      <c r="K1186" s="166"/>
      <c r="L1186" s="168">
        <v>400000000</v>
      </c>
      <c r="M1186" s="168">
        <f t="shared" si="117"/>
        <v>400000000</v>
      </c>
      <c r="N1186" s="168"/>
      <c r="O1186" s="166"/>
      <c r="P1186" s="167">
        <f t="shared" si="118"/>
        <v>0</v>
      </c>
      <c r="Q1186" s="166"/>
      <c r="S1186" s="201">
        <f t="shared" si="119"/>
        <v>400</v>
      </c>
      <c r="T1186" s="201">
        <f t="shared" si="114"/>
        <v>400</v>
      </c>
      <c r="U1186" s="201">
        <f t="shared" si="114"/>
        <v>0</v>
      </c>
      <c r="V1186" s="201">
        <f t="shared" si="114"/>
        <v>0</v>
      </c>
      <c r="W1186" s="201">
        <f t="shared" si="114"/>
        <v>0</v>
      </c>
      <c r="X1186" s="201">
        <f t="shared" si="114"/>
        <v>0</v>
      </c>
    </row>
    <row r="1187" spans="1:24" s="169" customFormat="1" ht="13.8">
      <c r="A1187" s="195"/>
      <c r="B1187" s="188"/>
      <c r="C1187" s="183" t="str">
        <f t="shared" si="115"/>
        <v/>
      </c>
      <c r="D1187" s="182" t="str">
        <f t="shared" si="116"/>
        <v/>
      </c>
      <c r="E1187" s="192" t="s">
        <v>669</v>
      </c>
      <c r="F1187" s="192" t="s">
        <v>677</v>
      </c>
      <c r="G1187" s="192" t="s">
        <v>678</v>
      </c>
      <c r="H1187" s="210" t="s">
        <v>1440</v>
      </c>
      <c r="I1187" s="167">
        <v>175850000</v>
      </c>
      <c r="J1187" s="166"/>
      <c r="K1187" s="167">
        <v>141950000</v>
      </c>
      <c r="L1187" s="168">
        <v>33900000</v>
      </c>
      <c r="M1187" s="168">
        <f t="shared" si="117"/>
        <v>175850000</v>
      </c>
      <c r="N1187" s="168"/>
      <c r="O1187" s="167">
        <v>156550000</v>
      </c>
      <c r="P1187" s="167">
        <f t="shared" si="118"/>
        <v>156550000</v>
      </c>
      <c r="Q1187" s="167"/>
      <c r="S1187" s="201">
        <f t="shared" si="119"/>
        <v>175.85</v>
      </c>
      <c r="T1187" s="201">
        <f t="shared" si="114"/>
        <v>175.85</v>
      </c>
      <c r="U1187" s="201">
        <f t="shared" si="114"/>
        <v>0</v>
      </c>
      <c r="V1187" s="201">
        <f t="shared" si="114"/>
        <v>156.55000000000001</v>
      </c>
      <c r="W1187" s="201">
        <f t="shared" si="114"/>
        <v>156.55000000000001</v>
      </c>
      <c r="X1187" s="201">
        <f t="shared" si="114"/>
        <v>0</v>
      </c>
    </row>
    <row r="1188" spans="1:24" s="169" customFormat="1" ht="27.6">
      <c r="A1188" s="192" t="s">
        <v>1192</v>
      </c>
      <c r="B1188" s="165" t="s">
        <v>1193</v>
      </c>
      <c r="C1188" s="183" t="str">
        <f t="shared" si="115"/>
        <v>1081017</v>
      </c>
      <c r="D1188" s="182" t="str">
        <f t="shared" si="116"/>
        <v>-Chi cục Dân sổ - Kẽ hoạch lóa Gia đinh - tỉnh Kontum</v>
      </c>
      <c r="E1188" s="206"/>
      <c r="F1188" s="207"/>
      <c r="G1188" s="207"/>
      <c r="H1188" s="205"/>
      <c r="I1188" s="167">
        <v>21077000000</v>
      </c>
      <c r="J1188" s="167">
        <v>882000000</v>
      </c>
      <c r="K1188" s="167">
        <v>15528000000</v>
      </c>
      <c r="L1188" s="168">
        <v>4667000000</v>
      </c>
      <c r="M1188" s="168">
        <f t="shared" si="117"/>
        <v>21077000000</v>
      </c>
      <c r="N1188" s="168"/>
      <c r="O1188" s="167">
        <v>19634993318</v>
      </c>
      <c r="P1188" s="167">
        <f t="shared" si="118"/>
        <v>19634993318</v>
      </c>
      <c r="Q1188" s="167"/>
      <c r="S1188" s="201">
        <f t="shared" si="119"/>
        <v>21077</v>
      </c>
      <c r="T1188" s="201">
        <f t="shared" si="114"/>
        <v>21077</v>
      </c>
      <c r="U1188" s="201">
        <f t="shared" si="114"/>
        <v>0</v>
      </c>
      <c r="V1188" s="201">
        <f t="shared" si="114"/>
        <v>19634.993318000001</v>
      </c>
      <c r="W1188" s="201">
        <f t="shared" si="114"/>
        <v>19634.993318000001</v>
      </c>
      <c r="X1188" s="201">
        <f t="shared" si="114"/>
        <v>0</v>
      </c>
    </row>
    <row r="1189" spans="1:24" s="169" customFormat="1" ht="13.8">
      <c r="A1189" s="192" t="s">
        <v>1194</v>
      </c>
      <c r="B1189" s="170" t="s">
        <v>689</v>
      </c>
      <c r="C1189" s="183" t="str">
        <f t="shared" si="115"/>
        <v/>
      </c>
      <c r="D1189" s="182" t="str">
        <f t="shared" si="116"/>
        <v/>
      </c>
      <c r="E1189" s="206"/>
      <c r="F1189" s="207"/>
      <c r="G1189" s="207"/>
      <c r="H1189" s="205"/>
      <c r="I1189" s="167">
        <v>16717000000</v>
      </c>
      <c r="J1189" s="167">
        <v>882000000</v>
      </c>
      <c r="K1189" s="167">
        <v>15528000000</v>
      </c>
      <c r="L1189" s="168">
        <v>307000000</v>
      </c>
      <c r="M1189" s="168">
        <f t="shared" si="117"/>
        <v>16717000000</v>
      </c>
      <c r="N1189" s="168"/>
      <c r="O1189" s="167">
        <v>16490824044</v>
      </c>
      <c r="P1189" s="167">
        <f t="shared" si="118"/>
        <v>16490824044</v>
      </c>
      <c r="Q1189" s="167"/>
      <c r="S1189" s="201">
        <f t="shared" si="119"/>
        <v>16717</v>
      </c>
      <c r="T1189" s="201">
        <f t="shared" si="114"/>
        <v>16717</v>
      </c>
      <c r="U1189" s="201">
        <f t="shared" si="114"/>
        <v>0</v>
      </c>
      <c r="V1189" s="201">
        <f t="shared" si="114"/>
        <v>16490.824044000001</v>
      </c>
      <c r="W1189" s="201">
        <f t="shared" si="114"/>
        <v>16490.824044000001</v>
      </c>
      <c r="X1189" s="201">
        <f t="shared" si="114"/>
        <v>0</v>
      </c>
    </row>
    <row r="1190" spans="1:24" s="169" customFormat="1" ht="13.8">
      <c r="A1190" s="192"/>
      <c r="B1190" s="170" t="s">
        <v>690</v>
      </c>
      <c r="C1190" s="183" t="str">
        <f t="shared" si="115"/>
        <v/>
      </c>
      <c r="D1190" s="182" t="str">
        <f t="shared" si="116"/>
        <v/>
      </c>
      <c r="E1190" s="206"/>
      <c r="F1190" s="207"/>
      <c r="G1190" s="207"/>
      <c r="H1190" s="205"/>
      <c r="I1190" s="167">
        <v>1385000000</v>
      </c>
      <c r="J1190" s="166"/>
      <c r="K1190" s="167">
        <v>1348000000</v>
      </c>
      <c r="L1190" s="168">
        <v>37000000</v>
      </c>
      <c r="M1190" s="168">
        <f t="shared" si="117"/>
        <v>1385000000</v>
      </c>
      <c r="N1190" s="168"/>
      <c r="O1190" s="167">
        <v>1385000000</v>
      </c>
      <c r="P1190" s="167">
        <f t="shared" si="118"/>
        <v>1385000000</v>
      </c>
      <c r="Q1190" s="167"/>
      <c r="S1190" s="201">
        <f t="shared" si="119"/>
        <v>1385</v>
      </c>
      <c r="T1190" s="201">
        <f t="shared" si="114"/>
        <v>1385</v>
      </c>
      <c r="U1190" s="201">
        <f t="shared" si="114"/>
        <v>0</v>
      </c>
      <c r="V1190" s="201">
        <f t="shared" si="114"/>
        <v>1385</v>
      </c>
      <c r="W1190" s="201">
        <f t="shared" si="114"/>
        <v>1385</v>
      </c>
      <c r="X1190" s="201">
        <f t="shared" si="114"/>
        <v>0</v>
      </c>
    </row>
    <row r="1191" spans="1:24" s="169" customFormat="1" ht="13.8">
      <c r="A1191" s="193"/>
      <c r="B1191" s="187"/>
      <c r="C1191" s="183" t="str">
        <f t="shared" si="115"/>
        <v/>
      </c>
      <c r="D1191" s="182" t="str">
        <f t="shared" si="116"/>
        <v/>
      </c>
      <c r="E1191" s="192" t="s">
        <v>666</v>
      </c>
      <c r="F1191" s="192" t="s">
        <v>705</v>
      </c>
      <c r="G1191" s="192" t="s">
        <v>766</v>
      </c>
      <c r="H1191" s="210" t="s">
        <v>1440</v>
      </c>
      <c r="I1191" s="167">
        <v>1348000000</v>
      </c>
      <c r="J1191" s="166"/>
      <c r="K1191" s="167">
        <v>1348000000</v>
      </c>
      <c r="L1191" s="171"/>
      <c r="M1191" s="168">
        <f t="shared" si="117"/>
        <v>1348000000</v>
      </c>
      <c r="N1191" s="171"/>
      <c r="O1191" s="167">
        <v>1348000000</v>
      </c>
      <c r="P1191" s="167">
        <f t="shared" si="118"/>
        <v>1348000000</v>
      </c>
      <c r="Q1191" s="167"/>
      <c r="S1191" s="201">
        <f t="shared" si="119"/>
        <v>1348</v>
      </c>
      <c r="T1191" s="201">
        <f t="shared" si="114"/>
        <v>1348</v>
      </c>
      <c r="U1191" s="201">
        <f t="shared" si="114"/>
        <v>0</v>
      </c>
      <c r="V1191" s="201">
        <f t="shared" si="114"/>
        <v>1348</v>
      </c>
      <c r="W1191" s="201">
        <f t="shared" si="114"/>
        <v>1348</v>
      </c>
      <c r="X1191" s="201">
        <f t="shared" si="114"/>
        <v>0</v>
      </c>
    </row>
    <row r="1192" spans="1:24" s="169" customFormat="1" ht="13.8">
      <c r="A1192" s="195"/>
      <c r="B1192" s="188"/>
      <c r="C1192" s="183" t="str">
        <f t="shared" si="115"/>
        <v/>
      </c>
      <c r="D1192" s="182" t="str">
        <f t="shared" si="116"/>
        <v/>
      </c>
      <c r="E1192" s="192" t="s">
        <v>679</v>
      </c>
      <c r="F1192" s="192" t="s">
        <v>705</v>
      </c>
      <c r="G1192" s="192" t="s">
        <v>766</v>
      </c>
      <c r="H1192" s="210" t="s">
        <v>1440</v>
      </c>
      <c r="I1192" s="167">
        <v>37000000</v>
      </c>
      <c r="J1192" s="166"/>
      <c r="K1192" s="166"/>
      <c r="L1192" s="168">
        <v>37000000</v>
      </c>
      <c r="M1192" s="168">
        <f t="shared" si="117"/>
        <v>37000000</v>
      </c>
      <c r="N1192" s="168"/>
      <c r="O1192" s="167">
        <v>37000000</v>
      </c>
      <c r="P1192" s="167">
        <f t="shared" si="118"/>
        <v>37000000</v>
      </c>
      <c r="Q1192" s="167"/>
      <c r="S1192" s="201">
        <f t="shared" si="119"/>
        <v>37</v>
      </c>
      <c r="T1192" s="201">
        <f t="shared" si="114"/>
        <v>37</v>
      </c>
      <c r="U1192" s="201">
        <f t="shared" si="114"/>
        <v>0</v>
      </c>
      <c r="V1192" s="201">
        <f t="shared" si="114"/>
        <v>37</v>
      </c>
      <c r="W1192" s="201">
        <f t="shared" si="114"/>
        <v>37</v>
      </c>
      <c r="X1192" s="201">
        <f t="shared" si="114"/>
        <v>0</v>
      </c>
    </row>
    <row r="1193" spans="1:24" s="169" customFormat="1" ht="13.8">
      <c r="A1193" s="192"/>
      <c r="B1193" s="170" t="s">
        <v>686</v>
      </c>
      <c r="C1193" s="183" t="str">
        <f t="shared" si="115"/>
        <v/>
      </c>
      <c r="D1193" s="182" t="str">
        <f t="shared" si="116"/>
        <v/>
      </c>
      <c r="E1193" s="206"/>
      <c r="F1193" s="207"/>
      <c r="G1193" s="207"/>
      <c r="H1193" s="205"/>
      <c r="I1193" s="167">
        <v>15332000000</v>
      </c>
      <c r="J1193" s="167">
        <v>882000000</v>
      </c>
      <c r="K1193" s="167">
        <v>14180000000</v>
      </c>
      <c r="L1193" s="168">
        <v>270000000</v>
      </c>
      <c r="M1193" s="168">
        <f t="shared" si="117"/>
        <v>15332000000</v>
      </c>
      <c r="N1193" s="168"/>
      <c r="O1193" s="167">
        <v>15105824044</v>
      </c>
      <c r="P1193" s="167">
        <f t="shared" si="118"/>
        <v>15105824044</v>
      </c>
      <c r="Q1193" s="167"/>
      <c r="S1193" s="201">
        <f t="shared" si="119"/>
        <v>15332</v>
      </c>
      <c r="T1193" s="201">
        <f t="shared" si="114"/>
        <v>15332</v>
      </c>
      <c r="U1193" s="201">
        <f t="shared" si="114"/>
        <v>0</v>
      </c>
      <c r="V1193" s="201">
        <f t="shared" si="114"/>
        <v>15105.824044000001</v>
      </c>
      <c r="W1193" s="201">
        <f t="shared" si="114"/>
        <v>15105.824044000001</v>
      </c>
      <c r="X1193" s="201">
        <f t="shared" si="114"/>
        <v>0</v>
      </c>
    </row>
    <row r="1194" spans="1:24" s="169" customFormat="1" ht="13.8">
      <c r="A1194" s="193"/>
      <c r="B1194" s="187"/>
      <c r="C1194" s="183" t="str">
        <f t="shared" si="115"/>
        <v/>
      </c>
      <c r="D1194" s="182" t="str">
        <f t="shared" si="116"/>
        <v/>
      </c>
      <c r="E1194" s="192" t="s">
        <v>681</v>
      </c>
      <c r="F1194" s="192" t="s">
        <v>705</v>
      </c>
      <c r="G1194" s="192" t="s">
        <v>981</v>
      </c>
      <c r="H1194" s="210" t="s">
        <v>1440</v>
      </c>
      <c r="I1194" s="167">
        <v>15062000000</v>
      </c>
      <c r="J1194" s="167">
        <v>882000000</v>
      </c>
      <c r="K1194" s="167">
        <v>14180000000</v>
      </c>
      <c r="L1194" s="171"/>
      <c r="M1194" s="168">
        <f t="shared" si="117"/>
        <v>15062000000</v>
      </c>
      <c r="N1194" s="171"/>
      <c r="O1194" s="167">
        <v>14835824044</v>
      </c>
      <c r="P1194" s="167">
        <f t="shared" si="118"/>
        <v>14835824044</v>
      </c>
      <c r="Q1194" s="167"/>
      <c r="S1194" s="201">
        <f t="shared" si="119"/>
        <v>15062</v>
      </c>
      <c r="T1194" s="201">
        <f t="shared" si="114"/>
        <v>15062</v>
      </c>
      <c r="U1194" s="201">
        <f t="shared" si="114"/>
        <v>0</v>
      </c>
      <c r="V1194" s="201">
        <f t="shared" si="114"/>
        <v>14835.824044000001</v>
      </c>
      <c r="W1194" s="201">
        <f t="shared" si="114"/>
        <v>14835.824044000001</v>
      </c>
      <c r="X1194" s="201">
        <f t="shared" si="114"/>
        <v>0</v>
      </c>
    </row>
    <row r="1195" spans="1:24" s="169" customFormat="1" ht="13.8">
      <c r="A1195" s="195"/>
      <c r="B1195" s="188"/>
      <c r="C1195" s="183" t="str">
        <f t="shared" si="115"/>
        <v/>
      </c>
      <c r="D1195" s="182" t="str">
        <f t="shared" si="116"/>
        <v/>
      </c>
      <c r="E1195" s="192" t="s">
        <v>679</v>
      </c>
      <c r="F1195" s="192" t="s">
        <v>705</v>
      </c>
      <c r="G1195" s="192" t="s">
        <v>981</v>
      </c>
      <c r="H1195" s="210" t="s">
        <v>1440</v>
      </c>
      <c r="I1195" s="167">
        <v>270000000</v>
      </c>
      <c r="J1195" s="166"/>
      <c r="K1195" s="166"/>
      <c r="L1195" s="168">
        <v>270000000</v>
      </c>
      <c r="M1195" s="168">
        <f t="shared" si="117"/>
        <v>270000000</v>
      </c>
      <c r="N1195" s="168"/>
      <c r="O1195" s="167">
        <v>270000000</v>
      </c>
      <c r="P1195" s="167">
        <f t="shared" si="118"/>
        <v>270000000</v>
      </c>
      <c r="Q1195" s="167"/>
      <c r="S1195" s="201">
        <f t="shared" si="119"/>
        <v>270</v>
      </c>
      <c r="T1195" s="201">
        <f t="shared" si="114"/>
        <v>270</v>
      </c>
      <c r="U1195" s="201">
        <f t="shared" si="114"/>
        <v>0</v>
      </c>
      <c r="V1195" s="201">
        <f t="shared" si="114"/>
        <v>270</v>
      </c>
      <c r="W1195" s="201">
        <f t="shared" si="114"/>
        <v>270</v>
      </c>
      <c r="X1195" s="201">
        <f t="shared" si="114"/>
        <v>0</v>
      </c>
    </row>
    <row r="1196" spans="1:24" s="169" customFormat="1" ht="13.8">
      <c r="A1196" s="192" t="s">
        <v>1195</v>
      </c>
      <c r="B1196" s="170" t="s">
        <v>701</v>
      </c>
      <c r="C1196" s="183" t="str">
        <f t="shared" si="115"/>
        <v/>
      </c>
      <c r="D1196" s="182" t="str">
        <f t="shared" si="116"/>
        <v/>
      </c>
      <c r="E1196" s="206"/>
      <c r="F1196" s="207"/>
      <c r="G1196" s="207"/>
      <c r="H1196" s="205"/>
      <c r="I1196" s="167">
        <v>4360000000</v>
      </c>
      <c r="J1196" s="166"/>
      <c r="K1196" s="166"/>
      <c r="L1196" s="168">
        <v>4360000000</v>
      </c>
      <c r="M1196" s="168">
        <f t="shared" si="117"/>
        <v>4360000000</v>
      </c>
      <c r="N1196" s="168"/>
      <c r="O1196" s="167">
        <v>3144169274</v>
      </c>
      <c r="P1196" s="167">
        <f t="shared" si="118"/>
        <v>3144169274</v>
      </c>
      <c r="Q1196" s="167"/>
      <c r="S1196" s="201">
        <f t="shared" si="119"/>
        <v>4360</v>
      </c>
      <c r="T1196" s="201">
        <f t="shared" si="114"/>
        <v>4360</v>
      </c>
      <c r="U1196" s="201">
        <f t="shared" si="114"/>
        <v>0</v>
      </c>
      <c r="V1196" s="201">
        <f t="shared" si="114"/>
        <v>3144.1692739999999</v>
      </c>
      <c r="W1196" s="201">
        <f t="shared" si="114"/>
        <v>3144.1692739999999</v>
      </c>
      <c r="X1196" s="201">
        <f t="shared" si="114"/>
        <v>0</v>
      </c>
    </row>
    <row r="1197" spans="1:24" s="169" customFormat="1" ht="13.8">
      <c r="A1197" s="192"/>
      <c r="B1197" s="164"/>
      <c r="C1197" s="183" t="str">
        <f t="shared" si="115"/>
        <v/>
      </c>
      <c r="D1197" s="182" t="str">
        <f t="shared" si="116"/>
        <v/>
      </c>
      <c r="E1197" s="192" t="s">
        <v>667</v>
      </c>
      <c r="F1197" s="192" t="s">
        <v>705</v>
      </c>
      <c r="G1197" s="192" t="s">
        <v>981</v>
      </c>
      <c r="H1197" s="210" t="s">
        <v>1455</v>
      </c>
      <c r="I1197" s="167">
        <v>4360000000</v>
      </c>
      <c r="J1197" s="166"/>
      <c r="K1197" s="166"/>
      <c r="L1197" s="168">
        <v>4360000000</v>
      </c>
      <c r="M1197" s="168">
        <f t="shared" si="117"/>
        <v>4360000000</v>
      </c>
      <c r="N1197" s="168"/>
      <c r="O1197" s="167">
        <v>3144169274</v>
      </c>
      <c r="P1197" s="167">
        <f t="shared" si="118"/>
        <v>3144169274</v>
      </c>
      <c r="Q1197" s="167"/>
      <c r="S1197" s="201">
        <f t="shared" si="119"/>
        <v>4360</v>
      </c>
      <c r="T1197" s="201">
        <f t="shared" si="114"/>
        <v>4360</v>
      </c>
      <c r="U1197" s="201">
        <f t="shared" si="114"/>
        <v>0</v>
      </c>
      <c r="V1197" s="201">
        <f t="shared" si="114"/>
        <v>3144.1692739999999</v>
      </c>
      <c r="W1197" s="201">
        <f t="shared" si="114"/>
        <v>3144.1692739999999</v>
      </c>
      <c r="X1197" s="201">
        <f t="shared" si="114"/>
        <v>0</v>
      </c>
    </row>
    <row r="1198" spans="1:24" s="169" customFormat="1" ht="39.6">
      <c r="A1198" s="192" t="s">
        <v>1196</v>
      </c>
      <c r="B1198" s="165" t="s">
        <v>1197</v>
      </c>
      <c r="C1198" s="183" t="str">
        <f t="shared" si="115"/>
        <v>1082133</v>
      </c>
      <c r="D1198" s="182" t="str">
        <f t="shared" si="116"/>
        <v>-Trường Trung học PhS thông Chu Văn An huyện Kon Rẫy tỉnh Kon Tum</v>
      </c>
      <c r="E1198" s="206"/>
      <c r="F1198" s="207"/>
      <c r="G1198" s="207"/>
      <c r="H1198" s="205"/>
      <c r="I1198" s="167">
        <v>4279674000</v>
      </c>
      <c r="J1198" s="166"/>
      <c r="K1198" s="167">
        <v>4213856000</v>
      </c>
      <c r="L1198" s="168">
        <v>65818000</v>
      </c>
      <c r="M1198" s="168">
        <f t="shared" si="117"/>
        <v>4279674000</v>
      </c>
      <c r="N1198" s="168"/>
      <c r="O1198" s="167">
        <v>4234641000</v>
      </c>
      <c r="P1198" s="167">
        <f t="shared" si="118"/>
        <v>4234641000</v>
      </c>
      <c r="Q1198" s="167"/>
      <c r="S1198" s="201">
        <f t="shared" si="119"/>
        <v>4279.674</v>
      </c>
      <c r="T1198" s="201">
        <f t="shared" si="114"/>
        <v>4279.674</v>
      </c>
      <c r="U1198" s="201">
        <f t="shared" si="114"/>
        <v>0</v>
      </c>
      <c r="V1198" s="201">
        <f t="shared" si="114"/>
        <v>4234.6409999999996</v>
      </c>
      <c r="W1198" s="201">
        <f t="shared" si="114"/>
        <v>4234.6409999999996</v>
      </c>
      <c r="X1198" s="201">
        <f t="shared" si="114"/>
        <v>0</v>
      </c>
    </row>
    <row r="1199" spans="1:24" s="169" customFormat="1" ht="13.8">
      <c r="A1199" s="192" t="s">
        <v>1198</v>
      </c>
      <c r="B1199" s="170" t="s">
        <v>689</v>
      </c>
      <c r="C1199" s="183" t="str">
        <f t="shared" si="115"/>
        <v/>
      </c>
      <c r="D1199" s="182" t="str">
        <f t="shared" si="116"/>
        <v/>
      </c>
      <c r="E1199" s="206"/>
      <c r="F1199" s="207"/>
      <c r="G1199" s="207"/>
      <c r="H1199" s="205"/>
      <c r="I1199" s="167">
        <v>4279674000</v>
      </c>
      <c r="J1199" s="166"/>
      <c r="K1199" s="167">
        <v>4213856000</v>
      </c>
      <c r="L1199" s="168">
        <v>65818000</v>
      </c>
      <c r="M1199" s="168">
        <f t="shared" si="117"/>
        <v>4279674000</v>
      </c>
      <c r="N1199" s="168"/>
      <c r="O1199" s="167">
        <v>4234641000</v>
      </c>
      <c r="P1199" s="167">
        <f t="shared" si="118"/>
        <v>4234641000</v>
      </c>
      <c r="Q1199" s="167"/>
      <c r="S1199" s="201">
        <f t="shared" si="119"/>
        <v>4279.674</v>
      </c>
      <c r="T1199" s="201">
        <f t="shared" si="114"/>
        <v>4279.674</v>
      </c>
      <c r="U1199" s="201">
        <f t="shared" si="114"/>
        <v>0</v>
      </c>
      <c r="V1199" s="201">
        <f t="shared" si="114"/>
        <v>4234.6409999999996</v>
      </c>
      <c r="W1199" s="201">
        <f t="shared" si="114"/>
        <v>4234.6409999999996</v>
      </c>
      <c r="X1199" s="201">
        <f t="shared" si="114"/>
        <v>0</v>
      </c>
    </row>
    <row r="1200" spans="1:24" s="169" customFormat="1" ht="13.8">
      <c r="A1200" s="192"/>
      <c r="B1200" s="170" t="s">
        <v>690</v>
      </c>
      <c r="C1200" s="183" t="str">
        <f t="shared" si="115"/>
        <v/>
      </c>
      <c r="D1200" s="182" t="str">
        <f t="shared" si="116"/>
        <v/>
      </c>
      <c r="E1200" s="206"/>
      <c r="F1200" s="207"/>
      <c r="G1200" s="207"/>
      <c r="H1200" s="205"/>
      <c r="I1200" s="167">
        <v>3714734000</v>
      </c>
      <c r="J1200" s="166"/>
      <c r="K1200" s="167">
        <v>3697316000</v>
      </c>
      <c r="L1200" s="168">
        <v>17418000</v>
      </c>
      <c r="M1200" s="168">
        <f t="shared" si="117"/>
        <v>3714734000</v>
      </c>
      <c r="N1200" s="168"/>
      <c r="O1200" s="167">
        <v>3714734000</v>
      </c>
      <c r="P1200" s="167">
        <f t="shared" si="118"/>
        <v>3714734000</v>
      </c>
      <c r="Q1200" s="167"/>
      <c r="S1200" s="201">
        <f t="shared" si="119"/>
        <v>3714.7339999999999</v>
      </c>
      <c r="T1200" s="201">
        <f t="shared" si="114"/>
        <v>3714.7339999999999</v>
      </c>
      <c r="U1200" s="201">
        <f t="shared" si="114"/>
        <v>0</v>
      </c>
      <c r="V1200" s="201">
        <f t="shared" si="114"/>
        <v>3714.7339999999999</v>
      </c>
      <c r="W1200" s="201">
        <f t="shared" si="114"/>
        <v>3714.7339999999999</v>
      </c>
      <c r="X1200" s="201">
        <f t="shared" si="114"/>
        <v>0</v>
      </c>
    </row>
    <row r="1201" spans="1:24" s="169" customFormat="1" ht="13.8">
      <c r="A1201" s="193"/>
      <c r="B1201" s="187"/>
      <c r="C1201" s="183" t="str">
        <f t="shared" si="115"/>
        <v/>
      </c>
      <c r="D1201" s="182" t="str">
        <f t="shared" si="116"/>
        <v/>
      </c>
      <c r="E1201" s="192" t="s">
        <v>666</v>
      </c>
      <c r="F1201" s="192" t="s">
        <v>677</v>
      </c>
      <c r="G1201" s="192" t="s">
        <v>678</v>
      </c>
      <c r="H1201" s="210" t="s">
        <v>1440</v>
      </c>
      <c r="I1201" s="167">
        <v>3697316000</v>
      </c>
      <c r="J1201" s="166"/>
      <c r="K1201" s="167">
        <v>3697316000</v>
      </c>
      <c r="L1201" s="171"/>
      <c r="M1201" s="168">
        <f t="shared" si="117"/>
        <v>3697316000</v>
      </c>
      <c r="N1201" s="171"/>
      <c r="O1201" s="167">
        <v>3697316000</v>
      </c>
      <c r="P1201" s="167">
        <f t="shared" si="118"/>
        <v>3697316000</v>
      </c>
      <c r="Q1201" s="167"/>
      <c r="S1201" s="201">
        <f t="shared" si="119"/>
        <v>3697.3159999999998</v>
      </c>
      <c r="T1201" s="201">
        <f t="shared" si="114"/>
        <v>3697.3159999999998</v>
      </c>
      <c r="U1201" s="201">
        <f t="shared" si="114"/>
        <v>0</v>
      </c>
      <c r="V1201" s="201">
        <f t="shared" si="114"/>
        <v>3697.3159999999998</v>
      </c>
      <c r="W1201" s="201">
        <f t="shared" si="114"/>
        <v>3697.3159999999998</v>
      </c>
      <c r="X1201" s="201">
        <f t="shared" si="114"/>
        <v>0</v>
      </c>
    </row>
    <row r="1202" spans="1:24" s="169" customFormat="1" ht="13.8">
      <c r="A1202" s="195"/>
      <c r="B1202" s="188"/>
      <c r="C1202" s="183" t="str">
        <f t="shared" si="115"/>
        <v/>
      </c>
      <c r="D1202" s="182" t="str">
        <f t="shared" si="116"/>
        <v/>
      </c>
      <c r="E1202" s="192" t="s">
        <v>669</v>
      </c>
      <c r="F1202" s="192" t="s">
        <v>677</v>
      </c>
      <c r="G1202" s="192" t="s">
        <v>678</v>
      </c>
      <c r="H1202" s="210" t="s">
        <v>1440</v>
      </c>
      <c r="I1202" s="167">
        <v>17418000</v>
      </c>
      <c r="J1202" s="166"/>
      <c r="K1202" s="166"/>
      <c r="L1202" s="168">
        <v>17418000</v>
      </c>
      <c r="M1202" s="168">
        <f t="shared" si="117"/>
        <v>17418000</v>
      </c>
      <c r="N1202" s="168"/>
      <c r="O1202" s="167">
        <v>17418000</v>
      </c>
      <c r="P1202" s="167">
        <f t="shared" si="118"/>
        <v>17418000</v>
      </c>
      <c r="Q1202" s="167"/>
      <c r="S1202" s="201">
        <f t="shared" si="119"/>
        <v>17.417999999999999</v>
      </c>
      <c r="T1202" s="201">
        <f t="shared" ref="T1202:X1252" si="120">M1202/1000000</f>
        <v>17.417999999999999</v>
      </c>
      <c r="U1202" s="201">
        <f t="shared" si="120"/>
        <v>0</v>
      </c>
      <c r="V1202" s="201">
        <f t="shared" si="120"/>
        <v>17.417999999999999</v>
      </c>
      <c r="W1202" s="201">
        <f t="shared" si="120"/>
        <v>17.417999999999999</v>
      </c>
      <c r="X1202" s="201">
        <f t="shared" si="120"/>
        <v>0</v>
      </c>
    </row>
    <row r="1203" spans="1:24" s="169" customFormat="1" ht="13.8">
      <c r="A1203" s="192"/>
      <c r="B1203" s="170" t="s">
        <v>686</v>
      </c>
      <c r="C1203" s="183" t="str">
        <f t="shared" si="115"/>
        <v/>
      </c>
      <c r="D1203" s="182" t="str">
        <f t="shared" si="116"/>
        <v/>
      </c>
      <c r="E1203" s="206"/>
      <c r="F1203" s="207"/>
      <c r="G1203" s="207"/>
      <c r="H1203" s="205"/>
      <c r="I1203" s="167">
        <v>564940000</v>
      </c>
      <c r="J1203" s="166"/>
      <c r="K1203" s="167">
        <v>516540000</v>
      </c>
      <c r="L1203" s="168">
        <v>48400000</v>
      </c>
      <c r="M1203" s="168">
        <f t="shared" si="117"/>
        <v>564940000</v>
      </c>
      <c r="N1203" s="168"/>
      <c r="O1203" s="167">
        <v>519907000</v>
      </c>
      <c r="P1203" s="167">
        <f t="shared" si="118"/>
        <v>519907000</v>
      </c>
      <c r="Q1203" s="167"/>
      <c r="S1203" s="201">
        <f t="shared" si="119"/>
        <v>564.94000000000005</v>
      </c>
      <c r="T1203" s="201">
        <f t="shared" si="120"/>
        <v>564.94000000000005</v>
      </c>
      <c r="U1203" s="201">
        <f t="shared" si="120"/>
        <v>0</v>
      </c>
      <c r="V1203" s="201">
        <f t="shared" si="120"/>
        <v>519.90700000000004</v>
      </c>
      <c r="W1203" s="201">
        <f t="shared" si="120"/>
        <v>519.90700000000004</v>
      </c>
      <c r="X1203" s="201">
        <f t="shared" si="120"/>
        <v>0</v>
      </c>
    </row>
    <row r="1204" spans="1:24" s="169" customFormat="1" ht="13.8">
      <c r="A1204" s="193"/>
      <c r="B1204" s="187"/>
      <c r="C1204" s="183" t="str">
        <f t="shared" si="115"/>
        <v/>
      </c>
      <c r="D1204" s="182" t="str">
        <f t="shared" si="116"/>
        <v/>
      </c>
      <c r="E1204" s="192" t="s">
        <v>681</v>
      </c>
      <c r="F1204" s="192" t="s">
        <v>677</v>
      </c>
      <c r="G1204" s="192" t="s">
        <v>678</v>
      </c>
      <c r="H1204" s="210" t="s">
        <v>1440</v>
      </c>
      <c r="I1204" s="167">
        <v>150000000</v>
      </c>
      <c r="J1204" s="166"/>
      <c r="K1204" s="167">
        <v>150000000</v>
      </c>
      <c r="L1204" s="171"/>
      <c r="M1204" s="168">
        <f t="shared" si="117"/>
        <v>150000000</v>
      </c>
      <c r="N1204" s="171"/>
      <c r="O1204" s="167">
        <v>134675000</v>
      </c>
      <c r="P1204" s="167">
        <f t="shared" si="118"/>
        <v>134675000</v>
      </c>
      <c r="Q1204" s="167"/>
      <c r="S1204" s="201">
        <f t="shared" si="119"/>
        <v>150</v>
      </c>
      <c r="T1204" s="201">
        <f t="shared" si="120"/>
        <v>150</v>
      </c>
      <c r="U1204" s="201">
        <f t="shared" si="120"/>
        <v>0</v>
      </c>
      <c r="V1204" s="201">
        <f t="shared" si="120"/>
        <v>134.67500000000001</v>
      </c>
      <c r="W1204" s="201">
        <f t="shared" si="120"/>
        <v>134.67500000000001</v>
      </c>
      <c r="X1204" s="201">
        <f t="shared" si="120"/>
        <v>0</v>
      </c>
    </row>
    <row r="1205" spans="1:24" s="169" customFormat="1" ht="13.8">
      <c r="A1205" s="195"/>
      <c r="B1205" s="188"/>
      <c r="C1205" s="183" t="str">
        <f t="shared" si="115"/>
        <v/>
      </c>
      <c r="D1205" s="182" t="str">
        <f t="shared" si="116"/>
        <v/>
      </c>
      <c r="E1205" s="192" t="s">
        <v>669</v>
      </c>
      <c r="F1205" s="192" t="s">
        <v>677</v>
      </c>
      <c r="G1205" s="192" t="s">
        <v>678</v>
      </c>
      <c r="H1205" s="210" t="s">
        <v>1440</v>
      </c>
      <c r="I1205" s="167">
        <v>414940000</v>
      </c>
      <c r="J1205" s="166"/>
      <c r="K1205" s="167">
        <v>366540000</v>
      </c>
      <c r="L1205" s="168">
        <v>48400000</v>
      </c>
      <c r="M1205" s="168">
        <f t="shared" si="117"/>
        <v>414940000</v>
      </c>
      <c r="N1205" s="168"/>
      <c r="O1205" s="167">
        <v>385232000</v>
      </c>
      <c r="P1205" s="167">
        <f t="shared" si="118"/>
        <v>385232000</v>
      </c>
      <c r="Q1205" s="167"/>
      <c r="S1205" s="201">
        <f t="shared" si="119"/>
        <v>414.94</v>
      </c>
      <c r="T1205" s="201">
        <f t="shared" si="120"/>
        <v>414.94</v>
      </c>
      <c r="U1205" s="201">
        <f t="shared" si="120"/>
        <v>0</v>
      </c>
      <c r="V1205" s="201">
        <f t="shared" si="120"/>
        <v>385.23200000000003</v>
      </c>
      <c r="W1205" s="201">
        <f t="shared" si="120"/>
        <v>385.23200000000003</v>
      </c>
      <c r="X1205" s="201">
        <f t="shared" si="120"/>
        <v>0</v>
      </c>
    </row>
    <row r="1206" spans="1:24" s="169" customFormat="1" ht="39.6">
      <c r="A1206" s="192" t="s">
        <v>1199</v>
      </c>
      <c r="B1206" s="165" t="s">
        <v>1200</v>
      </c>
      <c r="C1206" s="183" t="str">
        <f t="shared" si="115"/>
        <v>1082134</v>
      </c>
      <c r="D1206" s="182" t="str">
        <f t="shared" si="116"/>
        <v>-Trường Trung học PhS thông Lương Thẽ Vinh - huyện Đăk Glei tỉnh Kontum</v>
      </c>
      <c r="E1206" s="206"/>
      <c r="F1206" s="207"/>
      <c r="G1206" s="207"/>
      <c r="H1206" s="205"/>
      <c r="I1206" s="167">
        <v>5627652000</v>
      </c>
      <c r="J1206" s="166"/>
      <c r="K1206" s="167">
        <v>5495688000</v>
      </c>
      <c r="L1206" s="168">
        <v>131964000</v>
      </c>
      <c r="M1206" s="168">
        <f t="shared" si="117"/>
        <v>5627652000</v>
      </c>
      <c r="N1206" s="168"/>
      <c r="O1206" s="167">
        <v>5581075860</v>
      </c>
      <c r="P1206" s="167">
        <f t="shared" si="118"/>
        <v>5581075860</v>
      </c>
      <c r="Q1206" s="167"/>
      <c r="S1206" s="201">
        <f t="shared" si="119"/>
        <v>5627.652</v>
      </c>
      <c r="T1206" s="201">
        <f t="shared" si="120"/>
        <v>5627.652</v>
      </c>
      <c r="U1206" s="201">
        <f t="shared" si="120"/>
        <v>0</v>
      </c>
      <c r="V1206" s="201">
        <f t="shared" si="120"/>
        <v>5581.0758599999999</v>
      </c>
      <c r="W1206" s="201">
        <f t="shared" si="120"/>
        <v>5581.0758599999999</v>
      </c>
      <c r="X1206" s="201">
        <f t="shared" si="120"/>
        <v>0</v>
      </c>
    </row>
    <row r="1207" spans="1:24" s="169" customFormat="1" ht="13.8">
      <c r="A1207" s="192" t="s">
        <v>1201</v>
      </c>
      <c r="B1207" s="170" t="s">
        <v>689</v>
      </c>
      <c r="C1207" s="183" t="str">
        <f t="shared" si="115"/>
        <v/>
      </c>
      <c r="D1207" s="182" t="str">
        <f t="shared" si="116"/>
        <v/>
      </c>
      <c r="E1207" s="206"/>
      <c r="F1207" s="207"/>
      <c r="G1207" s="207"/>
      <c r="H1207" s="205"/>
      <c r="I1207" s="167">
        <v>5627652000</v>
      </c>
      <c r="J1207" s="166"/>
      <c r="K1207" s="167">
        <v>5495688000</v>
      </c>
      <c r="L1207" s="168">
        <v>131964000</v>
      </c>
      <c r="M1207" s="168">
        <f t="shared" si="117"/>
        <v>5627652000</v>
      </c>
      <c r="N1207" s="168"/>
      <c r="O1207" s="167">
        <v>5581075860</v>
      </c>
      <c r="P1207" s="167">
        <f t="shared" si="118"/>
        <v>5581075860</v>
      </c>
      <c r="Q1207" s="167"/>
      <c r="S1207" s="201">
        <f t="shared" si="119"/>
        <v>5627.652</v>
      </c>
      <c r="T1207" s="201">
        <f t="shared" si="120"/>
        <v>5627.652</v>
      </c>
      <c r="U1207" s="201">
        <f t="shared" si="120"/>
        <v>0</v>
      </c>
      <c r="V1207" s="201">
        <f t="shared" si="120"/>
        <v>5581.0758599999999</v>
      </c>
      <c r="W1207" s="201">
        <f t="shared" si="120"/>
        <v>5581.0758599999999</v>
      </c>
      <c r="X1207" s="201">
        <f t="shared" si="120"/>
        <v>0</v>
      </c>
    </row>
    <row r="1208" spans="1:24" s="169" customFormat="1" ht="13.8">
      <c r="A1208" s="192"/>
      <c r="B1208" s="170" t="s">
        <v>690</v>
      </c>
      <c r="C1208" s="183" t="str">
        <f t="shared" si="115"/>
        <v/>
      </c>
      <c r="D1208" s="182" t="str">
        <f t="shared" si="116"/>
        <v/>
      </c>
      <c r="E1208" s="206"/>
      <c r="F1208" s="207"/>
      <c r="G1208" s="207"/>
      <c r="H1208" s="205"/>
      <c r="I1208" s="167">
        <v>4528102000</v>
      </c>
      <c r="J1208" s="166"/>
      <c r="K1208" s="167">
        <v>4493038000</v>
      </c>
      <c r="L1208" s="168">
        <v>35064000</v>
      </c>
      <c r="M1208" s="168">
        <f t="shared" si="117"/>
        <v>4528102000</v>
      </c>
      <c r="N1208" s="168"/>
      <c r="O1208" s="167">
        <v>4521401560</v>
      </c>
      <c r="P1208" s="167">
        <f t="shared" si="118"/>
        <v>4521401560</v>
      </c>
      <c r="Q1208" s="167"/>
      <c r="S1208" s="201">
        <f t="shared" si="119"/>
        <v>4528.1019999999999</v>
      </c>
      <c r="T1208" s="201">
        <f t="shared" si="120"/>
        <v>4528.1019999999999</v>
      </c>
      <c r="U1208" s="201">
        <f t="shared" si="120"/>
        <v>0</v>
      </c>
      <c r="V1208" s="201">
        <f t="shared" si="120"/>
        <v>4521.4015600000002</v>
      </c>
      <c r="W1208" s="201">
        <f t="shared" si="120"/>
        <v>4521.4015600000002</v>
      </c>
      <c r="X1208" s="201">
        <f t="shared" si="120"/>
        <v>0</v>
      </c>
    </row>
    <row r="1209" spans="1:24" s="169" customFormat="1" ht="13.8">
      <c r="A1209" s="193"/>
      <c r="B1209" s="187"/>
      <c r="C1209" s="183" t="str">
        <f t="shared" si="115"/>
        <v/>
      </c>
      <c r="D1209" s="182" t="str">
        <f t="shared" si="116"/>
        <v/>
      </c>
      <c r="E1209" s="192" t="s">
        <v>666</v>
      </c>
      <c r="F1209" s="192" t="s">
        <v>677</v>
      </c>
      <c r="G1209" s="192" t="s">
        <v>678</v>
      </c>
      <c r="H1209" s="210" t="s">
        <v>1440</v>
      </c>
      <c r="I1209" s="167">
        <v>4388038000</v>
      </c>
      <c r="J1209" s="166"/>
      <c r="K1209" s="167">
        <v>4388038000</v>
      </c>
      <c r="L1209" s="171"/>
      <c r="M1209" s="168">
        <f t="shared" si="117"/>
        <v>4388038000</v>
      </c>
      <c r="N1209" s="171"/>
      <c r="O1209" s="167">
        <v>4388038000</v>
      </c>
      <c r="P1209" s="167">
        <f t="shared" si="118"/>
        <v>4388038000</v>
      </c>
      <c r="Q1209" s="167"/>
      <c r="S1209" s="201">
        <f t="shared" si="119"/>
        <v>4388.0379999999996</v>
      </c>
      <c r="T1209" s="201">
        <f t="shared" si="120"/>
        <v>4388.0379999999996</v>
      </c>
      <c r="U1209" s="201">
        <f t="shared" si="120"/>
        <v>0</v>
      </c>
      <c r="V1209" s="201">
        <f t="shared" si="120"/>
        <v>4388.0379999999996</v>
      </c>
      <c r="W1209" s="201">
        <f t="shared" si="120"/>
        <v>4388.0379999999996</v>
      </c>
      <c r="X1209" s="201">
        <f t="shared" si="120"/>
        <v>0</v>
      </c>
    </row>
    <row r="1210" spans="1:24" s="169" customFormat="1" ht="13.8">
      <c r="A1210" s="195"/>
      <c r="B1210" s="188"/>
      <c r="C1210" s="183" t="str">
        <f t="shared" si="115"/>
        <v/>
      </c>
      <c r="D1210" s="182" t="str">
        <f t="shared" si="116"/>
        <v/>
      </c>
      <c r="E1210" s="192" t="s">
        <v>679</v>
      </c>
      <c r="F1210" s="192" t="s">
        <v>677</v>
      </c>
      <c r="G1210" s="192" t="s">
        <v>678</v>
      </c>
      <c r="H1210" s="210" t="s">
        <v>1440</v>
      </c>
      <c r="I1210" s="167">
        <v>105000000</v>
      </c>
      <c r="J1210" s="166"/>
      <c r="K1210" s="167">
        <v>105000000</v>
      </c>
      <c r="L1210" s="171"/>
      <c r="M1210" s="168">
        <f t="shared" si="117"/>
        <v>105000000</v>
      </c>
      <c r="N1210" s="171"/>
      <c r="O1210" s="167">
        <v>105000000</v>
      </c>
      <c r="P1210" s="167">
        <f t="shared" si="118"/>
        <v>105000000</v>
      </c>
      <c r="Q1210" s="167"/>
      <c r="S1210" s="201">
        <f t="shared" si="119"/>
        <v>105</v>
      </c>
      <c r="T1210" s="201">
        <f t="shared" si="120"/>
        <v>105</v>
      </c>
      <c r="U1210" s="201">
        <f t="shared" si="120"/>
        <v>0</v>
      </c>
      <c r="V1210" s="201">
        <f t="shared" si="120"/>
        <v>105</v>
      </c>
      <c r="W1210" s="201">
        <f t="shared" si="120"/>
        <v>105</v>
      </c>
      <c r="X1210" s="201">
        <f t="shared" si="120"/>
        <v>0</v>
      </c>
    </row>
    <row r="1211" spans="1:24" s="169" customFormat="1" ht="13.8">
      <c r="A1211" s="192"/>
      <c r="B1211" s="173"/>
      <c r="C1211" s="183" t="str">
        <f t="shared" si="115"/>
        <v/>
      </c>
      <c r="D1211" s="182" t="str">
        <f t="shared" si="116"/>
        <v/>
      </c>
      <c r="E1211" s="192"/>
      <c r="F1211" s="192"/>
      <c r="G1211" s="192"/>
      <c r="H1211" s="210"/>
      <c r="I1211" s="174"/>
      <c r="J1211" s="174"/>
      <c r="K1211" s="174"/>
      <c r="L1211" s="175"/>
      <c r="M1211" s="168">
        <f t="shared" si="117"/>
        <v>0</v>
      </c>
      <c r="N1211" s="175"/>
      <c r="O1211" s="174"/>
      <c r="P1211" s="167">
        <f t="shared" si="118"/>
        <v>0</v>
      </c>
      <c r="Q1211" s="174"/>
      <c r="S1211" s="201">
        <f t="shared" si="119"/>
        <v>0</v>
      </c>
      <c r="T1211" s="201">
        <f t="shared" si="120"/>
        <v>0</v>
      </c>
      <c r="U1211" s="201">
        <f t="shared" si="120"/>
        <v>0</v>
      </c>
      <c r="V1211" s="201">
        <f t="shared" si="120"/>
        <v>0</v>
      </c>
      <c r="W1211" s="201">
        <f t="shared" si="120"/>
        <v>0</v>
      </c>
      <c r="X1211" s="201">
        <f t="shared" si="120"/>
        <v>0</v>
      </c>
    </row>
    <row r="1212" spans="1:24" s="169" customFormat="1" ht="13.8">
      <c r="A1212" s="192"/>
      <c r="B1212" s="164"/>
      <c r="C1212" s="183" t="str">
        <f t="shared" si="115"/>
        <v/>
      </c>
      <c r="D1212" s="182" t="str">
        <f t="shared" si="116"/>
        <v/>
      </c>
      <c r="E1212" s="192" t="s">
        <v>669</v>
      </c>
      <c r="F1212" s="192" t="s">
        <v>677</v>
      </c>
      <c r="G1212" s="192" t="s">
        <v>678</v>
      </c>
      <c r="H1212" s="210" t="s">
        <v>1440</v>
      </c>
      <c r="I1212" s="167">
        <v>35064000</v>
      </c>
      <c r="J1212" s="166"/>
      <c r="K1212" s="166"/>
      <c r="L1212" s="168">
        <v>35064000</v>
      </c>
      <c r="M1212" s="168">
        <f t="shared" si="117"/>
        <v>35064000</v>
      </c>
      <c r="N1212" s="168"/>
      <c r="O1212" s="167">
        <v>28363560</v>
      </c>
      <c r="P1212" s="167">
        <f t="shared" si="118"/>
        <v>28363560</v>
      </c>
      <c r="Q1212" s="167"/>
      <c r="S1212" s="201">
        <f t="shared" si="119"/>
        <v>35.064</v>
      </c>
      <c r="T1212" s="201">
        <f t="shared" si="120"/>
        <v>35.064</v>
      </c>
      <c r="U1212" s="201">
        <f t="shared" si="120"/>
        <v>0</v>
      </c>
      <c r="V1212" s="201">
        <f t="shared" si="120"/>
        <v>28.36356</v>
      </c>
      <c r="W1212" s="201">
        <f t="shared" si="120"/>
        <v>28.36356</v>
      </c>
      <c r="X1212" s="201">
        <f t="shared" si="120"/>
        <v>0</v>
      </c>
    </row>
    <row r="1213" spans="1:24" s="169" customFormat="1" ht="13.8">
      <c r="A1213" s="192"/>
      <c r="B1213" s="164" t="s">
        <v>680</v>
      </c>
      <c r="C1213" s="183" t="str">
        <f t="shared" si="115"/>
        <v/>
      </c>
      <c r="D1213" s="182" t="str">
        <f t="shared" si="116"/>
        <v/>
      </c>
      <c r="E1213" s="206"/>
      <c r="F1213" s="207"/>
      <c r="G1213" s="207"/>
      <c r="H1213" s="205"/>
      <c r="I1213" s="167">
        <v>1099550000</v>
      </c>
      <c r="J1213" s="166"/>
      <c r="K1213" s="167">
        <v>1002650000</v>
      </c>
      <c r="L1213" s="168">
        <v>96900000</v>
      </c>
      <c r="M1213" s="168">
        <f t="shared" si="117"/>
        <v>1099550000</v>
      </c>
      <c r="N1213" s="168"/>
      <c r="O1213" s="167">
        <v>1059674300</v>
      </c>
      <c r="P1213" s="167">
        <f t="shared" si="118"/>
        <v>1059674300</v>
      </c>
      <c r="Q1213" s="167"/>
      <c r="S1213" s="201">
        <f t="shared" si="119"/>
        <v>1099.55</v>
      </c>
      <c r="T1213" s="201">
        <f t="shared" si="120"/>
        <v>1099.55</v>
      </c>
      <c r="U1213" s="201">
        <f t="shared" si="120"/>
        <v>0</v>
      </c>
      <c r="V1213" s="201">
        <f t="shared" si="120"/>
        <v>1059.6742999999999</v>
      </c>
      <c r="W1213" s="201">
        <f t="shared" si="120"/>
        <v>1059.6742999999999</v>
      </c>
      <c r="X1213" s="201">
        <f t="shared" si="120"/>
        <v>0</v>
      </c>
    </row>
    <row r="1214" spans="1:24" s="169" customFormat="1" ht="13.8">
      <c r="A1214" s="193"/>
      <c r="B1214" s="187"/>
      <c r="C1214" s="183" t="str">
        <f t="shared" si="115"/>
        <v/>
      </c>
      <c r="D1214" s="182" t="str">
        <f t="shared" si="116"/>
        <v/>
      </c>
      <c r="E1214" s="192" t="s">
        <v>681</v>
      </c>
      <c r="F1214" s="192" t="s">
        <v>677</v>
      </c>
      <c r="G1214" s="192" t="s">
        <v>678</v>
      </c>
      <c r="H1214" s="210" t="s">
        <v>1440</v>
      </c>
      <c r="I1214" s="167">
        <v>300000000</v>
      </c>
      <c r="J1214" s="166"/>
      <c r="K1214" s="167">
        <v>300000000</v>
      </c>
      <c r="L1214" s="171"/>
      <c r="M1214" s="168">
        <f t="shared" si="117"/>
        <v>300000000</v>
      </c>
      <c r="N1214" s="171"/>
      <c r="O1214" s="167">
        <v>293224300</v>
      </c>
      <c r="P1214" s="167">
        <f t="shared" si="118"/>
        <v>293224300</v>
      </c>
      <c r="Q1214" s="167"/>
      <c r="S1214" s="201">
        <f t="shared" si="119"/>
        <v>300</v>
      </c>
      <c r="T1214" s="201">
        <f t="shared" si="120"/>
        <v>300</v>
      </c>
      <c r="U1214" s="201">
        <f t="shared" si="120"/>
        <v>0</v>
      </c>
      <c r="V1214" s="201">
        <f t="shared" si="120"/>
        <v>293.22430000000003</v>
      </c>
      <c r="W1214" s="201">
        <f t="shared" si="120"/>
        <v>293.22430000000003</v>
      </c>
      <c r="X1214" s="201">
        <f t="shared" si="120"/>
        <v>0</v>
      </c>
    </row>
    <row r="1215" spans="1:24" s="169" customFormat="1" ht="13.8">
      <c r="A1215" s="195"/>
      <c r="B1215" s="188"/>
      <c r="C1215" s="183" t="str">
        <f t="shared" si="115"/>
        <v/>
      </c>
      <c r="D1215" s="182" t="str">
        <f t="shared" si="116"/>
        <v/>
      </c>
      <c r="E1215" s="192" t="s">
        <v>669</v>
      </c>
      <c r="F1215" s="192" t="s">
        <v>677</v>
      </c>
      <c r="G1215" s="192" t="s">
        <v>678</v>
      </c>
      <c r="H1215" s="210" t="s">
        <v>1440</v>
      </c>
      <c r="I1215" s="167">
        <v>799550000</v>
      </c>
      <c r="J1215" s="166"/>
      <c r="K1215" s="167">
        <v>702650000</v>
      </c>
      <c r="L1215" s="168">
        <v>96900000</v>
      </c>
      <c r="M1215" s="168">
        <f t="shared" si="117"/>
        <v>799550000</v>
      </c>
      <c r="N1215" s="168"/>
      <c r="O1215" s="167">
        <v>766450000</v>
      </c>
      <c r="P1215" s="167">
        <f t="shared" si="118"/>
        <v>766450000</v>
      </c>
      <c r="Q1215" s="167"/>
      <c r="S1215" s="201">
        <f t="shared" si="119"/>
        <v>799.55</v>
      </c>
      <c r="T1215" s="201">
        <f t="shared" si="120"/>
        <v>799.55</v>
      </c>
      <c r="U1215" s="201">
        <f t="shared" si="120"/>
        <v>0</v>
      </c>
      <c r="V1215" s="201">
        <f t="shared" si="120"/>
        <v>766.45</v>
      </c>
      <c r="W1215" s="201">
        <f t="shared" si="120"/>
        <v>766.45</v>
      </c>
      <c r="X1215" s="201">
        <f t="shared" si="120"/>
        <v>0</v>
      </c>
    </row>
    <row r="1216" spans="1:24" s="169" customFormat="1" ht="28.8">
      <c r="A1216" s="192" t="s">
        <v>1202</v>
      </c>
      <c r="B1216" s="176" t="s">
        <v>1203</v>
      </c>
      <c r="C1216" s="183" t="str">
        <f t="shared" si="115"/>
        <v>1082143</v>
      </c>
      <c r="D1216" s="182" t="str">
        <f t="shared" si="116"/>
        <v>-Đội Kiềm lâm cơ động -3CCCRs61</v>
      </c>
      <c r="E1216" s="206"/>
      <c r="F1216" s="207"/>
      <c r="G1216" s="207"/>
      <c r="H1216" s="205"/>
      <c r="I1216" s="167">
        <v>3019365039</v>
      </c>
      <c r="J1216" s="167">
        <v>128365039</v>
      </c>
      <c r="K1216" s="167">
        <v>2805000000</v>
      </c>
      <c r="L1216" s="168">
        <v>86000000</v>
      </c>
      <c r="M1216" s="168">
        <f t="shared" si="117"/>
        <v>3019365039</v>
      </c>
      <c r="N1216" s="168"/>
      <c r="O1216" s="167">
        <v>3018215039</v>
      </c>
      <c r="P1216" s="167">
        <f t="shared" si="118"/>
        <v>3018215039</v>
      </c>
      <c r="Q1216" s="167"/>
      <c r="S1216" s="201">
        <f t="shared" si="119"/>
        <v>3019.3650389999998</v>
      </c>
      <c r="T1216" s="201">
        <f t="shared" si="120"/>
        <v>3019.3650389999998</v>
      </c>
      <c r="U1216" s="201">
        <f t="shared" si="120"/>
        <v>0</v>
      </c>
      <c r="V1216" s="201">
        <f t="shared" si="120"/>
        <v>3018.2150390000002</v>
      </c>
      <c r="W1216" s="201">
        <f t="shared" si="120"/>
        <v>3018.2150390000002</v>
      </c>
      <c r="X1216" s="201">
        <f t="shared" si="120"/>
        <v>0</v>
      </c>
    </row>
    <row r="1217" spans="1:24" s="169" customFormat="1" ht="13.8">
      <c r="A1217" s="192" t="s">
        <v>1204</v>
      </c>
      <c r="B1217" s="164" t="s">
        <v>675</v>
      </c>
      <c r="C1217" s="183" t="str">
        <f t="shared" si="115"/>
        <v/>
      </c>
      <c r="D1217" s="182" t="str">
        <f t="shared" si="116"/>
        <v/>
      </c>
      <c r="E1217" s="206"/>
      <c r="F1217" s="207"/>
      <c r="G1217" s="207"/>
      <c r="H1217" s="205"/>
      <c r="I1217" s="167">
        <v>3019365039</v>
      </c>
      <c r="J1217" s="167">
        <v>128365039</v>
      </c>
      <c r="K1217" s="167">
        <v>2805000000</v>
      </c>
      <c r="L1217" s="168">
        <v>86000000</v>
      </c>
      <c r="M1217" s="168">
        <f t="shared" si="117"/>
        <v>3019365039</v>
      </c>
      <c r="N1217" s="168"/>
      <c r="O1217" s="167">
        <v>3018215039</v>
      </c>
      <c r="P1217" s="167">
        <f t="shared" si="118"/>
        <v>3018215039</v>
      </c>
      <c r="Q1217" s="167"/>
      <c r="S1217" s="201">
        <f t="shared" si="119"/>
        <v>3019.3650389999998</v>
      </c>
      <c r="T1217" s="201">
        <f t="shared" si="120"/>
        <v>3019.3650389999998</v>
      </c>
      <c r="U1217" s="201">
        <f t="shared" si="120"/>
        <v>0</v>
      </c>
      <c r="V1217" s="201">
        <f t="shared" si="120"/>
        <v>3018.2150390000002</v>
      </c>
      <c r="W1217" s="201">
        <f t="shared" si="120"/>
        <v>3018.2150390000002</v>
      </c>
      <c r="X1217" s="201">
        <f t="shared" si="120"/>
        <v>0</v>
      </c>
    </row>
    <row r="1218" spans="1:24" s="169" customFormat="1" ht="13.8">
      <c r="A1218" s="192"/>
      <c r="B1218" s="164" t="s">
        <v>676</v>
      </c>
      <c r="C1218" s="183" t="str">
        <f t="shared" si="115"/>
        <v/>
      </c>
      <c r="D1218" s="182" t="str">
        <f t="shared" si="116"/>
        <v/>
      </c>
      <c r="E1218" s="206"/>
      <c r="F1218" s="207"/>
      <c r="G1218" s="207"/>
      <c r="H1218" s="205"/>
      <c r="I1218" s="167">
        <v>2899365039</v>
      </c>
      <c r="J1218" s="167">
        <v>128365039</v>
      </c>
      <c r="K1218" s="167">
        <v>2693000000</v>
      </c>
      <c r="L1218" s="168">
        <v>78000000</v>
      </c>
      <c r="M1218" s="168">
        <f t="shared" si="117"/>
        <v>2899365039</v>
      </c>
      <c r="N1218" s="168"/>
      <c r="O1218" s="167">
        <v>2899365039</v>
      </c>
      <c r="P1218" s="167">
        <f t="shared" si="118"/>
        <v>2899365039</v>
      </c>
      <c r="Q1218" s="167"/>
      <c r="S1218" s="201">
        <f t="shared" si="119"/>
        <v>2899.3650389999998</v>
      </c>
      <c r="T1218" s="201">
        <f t="shared" si="120"/>
        <v>2899.3650389999998</v>
      </c>
      <c r="U1218" s="201">
        <f t="shared" si="120"/>
        <v>0</v>
      </c>
      <c r="V1218" s="201">
        <f t="shared" si="120"/>
        <v>2899.3650389999998</v>
      </c>
      <c r="W1218" s="201">
        <f t="shared" si="120"/>
        <v>2899.3650389999998</v>
      </c>
      <c r="X1218" s="201">
        <f t="shared" si="120"/>
        <v>0</v>
      </c>
    </row>
    <row r="1219" spans="1:24" s="169" customFormat="1" ht="13.8">
      <c r="A1219" s="193"/>
      <c r="B1219" s="187"/>
      <c r="C1219" s="183" t="str">
        <f t="shared" si="115"/>
        <v/>
      </c>
      <c r="D1219" s="182" t="str">
        <f t="shared" si="116"/>
        <v/>
      </c>
      <c r="E1219" s="192" t="s">
        <v>666</v>
      </c>
      <c r="F1219" s="192" t="s">
        <v>698</v>
      </c>
      <c r="G1219" s="192" t="s">
        <v>695</v>
      </c>
      <c r="H1219" s="210" t="s">
        <v>1440</v>
      </c>
      <c r="I1219" s="167">
        <v>2693000000</v>
      </c>
      <c r="J1219" s="166"/>
      <c r="K1219" s="167">
        <v>2693000000</v>
      </c>
      <c r="L1219" s="171"/>
      <c r="M1219" s="168">
        <f t="shared" si="117"/>
        <v>2693000000</v>
      </c>
      <c r="N1219" s="171"/>
      <c r="O1219" s="167">
        <v>2693000000</v>
      </c>
      <c r="P1219" s="167">
        <f t="shared" si="118"/>
        <v>2693000000</v>
      </c>
      <c r="Q1219" s="167"/>
      <c r="S1219" s="201">
        <f t="shared" si="119"/>
        <v>2693</v>
      </c>
      <c r="T1219" s="201">
        <f t="shared" si="120"/>
        <v>2693</v>
      </c>
      <c r="U1219" s="201">
        <f t="shared" si="120"/>
        <v>0</v>
      </c>
      <c r="V1219" s="201">
        <f t="shared" si="120"/>
        <v>2693</v>
      </c>
      <c r="W1219" s="201">
        <f t="shared" si="120"/>
        <v>2693</v>
      </c>
      <c r="X1219" s="201">
        <f t="shared" si="120"/>
        <v>0</v>
      </c>
    </row>
    <row r="1220" spans="1:24" s="169" customFormat="1" ht="13.8">
      <c r="A1220" s="195"/>
      <c r="B1220" s="188"/>
      <c r="C1220" s="183" t="str">
        <f t="shared" si="115"/>
        <v/>
      </c>
      <c r="D1220" s="182" t="str">
        <f t="shared" si="116"/>
        <v/>
      </c>
      <c r="E1220" s="192" t="s">
        <v>679</v>
      </c>
      <c r="F1220" s="192" t="s">
        <v>698</v>
      </c>
      <c r="G1220" s="192" t="s">
        <v>695</v>
      </c>
      <c r="H1220" s="210" t="s">
        <v>1440</v>
      </c>
      <c r="I1220" s="167">
        <v>206365039</v>
      </c>
      <c r="J1220" s="167">
        <v>128365039</v>
      </c>
      <c r="K1220" s="166"/>
      <c r="L1220" s="168">
        <v>78000000</v>
      </c>
      <c r="M1220" s="168">
        <f t="shared" si="117"/>
        <v>206365039</v>
      </c>
      <c r="N1220" s="168"/>
      <c r="O1220" s="167">
        <v>206365039</v>
      </c>
      <c r="P1220" s="167">
        <f t="shared" si="118"/>
        <v>206365039</v>
      </c>
      <c r="Q1220" s="167"/>
      <c r="S1220" s="201">
        <f t="shared" si="119"/>
        <v>206.365039</v>
      </c>
      <c r="T1220" s="201">
        <f t="shared" si="120"/>
        <v>206.365039</v>
      </c>
      <c r="U1220" s="201">
        <f t="shared" si="120"/>
        <v>0</v>
      </c>
      <c r="V1220" s="201">
        <f t="shared" si="120"/>
        <v>206.365039</v>
      </c>
      <c r="W1220" s="201">
        <f t="shared" si="120"/>
        <v>206.365039</v>
      </c>
      <c r="X1220" s="201">
        <f t="shared" si="120"/>
        <v>0</v>
      </c>
    </row>
    <row r="1221" spans="1:24" s="169" customFormat="1" ht="13.8">
      <c r="A1221" s="192"/>
      <c r="B1221" s="164" t="s">
        <v>680</v>
      </c>
      <c r="C1221" s="183" t="str">
        <f t="shared" si="115"/>
        <v/>
      </c>
      <c r="D1221" s="182" t="str">
        <f t="shared" si="116"/>
        <v/>
      </c>
      <c r="E1221" s="206"/>
      <c r="F1221" s="207"/>
      <c r="G1221" s="207"/>
      <c r="H1221" s="205"/>
      <c r="I1221" s="167">
        <v>120000000</v>
      </c>
      <c r="J1221" s="166"/>
      <c r="K1221" s="167">
        <v>112000000</v>
      </c>
      <c r="L1221" s="168">
        <v>8000000</v>
      </c>
      <c r="M1221" s="168">
        <f t="shared" si="117"/>
        <v>120000000</v>
      </c>
      <c r="N1221" s="168"/>
      <c r="O1221" s="167">
        <v>118850000</v>
      </c>
      <c r="P1221" s="167">
        <f t="shared" si="118"/>
        <v>118850000</v>
      </c>
      <c r="Q1221" s="167"/>
      <c r="S1221" s="201">
        <f t="shared" si="119"/>
        <v>120</v>
      </c>
      <c r="T1221" s="201">
        <f t="shared" si="120"/>
        <v>120</v>
      </c>
      <c r="U1221" s="201">
        <f t="shared" si="120"/>
        <v>0</v>
      </c>
      <c r="V1221" s="201">
        <f t="shared" si="120"/>
        <v>118.85</v>
      </c>
      <c r="W1221" s="201">
        <f t="shared" si="120"/>
        <v>118.85</v>
      </c>
      <c r="X1221" s="201">
        <f t="shared" si="120"/>
        <v>0</v>
      </c>
    </row>
    <row r="1222" spans="1:24" s="169" customFormat="1" ht="13.8">
      <c r="A1222" s="193"/>
      <c r="B1222" s="187"/>
      <c r="C1222" s="183" t="str">
        <f t="shared" si="115"/>
        <v/>
      </c>
      <c r="D1222" s="182" t="str">
        <f t="shared" si="116"/>
        <v/>
      </c>
      <c r="E1222" s="192" t="s">
        <v>681</v>
      </c>
      <c r="F1222" s="192" t="s">
        <v>698</v>
      </c>
      <c r="G1222" s="192" t="s">
        <v>699</v>
      </c>
      <c r="H1222" s="210" t="s">
        <v>1440</v>
      </c>
      <c r="I1222" s="167">
        <v>112000000</v>
      </c>
      <c r="J1222" s="166"/>
      <c r="K1222" s="167">
        <v>112000000</v>
      </c>
      <c r="L1222" s="171"/>
      <c r="M1222" s="168">
        <f t="shared" si="117"/>
        <v>112000000</v>
      </c>
      <c r="N1222" s="171"/>
      <c r="O1222" s="167">
        <v>110850000</v>
      </c>
      <c r="P1222" s="167">
        <f t="shared" si="118"/>
        <v>110850000</v>
      </c>
      <c r="Q1222" s="167"/>
      <c r="S1222" s="201">
        <f t="shared" si="119"/>
        <v>112</v>
      </c>
      <c r="T1222" s="201">
        <f t="shared" si="120"/>
        <v>112</v>
      </c>
      <c r="U1222" s="201">
        <f t="shared" si="120"/>
        <v>0</v>
      </c>
      <c r="V1222" s="201">
        <f t="shared" si="120"/>
        <v>110.85</v>
      </c>
      <c r="W1222" s="201">
        <f t="shared" si="120"/>
        <v>110.85</v>
      </c>
      <c r="X1222" s="201">
        <f t="shared" si="120"/>
        <v>0</v>
      </c>
    </row>
    <row r="1223" spans="1:24" s="169" customFormat="1" ht="13.8">
      <c r="A1223" s="195"/>
      <c r="B1223" s="188"/>
      <c r="C1223" s="183" t="str">
        <f t="shared" si="115"/>
        <v/>
      </c>
      <c r="D1223" s="182" t="str">
        <f t="shared" si="116"/>
        <v/>
      </c>
      <c r="E1223" s="192" t="s">
        <v>681</v>
      </c>
      <c r="F1223" s="192" t="s">
        <v>698</v>
      </c>
      <c r="G1223" s="192" t="s">
        <v>695</v>
      </c>
      <c r="H1223" s="210" t="s">
        <v>1440</v>
      </c>
      <c r="I1223" s="167">
        <v>8000000</v>
      </c>
      <c r="J1223" s="166"/>
      <c r="K1223" s="166"/>
      <c r="L1223" s="168">
        <v>8000000</v>
      </c>
      <c r="M1223" s="168">
        <f t="shared" si="117"/>
        <v>8000000</v>
      </c>
      <c r="N1223" s="168"/>
      <c r="O1223" s="167">
        <v>8000000</v>
      </c>
      <c r="P1223" s="167">
        <f t="shared" si="118"/>
        <v>8000000</v>
      </c>
      <c r="Q1223" s="167"/>
      <c r="S1223" s="201">
        <f t="shared" si="119"/>
        <v>8</v>
      </c>
      <c r="T1223" s="201">
        <f t="shared" si="120"/>
        <v>8</v>
      </c>
      <c r="U1223" s="201">
        <f t="shared" si="120"/>
        <v>0</v>
      </c>
      <c r="V1223" s="201">
        <f t="shared" si="120"/>
        <v>8</v>
      </c>
      <c r="W1223" s="201">
        <f t="shared" si="120"/>
        <v>8</v>
      </c>
      <c r="X1223" s="201">
        <f t="shared" si="120"/>
        <v>0</v>
      </c>
    </row>
    <row r="1224" spans="1:24" s="169" customFormat="1" ht="26.4">
      <c r="A1224" s="192" t="s">
        <v>1205</v>
      </c>
      <c r="B1224" s="176" t="s">
        <v>1206</v>
      </c>
      <c r="C1224" s="183" t="str">
        <f t="shared" si="115"/>
        <v>1082144</v>
      </c>
      <c r="D1224" s="182" t="str">
        <f t="shared" si="116"/>
        <v>-Đội Kiểm lâm Cơ động --’CCCR số 2</v>
      </c>
      <c r="E1224" s="206"/>
      <c r="F1224" s="207"/>
      <c r="G1224" s="207"/>
      <c r="H1224" s="205"/>
      <c r="I1224" s="167">
        <v>2142000000</v>
      </c>
      <c r="J1224" s="166"/>
      <c r="K1224" s="167">
        <v>2087000000</v>
      </c>
      <c r="L1224" s="168">
        <v>55000000</v>
      </c>
      <c r="M1224" s="168">
        <f t="shared" si="117"/>
        <v>2142000000</v>
      </c>
      <c r="N1224" s="168"/>
      <c r="O1224" s="167">
        <v>2142000000</v>
      </c>
      <c r="P1224" s="167">
        <f t="shared" si="118"/>
        <v>2142000000</v>
      </c>
      <c r="Q1224" s="167"/>
      <c r="S1224" s="201">
        <f t="shared" si="119"/>
        <v>2142</v>
      </c>
      <c r="T1224" s="201">
        <f t="shared" si="120"/>
        <v>2142</v>
      </c>
      <c r="U1224" s="201">
        <f t="shared" si="120"/>
        <v>0</v>
      </c>
      <c r="V1224" s="201">
        <f t="shared" si="120"/>
        <v>2142</v>
      </c>
      <c r="W1224" s="201">
        <f t="shared" si="120"/>
        <v>2142</v>
      </c>
      <c r="X1224" s="201">
        <f t="shared" si="120"/>
        <v>0</v>
      </c>
    </row>
    <row r="1225" spans="1:24" s="169" customFormat="1" ht="13.8">
      <c r="A1225" s="192" t="s">
        <v>1207</v>
      </c>
      <c r="B1225" s="164" t="s">
        <v>675</v>
      </c>
      <c r="C1225" s="183" t="str">
        <f t="shared" si="115"/>
        <v/>
      </c>
      <c r="D1225" s="182" t="str">
        <f t="shared" si="116"/>
        <v/>
      </c>
      <c r="E1225" s="206"/>
      <c r="F1225" s="207"/>
      <c r="G1225" s="207"/>
      <c r="H1225" s="205"/>
      <c r="I1225" s="167">
        <v>2142000000</v>
      </c>
      <c r="J1225" s="166"/>
      <c r="K1225" s="167">
        <v>2087000000</v>
      </c>
      <c r="L1225" s="168">
        <v>55000000</v>
      </c>
      <c r="M1225" s="168">
        <f t="shared" si="117"/>
        <v>2142000000</v>
      </c>
      <c r="N1225" s="168"/>
      <c r="O1225" s="167">
        <v>2142000000</v>
      </c>
      <c r="P1225" s="167">
        <f t="shared" si="118"/>
        <v>2142000000</v>
      </c>
      <c r="Q1225" s="167"/>
      <c r="S1225" s="201">
        <f t="shared" si="119"/>
        <v>2142</v>
      </c>
      <c r="T1225" s="201">
        <f t="shared" si="120"/>
        <v>2142</v>
      </c>
      <c r="U1225" s="201">
        <f t="shared" si="120"/>
        <v>0</v>
      </c>
      <c r="V1225" s="201">
        <f t="shared" si="120"/>
        <v>2142</v>
      </c>
      <c r="W1225" s="201">
        <f t="shared" si="120"/>
        <v>2142</v>
      </c>
      <c r="X1225" s="201">
        <f t="shared" si="120"/>
        <v>0</v>
      </c>
    </row>
    <row r="1226" spans="1:24" s="169" customFormat="1" ht="13.8">
      <c r="A1226" s="192"/>
      <c r="B1226" s="164" t="s">
        <v>676</v>
      </c>
      <c r="C1226" s="183" t="str">
        <f t="shared" si="115"/>
        <v/>
      </c>
      <c r="D1226" s="182" t="str">
        <f t="shared" si="116"/>
        <v/>
      </c>
      <c r="E1226" s="206"/>
      <c r="F1226" s="207"/>
      <c r="G1226" s="207"/>
      <c r="H1226" s="205"/>
      <c r="I1226" s="167">
        <v>2046000000</v>
      </c>
      <c r="J1226" s="166"/>
      <c r="K1226" s="167">
        <v>1991000000</v>
      </c>
      <c r="L1226" s="168">
        <v>55000000</v>
      </c>
      <c r="M1226" s="168">
        <f t="shared" si="117"/>
        <v>2046000000</v>
      </c>
      <c r="N1226" s="168"/>
      <c r="O1226" s="167">
        <v>2046000000</v>
      </c>
      <c r="P1226" s="167">
        <f t="shared" si="118"/>
        <v>2046000000</v>
      </c>
      <c r="Q1226" s="167"/>
      <c r="S1226" s="201">
        <f t="shared" si="119"/>
        <v>2046</v>
      </c>
      <c r="T1226" s="201">
        <f t="shared" si="120"/>
        <v>2046</v>
      </c>
      <c r="U1226" s="201">
        <f t="shared" si="120"/>
        <v>0</v>
      </c>
      <c r="V1226" s="201">
        <f t="shared" si="120"/>
        <v>2046</v>
      </c>
      <c r="W1226" s="201">
        <f t="shared" si="120"/>
        <v>2046</v>
      </c>
      <c r="X1226" s="201">
        <f t="shared" si="120"/>
        <v>0</v>
      </c>
    </row>
    <row r="1227" spans="1:24" s="169" customFormat="1" ht="13.8">
      <c r="A1227" s="193"/>
      <c r="B1227" s="187"/>
      <c r="C1227" s="183" t="str">
        <f t="shared" si="115"/>
        <v/>
      </c>
      <c r="D1227" s="182" t="str">
        <f t="shared" si="116"/>
        <v/>
      </c>
      <c r="E1227" s="192" t="s">
        <v>666</v>
      </c>
      <c r="F1227" s="192" t="s">
        <v>698</v>
      </c>
      <c r="G1227" s="192" t="s">
        <v>695</v>
      </c>
      <c r="H1227" s="210" t="s">
        <v>1440</v>
      </c>
      <c r="I1227" s="167">
        <v>1991000000</v>
      </c>
      <c r="J1227" s="166"/>
      <c r="K1227" s="167">
        <v>1991000000</v>
      </c>
      <c r="L1227" s="171"/>
      <c r="M1227" s="168">
        <f t="shared" si="117"/>
        <v>1991000000</v>
      </c>
      <c r="N1227" s="171"/>
      <c r="O1227" s="167">
        <v>1991000000</v>
      </c>
      <c r="P1227" s="167">
        <f t="shared" si="118"/>
        <v>1991000000</v>
      </c>
      <c r="Q1227" s="167"/>
      <c r="S1227" s="201">
        <f t="shared" si="119"/>
        <v>1991</v>
      </c>
      <c r="T1227" s="201">
        <f t="shared" si="120"/>
        <v>1991</v>
      </c>
      <c r="U1227" s="201">
        <f t="shared" si="120"/>
        <v>0</v>
      </c>
      <c r="V1227" s="201">
        <f t="shared" si="120"/>
        <v>1991</v>
      </c>
      <c r="W1227" s="201">
        <f t="shared" si="120"/>
        <v>1991</v>
      </c>
      <c r="X1227" s="201">
        <f t="shared" si="120"/>
        <v>0</v>
      </c>
    </row>
    <row r="1228" spans="1:24" s="169" customFormat="1" ht="13.8">
      <c r="A1228" s="195"/>
      <c r="B1228" s="188"/>
      <c r="C1228" s="183" t="str">
        <f t="shared" si="115"/>
        <v/>
      </c>
      <c r="D1228" s="182" t="str">
        <f t="shared" si="116"/>
        <v/>
      </c>
      <c r="E1228" s="192" t="s">
        <v>679</v>
      </c>
      <c r="F1228" s="192" t="s">
        <v>698</v>
      </c>
      <c r="G1228" s="192" t="s">
        <v>695</v>
      </c>
      <c r="H1228" s="210" t="s">
        <v>1440</v>
      </c>
      <c r="I1228" s="167">
        <v>55000000</v>
      </c>
      <c r="J1228" s="166"/>
      <c r="K1228" s="166"/>
      <c r="L1228" s="168">
        <v>55000000</v>
      </c>
      <c r="M1228" s="168">
        <f t="shared" si="117"/>
        <v>55000000</v>
      </c>
      <c r="N1228" s="168"/>
      <c r="O1228" s="167">
        <v>55000000</v>
      </c>
      <c r="P1228" s="167">
        <f t="shared" si="118"/>
        <v>55000000</v>
      </c>
      <c r="Q1228" s="167"/>
      <c r="S1228" s="201">
        <f t="shared" si="119"/>
        <v>55</v>
      </c>
      <c r="T1228" s="201">
        <f t="shared" si="120"/>
        <v>55</v>
      </c>
      <c r="U1228" s="201">
        <f t="shared" si="120"/>
        <v>0</v>
      </c>
      <c r="V1228" s="201">
        <f t="shared" si="120"/>
        <v>55</v>
      </c>
      <c r="W1228" s="201">
        <f t="shared" si="120"/>
        <v>55</v>
      </c>
      <c r="X1228" s="201">
        <f t="shared" si="120"/>
        <v>0</v>
      </c>
    </row>
    <row r="1229" spans="1:24" s="169" customFormat="1" ht="13.8">
      <c r="A1229" s="192"/>
      <c r="B1229" s="164" t="s">
        <v>680</v>
      </c>
      <c r="C1229" s="183" t="str">
        <f t="shared" si="115"/>
        <v/>
      </c>
      <c r="D1229" s="182" t="str">
        <f t="shared" si="116"/>
        <v/>
      </c>
      <c r="E1229" s="206"/>
      <c r="F1229" s="207"/>
      <c r="G1229" s="207"/>
      <c r="H1229" s="205"/>
      <c r="I1229" s="167">
        <v>96000000</v>
      </c>
      <c r="J1229" s="166"/>
      <c r="K1229" s="167">
        <v>96000000</v>
      </c>
      <c r="L1229" s="171"/>
      <c r="M1229" s="168">
        <f t="shared" si="117"/>
        <v>96000000</v>
      </c>
      <c r="N1229" s="171"/>
      <c r="O1229" s="167">
        <v>96000000</v>
      </c>
      <c r="P1229" s="167">
        <f t="shared" si="118"/>
        <v>96000000</v>
      </c>
      <c r="Q1229" s="167"/>
      <c r="S1229" s="201">
        <f t="shared" si="119"/>
        <v>96</v>
      </c>
      <c r="T1229" s="201">
        <f t="shared" si="120"/>
        <v>96</v>
      </c>
      <c r="U1229" s="201">
        <f t="shared" si="120"/>
        <v>0</v>
      </c>
      <c r="V1229" s="201">
        <f t="shared" si="120"/>
        <v>96</v>
      </c>
      <c r="W1229" s="201">
        <f t="shared" si="120"/>
        <v>96</v>
      </c>
      <c r="X1229" s="201">
        <f t="shared" si="120"/>
        <v>0</v>
      </c>
    </row>
    <row r="1230" spans="1:24" s="169" customFormat="1" ht="13.8">
      <c r="A1230" s="192"/>
      <c r="B1230" s="164"/>
      <c r="C1230" s="183" t="str">
        <f t="shared" si="115"/>
        <v/>
      </c>
      <c r="D1230" s="182" t="str">
        <f t="shared" si="116"/>
        <v/>
      </c>
      <c r="E1230" s="192" t="s">
        <v>681</v>
      </c>
      <c r="F1230" s="192" t="s">
        <v>698</v>
      </c>
      <c r="G1230" s="192" t="s">
        <v>699</v>
      </c>
      <c r="H1230" s="210" t="s">
        <v>1440</v>
      </c>
      <c r="I1230" s="167">
        <v>96000000</v>
      </c>
      <c r="J1230" s="166"/>
      <c r="K1230" s="167">
        <v>96000000</v>
      </c>
      <c r="L1230" s="171"/>
      <c r="M1230" s="168">
        <f t="shared" si="117"/>
        <v>96000000</v>
      </c>
      <c r="N1230" s="171"/>
      <c r="O1230" s="167">
        <v>96000000</v>
      </c>
      <c r="P1230" s="167">
        <f t="shared" si="118"/>
        <v>96000000</v>
      </c>
      <c r="Q1230" s="167"/>
      <c r="S1230" s="201">
        <f t="shared" si="119"/>
        <v>96</v>
      </c>
      <c r="T1230" s="201">
        <f t="shared" si="120"/>
        <v>96</v>
      </c>
      <c r="U1230" s="201">
        <f t="shared" si="120"/>
        <v>0</v>
      </c>
      <c r="V1230" s="201">
        <f t="shared" si="120"/>
        <v>96</v>
      </c>
      <c r="W1230" s="201">
        <f t="shared" si="120"/>
        <v>96</v>
      </c>
      <c r="X1230" s="201">
        <f t="shared" si="120"/>
        <v>0</v>
      </c>
    </row>
    <row r="1231" spans="1:24" s="169" customFormat="1" ht="28.8">
      <c r="A1231" s="192" t="s">
        <v>1208</v>
      </c>
      <c r="B1231" s="176" t="s">
        <v>1209</v>
      </c>
      <c r="C1231" s="183" t="str">
        <f t="shared" si="115"/>
        <v>1082145</v>
      </c>
      <c r="D1231" s="182" t="str">
        <f t="shared" si="116"/>
        <v>-Đội Kiềm lâm Cơ động &amp; 3CCCRs63</v>
      </c>
      <c r="E1231" s="206"/>
      <c r="F1231" s="207"/>
      <c r="G1231" s="207"/>
      <c r="H1231" s="205"/>
      <c r="I1231" s="167">
        <v>2371984127</v>
      </c>
      <c r="J1231" s="167">
        <v>46984127</v>
      </c>
      <c r="K1231" s="167">
        <v>2253000000</v>
      </c>
      <c r="L1231" s="168">
        <v>72000000</v>
      </c>
      <c r="M1231" s="168">
        <f t="shared" si="117"/>
        <v>2371984127</v>
      </c>
      <c r="N1231" s="168"/>
      <c r="O1231" s="167">
        <v>2371984127</v>
      </c>
      <c r="P1231" s="167">
        <f t="shared" si="118"/>
        <v>2371984127</v>
      </c>
      <c r="Q1231" s="167"/>
      <c r="S1231" s="201">
        <f t="shared" si="119"/>
        <v>2371.9841270000002</v>
      </c>
      <c r="T1231" s="201">
        <f t="shared" si="120"/>
        <v>2371.9841270000002</v>
      </c>
      <c r="U1231" s="201">
        <f t="shared" si="120"/>
        <v>0</v>
      </c>
      <c r="V1231" s="201">
        <f t="shared" si="120"/>
        <v>2371.9841270000002</v>
      </c>
      <c r="W1231" s="201">
        <f t="shared" si="120"/>
        <v>2371.9841270000002</v>
      </c>
      <c r="X1231" s="201">
        <f t="shared" si="120"/>
        <v>0</v>
      </c>
    </row>
    <row r="1232" spans="1:24" s="169" customFormat="1" ht="13.8">
      <c r="A1232" s="192" t="s">
        <v>1210</v>
      </c>
      <c r="B1232" s="164" t="s">
        <v>675</v>
      </c>
      <c r="C1232" s="183" t="str">
        <f t="shared" si="115"/>
        <v/>
      </c>
      <c r="D1232" s="182" t="str">
        <f t="shared" si="116"/>
        <v/>
      </c>
      <c r="E1232" s="206"/>
      <c r="F1232" s="207"/>
      <c r="G1232" s="207"/>
      <c r="H1232" s="205"/>
      <c r="I1232" s="167">
        <v>2371984127</v>
      </c>
      <c r="J1232" s="167">
        <v>46984127</v>
      </c>
      <c r="K1232" s="167">
        <v>2253000000</v>
      </c>
      <c r="L1232" s="168">
        <v>72000000</v>
      </c>
      <c r="M1232" s="168">
        <f t="shared" si="117"/>
        <v>2371984127</v>
      </c>
      <c r="N1232" s="168"/>
      <c r="O1232" s="167">
        <v>2371984127</v>
      </c>
      <c r="P1232" s="167">
        <f t="shared" si="118"/>
        <v>2371984127</v>
      </c>
      <c r="Q1232" s="167"/>
      <c r="S1232" s="201">
        <f t="shared" si="119"/>
        <v>2371.9841270000002</v>
      </c>
      <c r="T1232" s="201">
        <f t="shared" si="120"/>
        <v>2371.9841270000002</v>
      </c>
      <c r="U1232" s="201">
        <f t="shared" si="120"/>
        <v>0</v>
      </c>
      <c r="V1232" s="201">
        <f t="shared" si="120"/>
        <v>2371.9841270000002</v>
      </c>
      <c r="W1232" s="201">
        <f t="shared" si="120"/>
        <v>2371.9841270000002</v>
      </c>
      <c r="X1232" s="201">
        <f t="shared" si="120"/>
        <v>0</v>
      </c>
    </row>
    <row r="1233" spans="1:24" s="169" customFormat="1" ht="13.8">
      <c r="A1233" s="192"/>
      <c r="B1233" s="164" t="s">
        <v>676</v>
      </c>
      <c r="C1233" s="183" t="str">
        <f t="shared" si="115"/>
        <v/>
      </c>
      <c r="D1233" s="182" t="str">
        <f t="shared" si="116"/>
        <v/>
      </c>
      <c r="E1233" s="206"/>
      <c r="F1233" s="207"/>
      <c r="G1233" s="207"/>
      <c r="H1233" s="205"/>
      <c r="I1233" s="167">
        <v>2268984127</v>
      </c>
      <c r="J1233" s="167">
        <v>46984127</v>
      </c>
      <c r="K1233" s="167">
        <v>2150000000</v>
      </c>
      <c r="L1233" s="168">
        <v>72000000</v>
      </c>
      <c r="M1233" s="168">
        <f t="shared" si="117"/>
        <v>2268984127</v>
      </c>
      <c r="N1233" s="168"/>
      <c r="O1233" s="167">
        <v>2268984127</v>
      </c>
      <c r="P1233" s="167">
        <f t="shared" si="118"/>
        <v>2268984127</v>
      </c>
      <c r="Q1233" s="167"/>
      <c r="S1233" s="201">
        <f t="shared" si="119"/>
        <v>2268.9841270000002</v>
      </c>
      <c r="T1233" s="201">
        <f t="shared" si="120"/>
        <v>2268.9841270000002</v>
      </c>
      <c r="U1233" s="201">
        <f t="shared" si="120"/>
        <v>0</v>
      </c>
      <c r="V1233" s="201">
        <f t="shared" si="120"/>
        <v>2268.9841270000002</v>
      </c>
      <c r="W1233" s="201">
        <f t="shared" si="120"/>
        <v>2268.9841270000002</v>
      </c>
      <c r="X1233" s="201">
        <f t="shared" si="120"/>
        <v>0</v>
      </c>
    </row>
    <row r="1234" spans="1:24" s="169" customFormat="1" ht="13.8">
      <c r="A1234" s="193"/>
      <c r="B1234" s="187"/>
      <c r="C1234" s="183" t="str">
        <f t="shared" si="115"/>
        <v/>
      </c>
      <c r="D1234" s="182" t="str">
        <f t="shared" si="116"/>
        <v/>
      </c>
      <c r="E1234" s="192" t="s">
        <v>666</v>
      </c>
      <c r="F1234" s="192" t="s">
        <v>698</v>
      </c>
      <c r="G1234" s="192" t="s">
        <v>695</v>
      </c>
      <c r="H1234" s="210" t="s">
        <v>1440</v>
      </c>
      <c r="I1234" s="167">
        <v>2150000000</v>
      </c>
      <c r="J1234" s="166"/>
      <c r="K1234" s="167">
        <v>2150000000</v>
      </c>
      <c r="L1234" s="171"/>
      <c r="M1234" s="168">
        <f t="shared" si="117"/>
        <v>2150000000</v>
      </c>
      <c r="N1234" s="171"/>
      <c r="O1234" s="167">
        <v>2150000000</v>
      </c>
      <c r="P1234" s="167">
        <f t="shared" si="118"/>
        <v>2150000000</v>
      </c>
      <c r="Q1234" s="167"/>
      <c r="S1234" s="201">
        <f t="shared" si="119"/>
        <v>2150</v>
      </c>
      <c r="T1234" s="201">
        <f t="shared" si="120"/>
        <v>2150</v>
      </c>
      <c r="U1234" s="201">
        <f t="shared" si="120"/>
        <v>0</v>
      </c>
      <c r="V1234" s="201">
        <f t="shared" si="120"/>
        <v>2150</v>
      </c>
      <c r="W1234" s="201">
        <f t="shared" si="120"/>
        <v>2150</v>
      </c>
      <c r="X1234" s="201">
        <f t="shared" si="120"/>
        <v>0</v>
      </c>
    </row>
    <row r="1235" spans="1:24" s="169" customFormat="1" ht="13.8">
      <c r="A1235" s="195"/>
      <c r="B1235" s="188"/>
      <c r="C1235" s="183" t="str">
        <f t="shared" si="115"/>
        <v/>
      </c>
      <c r="D1235" s="182" t="str">
        <f t="shared" si="116"/>
        <v/>
      </c>
      <c r="E1235" s="192" t="s">
        <v>679</v>
      </c>
      <c r="F1235" s="192" t="s">
        <v>698</v>
      </c>
      <c r="G1235" s="192" t="s">
        <v>695</v>
      </c>
      <c r="H1235" s="210" t="s">
        <v>1440</v>
      </c>
      <c r="I1235" s="167">
        <v>118984127</v>
      </c>
      <c r="J1235" s="167">
        <v>46984127</v>
      </c>
      <c r="K1235" s="166"/>
      <c r="L1235" s="168">
        <v>72000000</v>
      </c>
      <c r="M1235" s="168">
        <f t="shared" si="117"/>
        <v>118984127</v>
      </c>
      <c r="N1235" s="168"/>
      <c r="O1235" s="167">
        <v>118984127</v>
      </c>
      <c r="P1235" s="167">
        <f t="shared" si="118"/>
        <v>118984127</v>
      </c>
      <c r="Q1235" s="167"/>
      <c r="S1235" s="201">
        <f t="shared" si="119"/>
        <v>118.984127</v>
      </c>
      <c r="T1235" s="201">
        <f t="shared" si="120"/>
        <v>118.984127</v>
      </c>
      <c r="U1235" s="201">
        <f t="shared" si="120"/>
        <v>0</v>
      </c>
      <c r="V1235" s="201">
        <f t="shared" si="120"/>
        <v>118.984127</v>
      </c>
      <c r="W1235" s="201">
        <f t="shared" si="120"/>
        <v>118.984127</v>
      </c>
      <c r="X1235" s="201">
        <f t="shared" si="120"/>
        <v>0</v>
      </c>
    </row>
    <row r="1236" spans="1:24" s="169" customFormat="1" ht="13.8">
      <c r="A1236" s="192"/>
      <c r="B1236" s="164" t="s">
        <v>680</v>
      </c>
      <c r="C1236" s="183" t="str">
        <f t="shared" si="115"/>
        <v/>
      </c>
      <c r="D1236" s="182" t="str">
        <f t="shared" si="116"/>
        <v/>
      </c>
      <c r="E1236" s="206"/>
      <c r="F1236" s="207"/>
      <c r="G1236" s="207"/>
      <c r="H1236" s="205"/>
      <c r="I1236" s="167">
        <v>103000000</v>
      </c>
      <c r="J1236" s="166"/>
      <c r="K1236" s="167">
        <v>103000000</v>
      </c>
      <c r="L1236" s="171"/>
      <c r="M1236" s="168">
        <f t="shared" si="117"/>
        <v>103000000</v>
      </c>
      <c r="N1236" s="171"/>
      <c r="O1236" s="167">
        <v>103000000</v>
      </c>
      <c r="P1236" s="167">
        <f t="shared" si="118"/>
        <v>103000000</v>
      </c>
      <c r="Q1236" s="167"/>
      <c r="S1236" s="201">
        <f t="shared" si="119"/>
        <v>103</v>
      </c>
      <c r="T1236" s="201">
        <f t="shared" si="120"/>
        <v>103</v>
      </c>
      <c r="U1236" s="201">
        <f t="shared" si="120"/>
        <v>0</v>
      </c>
      <c r="V1236" s="201">
        <f t="shared" si="120"/>
        <v>103</v>
      </c>
      <c r="W1236" s="201">
        <f t="shared" si="120"/>
        <v>103</v>
      </c>
      <c r="X1236" s="201">
        <f t="shared" si="120"/>
        <v>0</v>
      </c>
    </row>
    <row r="1237" spans="1:24" s="169" customFormat="1" ht="13.8">
      <c r="A1237" s="192"/>
      <c r="B1237" s="164"/>
      <c r="C1237" s="183" t="str">
        <f t="shared" si="115"/>
        <v/>
      </c>
      <c r="D1237" s="182" t="str">
        <f t="shared" si="116"/>
        <v/>
      </c>
      <c r="E1237" s="192" t="s">
        <v>681</v>
      </c>
      <c r="F1237" s="192" t="s">
        <v>698</v>
      </c>
      <c r="G1237" s="192" t="s">
        <v>699</v>
      </c>
      <c r="H1237" s="210" t="s">
        <v>1440</v>
      </c>
      <c r="I1237" s="167">
        <v>103000000</v>
      </c>
      <c r="J1237" s="166"/>
      <c r="K1237" s="167">
        <v>103000000</v>
      </c>
      <c r="L1237" s="171"/>
      <c r="M1237" s="168">
        <f t="shared" si="117"/>
        <v>103000000</v>
      </c>
      <c r="N1237" s="171"/>
      <c r="O1237" s="167">
        <v>103000000</v>
      </c>
      <c r="P1237" s="167">
        <f t="shared" si="118"/>
        <v>103000000</v>
      </c>
      <c r="Q1237" s="167"/>
      <c r="S1237" s="201">
        <f t="shared" si="119"/>
        <v>103</v>
      </c>
      <c r="T1237" s="201">
        <f t="shared" si="120"/>
        <v>103</v>
      </c>
      <c r="U1237" s="201">
        <f t="shared" si="120"/>
        <v>0</v>
      </c>
      <c r="V1237" s="201">
        <f t="shared" si="120"/>
        <v>103</v>
      </c>
      <c r="W1237" s="201">
        <f t="shared" si="120"/>
        <v>103</v>
      </c>
      <c r="X1237" s="201">
        <f t="shared" si="120"/>
        <v>0</v>
      </c>
    </row>
    <row r="1238" spans="1:24" s="169" customFormat="1" ht="13.8">
      <c r="A1238" s="192" t="s">
        <v>1211</v>
      </c>
      <c r="B1238" s="164" t="s">
        <v>1212</v>
      </c>
      <c r="C1238" s="183" t="str">
        <f t="shared" ref="C1238:C1301" si="121">IF(B1238&lt;&gt;"",IF(AND(LEFT(B1238,1)&gt;="0",LEFT(B1238,1)&lt;="9"),LEFT(B1238,7),""),"")</f>
        <v>1082897</v>
      </c>
      <c r="D1238" s="182" t="str">
        <f t="shared" si="116"/>
        <v>-BQL Rừng phòng hộ Đăk Hà</v>
      </c>
      <c r="E1238" s="206"/>
      <c r="F1238" s="207"/>
      <c r="G1238" s="207"/>
      <c r="H1238" s="205"/>
      <c r="I1238" s="167">
        <v>3556000000</v>
      </c>
      <c r="J1238" s="166"/>
      <c r="K1238" s="167">
        <v>2410000000</v>
      </c>
      <c r="L1238" s="168">
        <v>1146000000</v>
      </c>
      <c r="M1238" s="168">
        <f t="shared" si="117"/>
        <v>3556000000</v>
      </c>
      <c r="N1238" s="168"/>
      <c r="O1238" s="167">
        <v>2468000000</v>
      </c>
      <c r="P1238" s="167">
        <f t="shared" si="118"/>
        <v>2468000000</v>
      </c>
      <c r="Q1238" s="167"/>
      <c r="S1238" s="201">
        <f t="shared" si="119"/>
        <v>3556</v>
      </c>
      <c r="T1238" s="201">
        <f t="shared" si="120"/>
        <v>3556</v>
      </c>
      <c r="U1238" s="201">
        <f t="shared" si="120"/>
        <v>0</v>
      </c>
      <c r="V1238" s="201">
        <f t="shared" si="120"/>
        <v>2468</v>
      </c>
      <c r="W1238" s="201">
        <f t="shared" si="120"/>
        <v>2468</v>
      </c>
      <c r="X1238" s="201">
        <f t="shared" si="120"/>
        <v>0</v>
      </c>
    </row>
    <row r="1239" spans="1:24" s="169" customFormat="1" ht="13.8">
      <c r="A1239" s="192" t="s">
        <v>1213</v>
      </c>
      <c r="B1239" s="164" t="s">
        <v>675</v>
      </c>
      <c r="C1239" s="183" t="str">
        <f t="shared" si="121"/>
        <v/>
      </c>
      <c r="D1239" s="182" t="str">
        <f t="shared" ref="D1239:D1302" si="122">IF(C1239&lt;&gt;"",RIGHT(B1239,LEN(B1239)-7),"")</f>
        <v/>
      </c>
      <c r="E1239" s="206"/>
      <c r="F1239" s="207"/>
      <c r="G1239" s="207"/>
      <c r="H1239" s="205"/>
      <c r="I1239" s="167">
        <v>2468000000</v>
      </c>
      <c r="J1239" s="166"/>
      <c r="K1239" s="167">
        <v>2410000000</v>
      </c>
      <c r="L1239" s="168">
        <v>58000000</v>
      </c>
      <c r="M1239" s="168">
        <f t="shared" ref="M1239:M1302" si="123">I1239-N1239</f>
        <v>2468000000</v>
      </c>
      <c r="N1239" s="168"/>
      <c r="O1239" s="167">
        <v>2468000000</v>
      </c>
      <c r="P1239" s="167">
        <f t="shared" ref="P1239:P1302" si="124">O1239-Q1239</f>
        <v>2468000000</v>
      </c>
      <c r="Q1239" s="167"/>
      <c r="S1239" s="201">
        <f t="shared" ref="S1239:S1302" si="125">I1239/1000000</f>
        <v>2468</v>
      </c>
      <c r="T1239" s="201">
        <f t="shared" si="120"/>
        <v>2468</v>
      </c>
      <c r="U1239" s="201">
        <f t="shared" si="120"/>
        <v>0</v>
      </c>
      <c r="V1239" s="201">
        <f t="shared" si="120"/>
        <v>2468</v>
      </c>
      <c r="W1239" s="201">
        <f t="shared" si="120"/>
        <v>2468</v>
      </c>
      <c r="X1239" s="201">
        <f t="shared" si="120"/>
        <v>0</v>
      </c>
    </row>
    <row r="1240" spans="1:24" s="169" customFormat="1" ht="13.8">
      <c r="A1240" s="192"/>
      <c r="B1240" s="164" t="s">
        <v>680</v>
      </c>
      <c r="C1240" s="183" t="str">
        <f t="shared" si="121"/>
        <v/>
      </c>
      <c r="D1240" s="182" t="str">
        <f t="shared" si="122"/>
        <v/>
      </c>
      <c r="E1240" s="206"/>
      <c r="F1240" s="207"/>
      <c r="G1240" s="207"/>
      <c r="H1240" s="205"/>
      <c r="I1240" s="167">
        <v>2468000000</v>
      </c>
      <c r="J1240" s="166"/>
      <c r="K1240" s="167">
        <v>2410000000</v>
      </c>
      <c r="L1240" s="168">
        <v>58000000</v>
      </c>
      <c r="M1240" s="168">
        <f t="shared" si="123"/>
        <v>2468000000</v>
      </c>
      <c r="N1240" s="168"/>
      <c r="O1240" s="167">
        <v>2468000000</v>
      </c>
      <c r="P1240" s="167">
        <f t="shared" si="124"/>
        <v>2468000000</v>
      </c>
      <c r="Q1240" s="167"/>
      <c r="S1240" s="201">
        <f t="shared" si="125"/>
        <v>2468</v>
      </c>
      <c r="T1240" s="201">
        <f t="shared" si="120"/>
        <v>2468</v>
      </c>
      <c r="U1240" s="201">
        <f t="shared" si="120"/>
        <v>0</v>
      </c>
      <c r="V1240" s="201">
        <f t="shared" si="120"/>
        <v>2468</v>
      </c>
      <c r="W1240" s="201">
        <f t="shared" si="120"/>
        <v>2468</v>
      </c>
      <c r="X1240" s="201">
        <f t="shared" si="120"/>
        <v>0</v>
      </c>
    </row>
    <row r="1241" spans="1:24" s="169" customFormat="1" ht="13.8">
      <c r="A1241" s="192"/>
      <c r="B1241" s="164"/>
      <c r="C1241" s="183" t="str">
        <f t="shared" si="121"/>
        <v/>
      </c>
      <c r="D1241" s="182" t="str">
        <f t="shared" si="122"/>
        <v/>
      </c>
      <c r="E1241" s="192" t="s">
        <v>681</v>
      </c>
      <c r="F1241" s="192" t="s">
        <v>698</v>
      </c>
      <c r="G1241" s="192" t="s">
        <v>699</v>
      </c>
      <c r="H1241" s="210" t="s">
        <v>1440</v>
      </c>
      <c r="I1241" s="167">
        <v>2410000000</v>
      </c>
      <c r="J1241" s="166"/>
      <c r="K1241" s="167">
        <v>2410000000</v>
      </c>
      <c r="L1241" s="171"/>
      <c r="M1241" s="168">
        <f t="shared" si="123"/>
        <v>2410000000</v>
      </c>
      <c r="N1241" s="171"/>
      <c r="O1241" s="167">
        <v>2410000000</v>
      </c>
      <c r="P1241" s="167">
        <f t="shared" si="124"/>
        <v>2410000000</v>
      </c>
      <c r="Q1241" s="167"/>
      <c r="S1241" s="201">
        <f t="shared" si="125"/>
        <v>2410</v>
      </c>
      <c r="T1241" s="201">
        <f t="shared" si="120"/>
        <v>2410</v>
      </c>
      <c r="U1241" s="201">
        <f t="shared" si="120"/>
        <v>0</v>
      </c>
      <c r="V1241" s="201">
        <f t="shared" si="120"/>
        <v>2410</v>
      </c>
      <c r="W1241" s="201">
        <f t="shared" si="120"/>
        <v>2410</v>
      </c>
      <c r="X1241" s="201">
        <f t="shared" si="120"/>
        <v>0</v>
      </c>
    </row>
    <row r="1242" spans="1:24" s="169" customFormat="1" ht="13.8">
      <c r="A1242" s="192"/>
      <c r="B1242" s="173"/>
      <c r="C1242" s="183" t="str">
        <f t="shared" si="121"/>
        <v/>
      </c>
      <c r="D1242" s="182" t="str">
        <f t="shared" si="122"/>
        <v/>
      </c>
      <c r="E1242" s="192"/>
      <c r="F1242" s="192"/>
      <c r="G1242" s="192"/>
      <c r="H1242" s="210"/>
      <c r="I1242" s="174"/>
      <c r="J1242" s="174"/>
      <c r="K1242" s="174"/>
      <c r="L1242" s="175"/>
      <c r="M1242" s="168">
        <f t="shared" si="123"/>
        <v>0</v>
      </c>
      <c r="N1242" s="175"/>
      <c r="O1242" s="174"/>
      <c r="P1242" s="167">
        <f t="shared" si="124"/>
        <v>0</v>
      </c>
      <c r="Q1242" s="174"/>
      <c r="S1242" s="201">
        <f t="shared" si="125"/>
        <v>0</v>
      </c>
      <c r="T1242" s="201">
        <f t="shared" si="120"/>
        <v>0</v>
      </c>
      <c r="U1242" s="201">
        <f t="shared" si="120"/>
        <v>0</v>
      </c>
      <c r="V1242" s="201">
        <f t="shared" si="120"/>
        <v>0</v>
      </c>
      <c r="W1242" s="201">
        <f t="shared" si="120"/>
        <v>0</v>
      </c>
      <c r="X1242" s="201">
        <f t="shared" si="120"/>
        <v>0</v>
      </c>
    </row>
    <row r="1243" spans="1:24" s="169" customFormat="1" ht="13.8">
      <c r="A1243" s="192"/>
      <c r="B1243" s="164"/>
      <c r="C1243" s="183" t="str">
        <f t="shared" si="121"/>
        <v/>
      </c>
      <c r="D1243" s="182" t="str">
        <f t="shared" si="122"/>
        <v/>
      </c>
      <c r="E1243" s="192" t="s">
        <v>679</v>
      </c>
      <c r="F1243" s="192" t="s">
        <v>698</v>
      </c>
      <c r="G1243" s="192" t="s">
        <v>699</v>
      </c>
      <c r="H1243" s="210" t="s">
        <v>1440</v>
      </c>
      <c r="I1243" s="167">
        <v>58000000</v>
      </c>
      <c r="J1243" s="166"/>
      <c r="K1243" s="166"/>
      <c r="L1243" s="168">
        <v>58000000</v>
      </c>
      <c r="M1243" s="168">
        <f t="shared" si="123"/>
        <v>58000000</v>
      </c>
      <c r="N1243" s="168"/>
      <c r="O1243" s="167">
        <v>58000000</v>
      </c>
      <c r="P1243" s="167">
        <f t="shared" si="124"/>
        <v>58000000</v>
      </c>
      <c r="Q1243" s="167"/>
      <c r="S1243" s="201">
        <f t="shared" si="125"/>
        <v>58</v>
      </c>
      <c r="T1243" s="201">
        <f t="shared" si="120"/>
        <v>58</v>
      </c>
      <c r="U1243" s="201">
        <f t="shared" si="120"/>
        <v>0</v>
      </c>
      <c r="V1243" s="201">
        <f t="shared" si="120"/>
        <v>58</v>
      </c>
      <c r="W1243" s="201">
        <f t="shared" si="120"/>
        <v>58</v>
      </c>
      <c r="X1243" s="201">
        <f t="shared" si="120"/>
        <v>0</v>
      </c>
    </row>
    <row r="1244" spans="1:24" s="169" customFormat="1" ht="13.8">
      <c r="A1244" s="192" t="s">
        <v>1214</v>
      </c>
      <c r="B1244" s="164" t="s">
        <v>731</v>
      </c>
      <c r="C1244" s="183" t="str">
        <f t="shared" si="121"/>
        <v/>
      </c>
      <c r="D1244" s="182" t="str">
        <f t="shared" si="122"/>
        <v/>
      </c>
      <c r="E1244" s="206"/>
      <c r="F1244" s="207"/>
      <c r="G1244" s="207"/>
      <c r="H1244" s="205"/>
      <c r="I1244" s="167">
        <v>1088000000</v>
      </c>
      <c r="J1244" s="166"/>
      <c r="K1244" s="166"/>
      <c r="L1244" s="168">
        <v>1088000000</v>
      </c>
      <c r="M1244" s="168">
        <f t="shared" si="123"/>
        <v>1088000000</v>
      </c>
      <c r="N1244" s="168"/>
      <c r="O1244" s="166"/>
      <c r="P1244" s="167">
        <f t="shared" si="124"/>
        <v>0</v>
      </c>
      <c r="Q1244" s="166"/>
      <c r="S1244" s="201">
        <f t="shared" si="125"/>
        <v>1088</v>
      </c>
      <c r="T1244" s="201">
        <f t="shared" si="120"/>
        <v>1088</v>
      </c>
      <c r="U1244" s="201">
        <f t="shared" si="120"/>
        <v>0</v>
      </c>
      <c r="V1244" s="201">
        <f t="shared" si="120"/>
        <v>0</v>
      </c>
      <c r="W1244" s="201">
        <f t="shared" si="120"/>
        <v>0</v>
      </c>
      <c r="X1244" s="201">
        <f t="shared" si="120"/>
        <v>0</v>
      </c>
    </row>
    <row r="1245" spans="1:24" s="169" customFormat="1" ht="13.8">
      <c r="A1245" s="192"/>
      <c r="B1245" s="164"/>
      <c r="C1245" s="183" t="str">
        <f t="shared" si="121"/>
        <v/>
      </c>
      <c r="D1245" s="182" t="str">
        <f t="shared" si="122"/>
        <v/>
      </c>
      <c r="E1245" s="192" t="s">
        <v>667</v>
      </c>
      <c r="F1245" s="192" t="s">
        <v>698</v>
      </c>
      <c r="G1245" s="192" t="s">
        <v>699</v>
      </c>
      <c r="H1245" s="210" t="s">
        <v>1441</v>
      </c>
      <c r="I1245" s="167">
        <v>1088000000</v>
      </c>
      <c r="J1245" s="166"/>
      <c r="K1245" s="166"/>
      <c r="L1245" s="168">
        <v>1088000000</v>
      </c>
      <c r="M1245" s="168">
        <f t="shared" si="123"/>
        <v>1088000000</v>
      </c>
      <c r="N1245" s="168"/>
      <c r="O1245" s="166"/>
      <c r="P1245" s="167">
        <f t="shared" si="124"/>
        <v>0</v>
      </c>
      <c r="Q1245" s="166"/>
      <c r="S1245" s="201">
        <f t="shared" si="125"/>
        <v>1088</v>
      </c>
      <c r="T1245" s="201">
        <f t="shared" si="120"/>
        <v>1088</v>
      </c>
      <c r="U1245" s="201">
        <f t="shared" si="120"/>
        <v>0</v>
      </c>
      <c r="V1245" s="201">
        <f t="shared" si="120"/>
        <v>0</v>
      </c>
      <c r="W1245" s="201">
        <f t="shared" si="120"/>
        <v>0</v>
      </c>
      <c r="X1245" s="201">
        <f t="shared" si="120"/>
        <v>0</v>
      </c>
    </row>
    <row r="1246" spans="1:24" s="169" customFormat="1" ht="39.6">
      <c r="A1246" s="192" t="s">
        <v>1215</v>
      </c>
      <c r="B1246" s="176" t="s">
        <v>1216</v>
      </c>
      <c r="C1246" s="183" t="str">
        <f t="shared" si="121"/>
        <v>1082898</v>
      </c>
      <c r="D1246" s="182" t="str">
        <f t="shared" si="122"/>
        <v>-BQL Rừng Phòng hộ Tu Mơ Rông - huyện Tu Mơ Rông - tỉnh &lt;ontum</v>
      </c>
      <c r="E1246" s="206"/>
      <c r="F1246" s="207"/>
      <c r="G1246" s="207"/>
      <c r="H1246" s="205"/>
      <c r="I1246" s="167">
        <v>3471500000</v>
      </c>
      <c r="J1246" s="166"/>
      <c r="K1246" s="167">
        <v>2604000000</v>
      </c>
      <c r="L1246" s="168">
        <v>867500000</v>
      </c>
      <c r="M1246" s="168">
        <f t="shared" si="123"/>
        <v>3471500000</v>
      </c>
      <c r="N1246" s="168"/>
      <c r="O1246" s="167">
        <v>2673500000</v>
      </c>
      <c r="P1246" s="167">
        <f t="shared" si="124"/>
        <v>2673500000</v>
      </c>
      <c r="Q1246" s="167"/>
      <c r="S1246" s="201">
        <f t="shared" si="125"/>
        <v>3471.5</v>
      </c>
      <c r="T1246" s="201">
        <f t="shared" si="120"/>
        <v>3471.5</v>
      </c>
      <c r="U1246" s="201">
        <f t="shared" si="120"/>
        <v>0</v>
      </c>
      <c r="V1246" s="201">
        <f t="shared" si="120"/>
        <v>2673.5</v>
      </c>
      <c r="W1246" s="201">
        <f t="shared" si="120"/>
        <v>2673.5</v>
      </c>
      <c r="X1246" s="201">
        <f t="shared" si="120"/>
        <v>0</v>
      </c>
    </row>
    <row r="1247" spans="1:24" s="169" customFormat="1" ht="13.8">
      <c r="A1247" s="192" t="s">
        <v>1217</v>
      </c>
      <c r="B1247" s="164" t="s">
        <v>675</v>
      </c>
      <c r="C1247" s="183" t="str">
        <f t="shared" si="121"/>
        <v/>
      </c>
      <c r="D1247" s="182" t="str">
        <f t="shared" si="122"/>
        <v/>
      </c>
      <c r="E1247" s="206"/>
      <c r="F1247" s="207"/>
      <c r="G1247" s="207"/>
      <c r="H1247" s="205"/>
      <c r="I1247" s="167">
        <v>2673500000</v>
      </c>
      <c r="J1247" s="166"/>
      <c r="K1247" s="167">
        <v>2604000000</v>
      </c>
      <c r="L1247" s="168">
        <v>69500000</v>
      </c>
      <c r="M1247" s="168">
        <f t="shared" si="123"/>
        <v>2673500000</v>
      </c>
      <c r="N1247" s="168"/>
      <c r="O1247" s="167">
        <v>2673500000</v>
      </c>
      <c r="P1247" s="167">
        <f t="shared" si="124"/>
        <v>2673500000</v>
      </c>
      <c r="Q1247" s="167"/>
      <c r="S1247" s="201">
        <f t="shared" si="125"/>
        <v>2673.5</v>
      </c>
      <c r="T1247" s="201">
        <f t="shared" si="120"/>
        <v>2673.5</v>
      </c>
      <c r="U1247" s="201">
        <f t="shared" si="120"/>
        <v>0</v>
      </c>
      <c r="V1247" s="201">
        <f t="shared" si="120"/>
        <v>2673.5</v>
      </c>
      <c r="W1247" s="201">
        <f t="shared" si="120"/>
        <v>2673.5</v>
      </c>
      <c r="X1247" s="201">
        <f t="shared" si="120"/>
        <v>0</v>
      </c>
    </row>
    <row r="1248" spans="1:24" s="169" customFormat="1" ht="13.8">
      <c r="A1248" s="192"/>
      <c r="B1248" s="164" t="s">
        <v>680</v>
      </c>
      <c r="C1248" s="183" t="str">
        <f t="shared" si="121"/>
        <v/>
      </c>
      <c r="D1248" s="182" t="str">
        <f t="shared" si="122"/>
        <v/>
      </c>
      <c r="E1248" s="206"/>
      <c r="F1248" s="207"/>
      <c r="G1248" s="207"/>
      <c r="H1248" s="205"/>
      <c r="I1248" s="167">
        <v>2673500000</v>
      </c>
      <c r="J1248" s="166"/>
      <c r="K1248" s="167">
        <v>2604000000</v>
      </c>
      <c r="L1248" s="168">
        <v>69500000</v>
      </c>
      <c r="M1248" s="168">
        <f t="shared" si="123"/>
        <v>2673500000</v>
      </c>
      <c r="N1248" s="168"/>
      <c r="O1248" s="167">
        <v>2673500000</v>
      </c>
      <c r="P1248" s="167">
        <f t="shared" si="124"/>
        <v>2673500000</v>
      </c>
      <c r="Q1248" s="167"/>
      <c r="S1248" s="201">
        <f t="shared" si="125"/>
        <v>2673.5</v>
      </c>
      <c r="T1248" s="201">
        <f t="shared" si="120"/>
        <v>2673.5</v>
      </c>
      <c r="U1248" s="201">
        <f t="shared" si="120"/>
        <v>0</v>
      </c>
      <c r="V1248" s="201">
        <f t="shared" si="120"/>
        <v>2673.5</v>
      </c>
      <c r="W1248" s="201">
        <f t="shared" si="120"/>
        <v>2673.5</v>
      </c>
      <c r="X1248" s="201">
        <f t="shared" si="120"/>
        <v>0</v>
      </c>
    </row>
    <row r="1249" spans="1:24" s="169" customFormat="1" ht="13.8">
      <c r="A1249" s="193"/>
      <c r="B1249" s="187"/>
      <c r="C1249" s="183" t="str">
        <f t="shared" si="121"/>
        <v/>
      </c>
      <c r="D1249" s="182" t="str">
        <f t="shared" si="122"/>
        <v/>
      </c>
      <c r="E1249" s="192" t="s">
        <v>681</v>
      </c>
      <c r="F1249" s="192" t="s">
        <v>698</v>
      </c>
      <c r="G1249" s="192" t="s">
        <v>699</v>
      </c>
      <c r="H1249" s="210" t="s">
        <v>1440</v>
      </c>
      <c r="I1249" s="167">
        <v>2604000000</v>
      </c>
      <c r="J1249" s="166"/>
      <c r="K1249" s="167">
        <v>2604000000</v>
      </c>
      <c r="L1249" s="171"/>
      <c r="M1249" s="168">
        <f t="shared" si="123"/>
        <v>2604000000</v>
      </c>
      <c r="N1249" s="171"/>
      <c r="O1249" s="167">
        <v>2604000000</v>
      </c>
      <c r="P1249" s="167">
        <f t="shared" si="124"/>
        <v>2604000000</v>
      </c>
      <c r="Q1249" s="167"/>
      <c r="S1249" s="201">
        <f t="shared" si="125"/>
        <v>2604</v>
      </c>
      <c r="T1249" s="201">
        <f t="shared" si="120"/>
        <v>2604</v>
      </c>
      <c r="U1249" s="201">
        <f t="shared" si="120"/>
        <v>0</v>
      </c>
      <c r="V1249" s="201">
        <f t="shared" si="120"/>
        <v>2604</v>
      </c>
      <c r="W1249" s="201">
        <f t="shared" si="120"/>
        <v>2604</v>
      </c>
      <c r="X1249" s="201">
        <f t="shared" si="120"/>
        <v>0</v>
      </c>
    </row>
    <row r="1250" spans="1:24" s="169" customFormat="1" ht="13.8">
      <c r="A1250" s="195"/>
      <c r="B1250" s="188"/>
      <c r="C1250" s="183" t="str">
        <f t="shared" si="121"/>
        <v/>
      </c>
      <c r="D1250" s="182" t="str">
        <f t="shared" si="122"/>
        <v/>
      </c>
      <c r="E1250" s="192" t="s">
        <v>679</v>
      </c>
      <c r="F1250" s="192" t="s">
        <v>698</v>
      </c>
      <c r="G1250" s="192" t="s">
        <v>699</v>
      </c>
      <c r="H1250" s="210" t="s">
        <v>1440</v>
      </c>
      <c r="I1250" s="167">
        <v>69500000</v>
      </c>
      <c r="J1250" s="166"/>
      <c r="K1250" s="166"/>
      <c r="L1250" s="168">
        <v>69500000</v>
      </c>
      <c r="M1250" s="168">
        <f t="shared" si="123"/>
        <v>69500000</v>
      </c>
      <c r="N1250" s="168"/>
      <c r="O1250" s="167">
        <v>69500000</v>
      </c>
      <c r="P1250" s="167">
        <f t="shared" si="124"/>
        <v>69500000</v>
      </c>
      <c r="Q1250" s="167"/>
      <c r="S1250" s="201">
        <f t="shared" si="125"/>
        <v>69.5</v>
      </c>
      <c r="T1250" s="201">
        <f t="shared" si="120"/>
        <v>69.5</v>
      </c>
      <c r="U1250" s="201">
        <f t="shared" si="120"/>
        <v>0</v>
      </c>
      <c r="V1250" s="201">
        <f t="shared" si="120"/>
        <v>69.5</v>
      </c>
      <c r="W1250" s="201">
        <f t="shared" si="120"/>
        <v>69.5</v>
      </c>
      <c r="X1250" s="201">
        <f t="shared" si="120"/>
        <v>0</v>
      </c>
    </row>
    <row r="1251" spans="1:24" s="169" customFormat="1" ht="13.8">
      <c r="A1251" s="192" t="s">
        <v>1218</v>
      </c>
      <c r="B1251" s="164" t="s">
        <v>731</v>
      </c>
      <c r="C1251" s="183" t="str">
        <f t="shared" si="121"/>
        <v/>
      </c>
      <c r="D1251" s="182" t="str">
        <f t="shared" si="122"/>
        <v/>
      </c>
      <c r="E1251" s="206"/>
      <c r="F1251" s="207"/>
      <c r="G1251" s="207"/>
      <c r="H1251" s="205"/>
      <c r="I1251" s="167">
        <v>798000000</v>
      </c>
      <c r="J1251" s="166"/>
      <c r="K1251" s="166"/>
      <c r="L1251" s="168">
        <v>798000000</v>
      </c>
      <c r="M1251" s="168">
        <f t="shared" si="123"/>
        <v>798000000</v>
      </c>
      <c r="N1251" s="168"/>
      <c r="O1251" s="166"/>
      <c r="P1251" s="167">
        <f t="shared" si="124"/>
        <v>0</v>
      </c>
      <c r="Q1251" s="166"/>
      <c r="S1251" s="201">
        <f t="shared" si="125"/>
        <v>798</v>
      </c>
      <c r="T1251" s="201">
        <f t="shared" si="120"/>
        <v>798</v>
      </c>
      <c r="U1251" s="201">
        <f t="shared" si="120"/>
        <v>0</v>
      </c>
      <c r="V1251" s="201">
        <f t="shared" si="120"/>
        <v>0</v>
      </c>
      <c r="W1251" s="201">
        <f t="shared" si="120"/>
        <v>0</v>
      </c>
      <c r="X1251" s="201">
        <f t="shared" si="120"/>
        <v>0</v>
      </c>
    </row>
    <row r="1252" spans="1:24" s="169" customFormat="1" ht="13.8">
      <c r="A1252" s="192"/>
      <c r="B1252" s="164"/>
      <c r="C1252" s="183" t="str">
        <f t="shared" si="121"/>
        <v/>
      </c>
      <c r="D1252" s="182" t="str">
        <f t="shared" si="122"/>
        <v/>
      </c>
      <c r="E1252" s="192" t="s">
        <v>667</v>
      </c>
      <c r="F1252" s="192" t="s">
        <v>698</v>
      </c>
      <c r="G1252" s="192" t="s">
        <v>699</v>
      </c>
      <c r="H1252" s="210" t="s">
        <v>1441</v>
      </c>
      <c r="I1252" s="167">
        <v>798000000</v>
      </c>
      <c r="J1252" s="166"/>
      <c r="K1252" s="166"/>
      <c r="L1252" s="168">
        <v>798000000</v>
      </c>
      <c r="M1252" s="168">
        <f t="shared" si="123"/>
        <v>798000000</v>
      </c>
      <c r="N1252" s="168"/>
      <c r="O1252" s="166"/>
      <c r="P1252" s="167">
        <f t="shared" si="124"/>
        <v>0</v>
      </c>
      <c r="Q1252" s="166"/>
      <c r="S1252" s="201">
        <f t="shared" si="125"/>
        <v>798</v>
      </c>
      <c r="T1252" s="201">
        <f t="shared" si="120"/>
        <v>798</v>
      </c>
      <c r="U1252" s="201">
        <f t="shared" si="120"/>
        <v>0</v>
      </c>
      <c r="V1252" s="201">
        <f t="shared" si="120"/>
        <v>0</v>
      </c>
      <c r="W1252" s="201">
        <f t="shared" si="120"/>
        <v>0</v>
      </c>
      <c r="X1252" s="201">
        <f t="shared" si="120"/>
        <v>0</v>
      </c>
    </row>
    <row r="1253" spans="1:24" s="169" customFormat="1" ht="26.4">
      <c r="A1253" s="192" t="s">
        <v>1219</v>
      </c>
      <c r="B1253" s="176" t="s">
        <v>1220</v>
      </c>
      <c r="C1253" s="183" t="str">
        <f t="shared" si="121"/>
        <v>1083231</v>
      </c>
      <c r="D1253" s="182" t="str">
        <f t="shared" si="122"/>
        <v>-Bệnh viện Đa khoa Khu vực Mgọc hồi</v>
      </c>
      <c r="E1253" s="206"/>
      <c r="F1253" s="207"/>
      <c r="G1253" s="207"/>
      <c r="H1253" s="205"/>
      <c r="I1253" s="167">
        <v>6442360000</v>
      </c>
      <c r="J1253" s="166"/>
      <c r="K1253" s="167">
        <v>6244360000</v>
      </c>
      <c r="L1253" s="168">
        <v>198000000</v>
      </c>
      <c r="M1253" s="168">
        <f t="shared" si="123"/>
        <v>6442360000</v>
      </c>
      <c r="N1253" s="168"/>
      <c r="O1253" s="167">
        <v>5354498909</v>
      </c>
      <c r="P1253" s="167">
        <f t="shared" si="124"/>
        <v>5354498909</v>
      </c>
      <c r="Q1253" s="167"/>
      <c r="S1253" s="201">
        <f t="shared" si="125"/>
        <v>6442.36</v>
      </c>
      <c r="T1253" s="201">
        <f t="shared" ref="T1253:X1303" si="126">M1253/1000000</f>
        <v>6442.36</v>
      </c>
      <c r="U1253" s="201">
        <f t="shared" si="126"/>
        <v>0</v>
      </c>
      <c r="V1253" s="201">
        <f t="shared" si="126"/>
        <v>5354.4989089999999</v>
      </c>
      <c r="W1253" s="201">
        <f t="shared" si="126"/>
        <v>5354.4989089999999</v>
      </c>
      <c r="X1253" s="201">
        <f t="shared" si="126"/>
        <v>0</v>
      </c>
    </row>
    <row r="1254" spans="1:24" s="169" customFormat="1" ht="13.8">
      <c r="A1254" s="192" t="s">
        <v>1221</v>
      </c>
      <c r="B1254" s="164" t="s">
        <v>675</v>
      </c>
      <c r="C1254" s="183" t="str">
        <f t="shared" si="121"/>
        <v/>
      </c>
      <c r="D1254" s="182" t="str">
        <f t="shared" si="122"/>
        <v/>
      </c>
      <c r="E1254" s="206"/>
      <c r="F1254" s="207"/>
      <c r="G1254" s="207"/>
      <c r="H1254" s="205"/>
      <c r="I1254" s="167">
        <v>6442360000</v>
      </c>
      <c r="J1254" s="166"/>
      <c r="K1254" s="167">
        <v>6244360000</v>
      </c>
      <c r="L1254" s="168">
        <v>198000000</v>
      </c>
      <c r="M1254" s="168">
        <f t="shared" si="123"/>
        <v>6442360000</v>
      </c>
      <c r="N1254" s="168"/>
      <c r="O1254" s="167">
        <v>5354498909</v>
      </c>
      <c r="P1254" s="167">
        <f t="shared" si="124"/>
        <v>5354498909</v>
      </c>
      <c r="Q1254" s="167"/>
      <c r="S1254" s="201">
        <f t="shared" si="125"/>
        <v>6442.36</v>
      </c>
      <c r="T1254" s="201">
        <f t="shared" si="126"/>
        <v>6442.36</v>
      </c>
      <c r="U1254" s="201">
        <f t="shared" si="126"/>
        <v>0</v>
      </c>
      <c r="V1254" s="201">
        <f t="shared" si="126"/>
        <v>5354.4989089999999</v>
      </c>
      <c r="W1254" s="201">
        <f t="shared" si="126"/>
        <v>5354.4989089999999</v>
      </c>
      <c r="X1254" s="201">
        <f t="shared" si="126"/>
        <v>0</v>
      </c>
    </row>
    <row r="1255" spans="1:24" s="169" customFormat="1" ht="13.8">
      <c r="A1255" s="192"/>
      <c r="B1255" s="164" t="s">
        <v>676</v>
      </c>
      <c r="C1255" s="183" t="str">
        <f t="shared" si="121"/>
        <v/>
      </c>
      <c r="D1255" s="182" t="str">
        <f t="shared" si="122"/>
        <v/>
      </c>
      <c r="E1255" s="206"/>
      <c r="F1255" s="207"/>
      <c r="G1255" s="207"/>
      <c r="H1255" s="205"/>
      <c r="I1255" s="167">
        <v>4694360000</v>
      </c>
      <c r="J1255" s="166"/>
      <c r="K1255" s="167">
        <v>4694360000</v>
      </c>
      <c r="L1255" s="171"/>
      <c r="M1255" s="168">
        <f t="shared" si="123"/>
        <v>4694360000</v>
      </c>
      <c r="N1255" s="171"/>
      <c r="O1255" s="167">
        <v>4694360000</v>
      </c>
      <c r="P1255" s="167">
        <f t="shared" si="124"/>
        <v>4694360000</v>
      </c>
      <c r="Q1255" s="167"/>
      <c r="S1255" s="201">
        <f t="shared" si="125"/>
        <v>4694.3599999999997</v>
      </c>
      <c r="T1255" s="201">
        <f t="shared" si="126"/>
        <v>4694.3599999999997</v>
      </c>
      <c r="U1255" s="201">
        <f t="shared" si="126"/>
        <v>0</v>
      </c>
      <c r="V1255" s="201">
        <f t="shared" si="126"/>
        <v>4694.3599999999997</v>
      </c>
      <c r="W1255" s="201">
        <f t="shared" si="126"/>
        <v>4694.3599999999997</v>
      </c>
      <c r="X1255" s="201">
        <f t="shared" si="126"/>
        <v>0</v>
      </c>
    </row>
    <row r="1256" spans="1:24" s="169" customFormat="1" ht="13.8">
      <c r="A1256" s="192"/>
      <c r="B1256" s="164"/>
      <c r="C1256" s="183" t="str">
        <f t="shared" si="121"/>
        <v/>
      </c>
      <c r="D1256" s="182" t="str">
        <f t="shared" si="122"/>
        <v/>
      </c>
      <c r="E1256" s="192" t="s">
        <v>666</v>
      </c>
      <c r="F1256" s="192" t="s">
        <v>705</v>
      </c>
      <c r="G1256" s="192" t="s">
        <v>976</v>
      </c>
      <c r="H1256" s="210" t="s">
        <v>1440</v>
      </c>
      <c r="I1256" s="167">
        <v>4694360000</v>
      </c>
      <c r="J1256" s="166"/>
      <c r="K1256" s="167">
        <v>4694360000</v>
      </c>
      <c r="L1256" s="171"/>
      <c r="M1256" s="168">
        <f t="shared" si="123"/>
        <v>4694360000</v>
      </c>
      <c r="N1256" s="171"/>
      <c r="O1256" s="167">
        <v>4694360000</v>
      </c>
      <c r="P1256" s="167">
        <f t="shared" si="124"/>
        <v>4694360000</v>
      </c>
      <c r="Q1256" s="167"/>
      <c r="S1256" s="201">
        <f t="shared" si="125"/>
        <v>4694.3599999999997</v>
      </c>
      <c r="T1256" s="201">
        <f t="shared" si="126"/>
        <v>4694.3599999999997</v>
      </c>
      <c r="U1256" s="201">
        <f t="shared" si="126"/>
        <v>0</v>
      </c>
      <c r="V1256" s="201">
        <f t="shared" si="126"/>
        <v>4694.3599999999997</v>
      </c>
      <c r="W1256" s="201">
        <f t="shared" si="126"/>
        <v>4694.3599999999997</v>
      </c>
      <c r="X1256" s="201">
        <f t="shared" si="126"/>
        <v>0</v>
      </c>
    </row>
    <row r="1257" spans="1:24" s="169" customFormat="1" ht="13.8">
      <c r="A1257" s="192"/>
      <c r="B1257" s="164" t="s">
        <v>680</v>
      </c>
      <c r="C1257" s="183" t="str">
        <f t="shared" si="121"/>
        <v/>
      </c>
      <c r="D1257" s="182" t="str">
        <f t="shared" si="122"/>
        <v/>
      </c>
      <c r="E1257" s="206"/>
      <c r="F1257" s="207"/>
      <c r="G1257" s="207"/>
      <c r="H1257" s="205"/>
      <c r="I1257" s="167">
        <v>1748000000</v>
      </c>
      <c r="J1257" s="166"/>
      <c r="K1257" s="167">
        <v>1550000000</v>
      </c>
      <c r="L1257" s="168">
        <v>198000000</v>
      </c>
      <c r="M1257" s="168">
        <f t="shared" si="123"/>
        <v>1748000000</v>
      </c>
      <c r="N1257" s="168"/>
      <c r="O1257" s="167">
        <v>660138909</v>
      </c>
      <c r="P1257" s="167">
        <f t="shared" si="124"/>
        <v>660138909</v>
      </c>
      <c r="Q1257" s="167"/>
      <c r="S1257" s="201">
        <f t="shared" si="125"/>
        <v>1748</v>
      </c>
      <c r="T1257" s="201">
        <f t="shared" si="126"/>
        <v>1748</v>
      </c>
      <c r="U1257" s="201">
        <f t="shared" si="126"/>
        <v>0</v>
      </c>
      <c r="V1257" s="201">
        <f t="shared" si="126"/>
        <v>660.13890900000001</v>
      </c>
      <c r="W1257" s="201">
        <f t="shared" si="126"/>
        <v>660.13890900000001</v>
      </c>
      <c r="X1257" s="201">
        <f t="shared" si="126"/>
        <v>0</v>
      </c>
    </row>
    <row r="1258" spans="1:24" s="169" customFormat="1" ht="13.8">
      <c r="A1258" s="192"/>
      <c r="B1258" s="164"/>
      <c r="C1258" s="183" t="str">
        <f t="shared" si="121"/>
        <v/>
      </c>
      <c r="D1258" s="182" t="str">
        <f t="shared" si="122"/>
        <v/>
      </c>
      <c r="E1258" s="192" t="s">
        <v>681</v>
      </c>
      <c r="F1258" s="192" t="s">
        <v>705</v>
      </c>
      <c r="G1258" s="192" t="s">
        <v>976</v>
      </c>
      <c r="H1258" s="210" t="s">
        <v>1440</v>
      </c>
      <c r="I1258" s="167">
        <v>1748000000</v>
      </c>
      <c r="J1258" s="166"/>
      <c r="K1258" s="167">
        <v>1550000000</v>
      </c>
      <c r="L1258" s="168">
        <v>198000000</v>
      </c>
      <c r="M1258" s="168">
        <f t="shared" si="123"/>
        <v>1748000000</v>
      </c>
      <c r="N1258" s="168"/>
      <c r="O1258" s="167">
        <v>660138909</v>
      </c>
      <c r="P1258" s="167">
        <f t="shared" si="124"/>
        <v>660138909</v>
      </c>
      <c r="Q1258" s="167"/>
      <c r="S1258" s="201">
        <f t="shared" si="125"/>
        <v>1748</v>
      </c>
      <c r="T1258" s="201">
        <f t="shared" si="126"/>
        <v>1748</v>
      </c>
      <c r="U1258" s="201">
        <f t="shared" si="126"/>
        <v>0</v>
      </c>
      <c r="V1258" s="201">
        <f t="shared" si="126"/>
        <v>660.13890900000001</v>
      </c>
      <c r="W1258" s="201">
        <f t="shared" si="126"/>
        <v>660.13890900000001</v>
      </c>
      <c r="X1258" s="201">
        <f t="shared" si="126"/>
        <v>0</v>
      </c>
    </row>
    <row r="1259" spans="1:24" s="169" customFormat="1" ht="26.4">
      <c r="A1259" s="192" t="s">
        <v>1222</v>
      </c>
      <c r="B1259" s="176" t="s">
        <v>1223</v>
      </c>
      <c r="C1259" s="183" t="str">
        <f t="shared" si="121"/>
        <v>1084079</v>
      </c>
      <c r="D1259" s="182" t="str">
        <f t="shared" si="122"/>
        <v>-Trung Tâm Công nghệ rhông tin và TruyỄn thông</v>
      </c>
      <c r="E1259" s="206"/>
      <c r="F1259" s="207"/>
      <c r="G1259" s="207"/>
      <c r="H1259" s="205"/>
      <c r="I1259" s="167">
        <v>542600000</v>
      </c>
      <c r="J1259" s="166"/>
      <c r="K1259" s="167">
        <v>542600000</v>
      </c>
      <c r="L1259" s="171"/>
      <c r="M1259" s="168">
        <f t="shared" si="123"/>
        <v>542600000</v>
      </c>
      <c r="N1259" s="171"/>
      <c r="O1259" s="167">
        <v>485095010</v>
      </c>
      <c r="P1259" s="167">
        <f t="shared" si="124"/>
        <v>485095010</v>
      </c>
      <c r="Q1259" s="167"/>
      <c r="S1259" s="201">
        <f t="shared" si="125"/>
        <v>542.6</v>
      </c>
      <c r="T1259" s="201">
        <f t="shared" si="126"/>
        <v>542.6</v>
      </c>
      <c r="U1259" s="201">
        <f t="shared" si="126"/>
        <v>0</v>
      </c>
      <c r="V1259" s="201">
        <f t="shared" si="126"/>
        <v>485.09501</v>
      </c>
      <c r="W1259" s="201">
        <f t="shared" si="126"/>
        <v>485.09501</v>
      </c>
      <c r="X1259" s="201">
        <f t="shared" si="126"/>
        <v>0</v>
      </c>
    </row>
    <row r="1260" spans="1:24" s="169" customFormat="1" ht="13.8">
      <c r="A1260" s="192" t="s">
        <v>1224</v>
      </c>
      <c r="B1260" s="164" t="s">
        <v>675</v>
      </c>
      <c r="C1260" s="183" t="str">
        <f t="shared" si="121"/>
        <v/>
      </c>
      <c r="D1260" s="182" t="str">
        <f t="shared" si="122"/>
        <v/>
      </c>
      <c r="E1260" s="206"/>
      <c r="F1260" s="207"/>
      <c r="G1260" s="207"/>
      <c r="H1260" s="205"/>
      <c r="I1260" s="167">
        <v>542600000</v>
      </c>
      <c r="J1260" s="166"/>
      <c r="K1260" s="167">
        <v>542600000</v>
      </c>
      <c r="L1260" s="171"/>
      <c r="M1260" s="168">
        <f t="shared" si="123"/>
        <v>542600000</v>
      </c>
      <c r="N1260" s="171"/>
      <c r="O1260" s="167">
        <v>485095010</v>
      </c>
      <c r="P1260" s="167">
        <f t="shared" si="124"/>
        <v>485095010</v>
      </c>
      <c r="Q1260" s="167"/>
      <c r="S1260" s="201">
        <f t="shared" si="125"/>
        <v>542.6</v>
      </c>
      <c r="T1260" s="201">
        <f t="shared" si="126"/>
        <v>542.6</v>
      </c>
      <c r="U1260" s="201">
        <f t="shared" si="126"/>
        <v>0</v>
      </c>
      <c r="V1260" s="201">
        <f t="shared" si="126"/>
        <v>485.09501</v>
      </c>
      <c r="W1260" s="201">
        <f t="shared" si="126"/>
        <v>485.09501</v>
      </c>
      <c r="X1260" s="201">
        <f t="shared" si="126"/>
        <v>0</v>
      </c>
    </row>
    <row r="1261" spans="1:24" s="169" customFormat="1" ht="13.8">
      <c r="A1261" s="192"/>
      <c r="B1261" s="164" t="s">
        <v>676</v>
      </c>
      <c r="C1261" s="183" t="str">
        <f t="shared" si="121"/>
        <v/>
      </c>
      <c r="D1261" s="182" t="str">
        <f t="shared" si="122"/>
        <v/>
      </c>
      <c r="E1261" s="206"/>
      <c r="F1261" s="207"/>
      <c r="G1261" s="207"/>
      <c r="H1261" s="205"/>
      <c r="I1261" s="167">
        <v>262600000</v>
      </c>
      <c r="J1261" s="166"/>
      <c r="K1261" s="167">
        <v>306940000</v>
      </c>
      <c r="L1261" s="168">
        <v>-44340000</v>
      </c>
      <c r="M1261" s="168">
        <f t="shared" si="123"/>
        <v>262600000</v>
      </c>
      <c r="N1261" s="168"/>
      <c r="O1261" s="167">
        <v>262600000</v>
      </c>
      <c r="P1261" s="167">
        <f t="shared" si="124"/>
        <v>262600000</v>
      </c>
      <c r="Q1261" s="167"/>
      <c r="S1261" s="201">
        <f t="shared" si="125"/>
        <v>262.60000000000002</v>
      </c>
      <c r="T1261" s="201">
        <f t="shared" si="126"/>
        <v>262.60000000000002</v>
      </c>
      <c r="U1261" s="201">
        <f t="shared" si="126"/>
        <v>0</v>
      </c>
      <c r="V1261" s="201">
        <f t="shared" si="126"/>
        <v>262.60000000000002</v>
      </c>
      <c r="W1261" s="201">
        <f t="shared" si="126"/>
        <v>262.60000000000002</v>
      </c>
      <c r="X1261" s="201">
        <f t="shared" si="126"/>
        <v>0</v>
      </c>
    </row>
    <row r="1262" spans="1:24" s="169" customFormat="1" ht="13.8">
      <c r="A1262" s="192"/>
      <c r="B1262" s="164"/>
      <c r="C1262" s="183" t="str">
        <f t="shared" si="121"/>
        <v/>
      </c>
      <c r="D1262" s="182" t="str">
        <f t="shared" si="122"/>
        <v/>
      </c>
      <c r="E1262" s="192" t="s">
        <v>666</v>
      </c>
      <c r="F1262" s="192" t="s">
        <v>1140</v>
      </c>
      <c r="G1262" s="192" t="s">
        <v>1225</v>
      </c>
      <c r="H1262" s="210" t="s">
        <v>1440</v>
      </c>
      <c r="I1262" s="167">
        <v>262600000</v>
      </c>
      <c r="J1262" s="166"/>
      <c r="K1262" s="167">
        <v>306940000</v>
      </c>
      <c r="L1262" s="168">
        <v>-44340000</v>
      </c>
      <c r="M1262" s="168">
        <f t="shared" si="123"/>
        <v>262600000</v>
      </c>
      <c r="N1262" s="168"/>
      <c r="O1262" s="167">
        <v>262600000</v>
      </c>
      <c r="P1262" s="167">
        <f t="shared" si="124"/>
        <v>262600000</v>
      </c>
      <c r="Q1262" s="167"/>
      <c r="S1262" s="201">
        <f t="shared" si="125"/>
        <v>262.60000000000002</v>
      </c>
      <c r="T1262" s="201">
        <f t="shared" si="126"/>
        <v>262.60000000000002</v>
      </c>
      <c r="U1262" s="201">
        <f t="shared" si="126"/>
        <v>0</v>
      </c>
      <c r="V1262" s="201">
        <f t="shared" si="126"/>
        <v>262.60000000000002</v>
      </c>
      <c r="W1262" s="201">
        <f t="shared" si="126"/>
        <v>262.60000000000002</v>
      </c>
      <c r="X1262" s="201">
        <f t="shared" si="126"/>
        <v>0</v>
      </c>
    </row>
    <row r="1263" spans="1:24" s="169" customFormat="1" ht="13.8">
      <c r="A1263" s="192"/>
      <c r="B1263" s="164" t="s">
        <v>680</v>
      </c>
      <c r="C1263" s="183" t="str">
        <f t="shared" si="121"/>
        <v/>
      </c>
      <c r="D1263" s="182" t="str">
        <f t="shared" si="122"/>
        <v/>
      </c>
      <c r="E1263" s="206"/>
      <c r="F1263" s="207"/>
      <c r="G1263" s="207"/>
      <c r="H1263" s="205"/>
      <c r="I1263" s="167">
        <v>280000000</v>
      </c>
      <c r="J1263" s="166"/>
      <c r="K1263" s="167">
        <v>235660000</v>
      </c>
      <c r="L1263" s="168">
        <v>44340000</v>
      </c>
      <c r="M1263" s="168">
        <f t="shared" si="123"/>
        <v>280000000</v>
      </c>
      <c r="N1263" s="168"/>
      <c r="O1263" s="167">
        <v>222495010</v>
      </c>
      <c r="P1263" s="167">
        <f t="shared" si="124"/>
        <v>222495010</v>
      </c>
      <c r="Q1263" s="167"/>
      <c r="S1263" s="201">
        <f t="shared" si="125"/>
        <v>280</v>
      </c>
      <c r="T1263" s="201">
        <f t="shared" si="126"/>
        <v>280</v>
      </c>
      <c r="U1263" s="201">
        <f t="shared" si="126"/>
        <v>0</v>
      </c>
      <c r="V1263" s="201">
        <f t="shared" si="126"/>
        <v>222.49501000000001</v>
      </c>
      <c r="W1263" s="201">
        <f t="shared" si="126"/>
        <v>222.49501000000001</v>
      </c>
      <c r="X1263" s="201">
        <f t="shared" si="126"/>
        <v>0</v>
      </c>
    </row>
    <row r="1264" spans="1:24" s="169" customFormat="1" ht="13.8">
      <c r="A1264" s="192"/>
      <c r="B1264" s="164"/>
      <c r="C1264" s="183" t="str">
        <f t="shared" si="121"/>
        <v/>
      </c>
      <c r="D1264" s="182" t="str">
        <f t="shared" si="122"/>
        <v/>
      </c>
      <c r="E1264" s="192" t="s">
        <v>681</v>
      </c>
      <c r="F1264" s="192" t="s">
        <v>1140</v>
      </c>
      <c r="G1264" s="192" t="s">
        <v>1225</v>
      </c>
      <c r="H1264" s="210" t="s">
        <v>1440</v>
      </c>
      <c r="I1264" s="167">
        <v>280000000</v>
      </c>
      <c r="J1264" s="166"/>
      <c r="K1264" s="167">
        <v>235660000</v>
      </c>
      <c r="L1264" s="168">
        <v>44340000</v>
      </c>
      <c r="M1264" s="168">
        <f t="shared" si="123"/>
        <v>280000000</v>
      </c>
      <c r="N1264" s="168"/>
      <c r="O1264" s="167">
        <v>222495010</v>
      </c>
      <c r="P1264" s="167">
        <f t="shared" si="124"/>
        <v>222495010</v>
      </c>
      <c r="Q1264" s="167"/>
      <c r="S1264" s="201">
        <f t="shared" si="125"/>
        <v>280</v>
      </c>
      <c r="T1264" s="201">
        <f t="shared" si="126"/>
        <v>280</v>
      </c>
      <c r="U1264" s="201">
        <f t="shared" si="126"/>
        <v>0</v>
      </c>
      <c r="V1264" s="201">
        <f t="shared" si="126"/>
        <v>222.49501000000001</v>
      </c>
      <c r="W1264" s="201">
        <f t="shared" si="126"/>
        <v>222.49501000000001</v>
      </c>
      <c r="X1264" s="201">
        <f t="shared" si="126"/>
        <v>0</v>
      </c>
    </row>
    <row r="1265" spans="1:24" s="169" customFormat="1" ht="26.4">
      <c r="A1265" s="192" t="s">
        <v>1226</v>
      </c>
      <c r="B1265" s="176" t="s">
        <v>1227</v>
      </c>
      <c r="C1265" s="183" t="str">
        <f t="shared" si="121"/>
        <v>1090829</v>
      </c>
      <c r="D1265" s="182" t="str">
        <f t="shared" si="122"/>
        <v>-Trung tâm Dịch vụ đãu giá tà' sản</v>
      </c>
      <c r="E1265" s="206"/>
      <c r="F1265" s="207"/>
      <c r="G1265" s="207"/>
      <c r="H1265" s="205"/>
      <c r="I1265" s="167">
        <v>286000000</v>
      </c>
      <c r="J1265" s="166"/>
      <c r="K1265" s="167">
        <v>446253000</v>
      </c>
      <c r="L1265" s="168">
        <v>-160253000</v>
      </c>
      <c r="M1265" s="168">
        <f t="shared" si="123"/>
        <v>286000000</v>
      </c>
      <c r="N1265" s="168"/>
      <c r="O1265" s="167">
        <v>286000000</v>
      </c>
      <c r="P1265" s="167">
        <f t="shared" si="124"/>
        <v>286000000</v>
      </c>
      <c r="Q1265" s="167"/>
      <c r="S1265" s="201">
        <f t="shared" si="125"/>
        <v>286</v>
      </c>
      <c r="T1265" s="201">
        <f t="shared" si="126"/>
        <v>286</v>
      </c>
      <c r="U1265" s="201">
        <f t="shared" si="126"/>
        <v>0</v>
      </c>
      <c r="V1265" s="201">
        <f t="shared" si="126"/>
        <v>286</v>
      </c>
      <c r="W1265" s="201">
        <f t="shared" si="126"/>
        <v>286</v>
      </c>
      <c r="X1265" s="201">
        <f t="shared" si="126"/>
        <v>0</v>
      </c>
    </row>
    <row r="1266" spans="1:24" s="169" customFormat="1" ht="13.8">
      <c r="A1266" s="192" t="s">
        <v>1228</v>
      </c>
      <c r="B1266" s="164" t="s">
        <v>675</v>
      </c>
      <c r="C1266" s="183" t="str">
        <f t="shared" si="121"/>
        <v/>
      </c>
      <c r="D1266" s="182" t="str">
        <f t="shared" si="122"/>
        <v/>
      </c>
      <c r="E1266" s="206"/>
      <c r="F1266" s="207"/>
      <c r="G1266" s="207"/>
      <c r="H1266" s="205"/>
      <c r="I1266" s="167">
        <v>286000000</v>
      </c>
      <c r="J1266" s="166"/>
      <c r="K1266" s="167">
        <v>446253000</v>
      </c>
      <c r="L1266" s="168">
        <v>-160253000</v>
      </c>
      <c r="M1266" s="168">
        <f t="shared" si="123"/>
        <v>286000000</v>
      </c>
      <c r="N1266" s="168"/>
      <c r="O1266" s="167">
        <v>286000000</v>
      </c>
      <c r="P1266" s="167">
        <f t="shared" si="124"/>
        <v>286000000</v>
      </c>
      <c r="Q1266" s="167"/>
      <c r="S1266" s="201">
        <f t="shared" si="125"/>
        <v>286</v>
      </c>
      <c r="T1266" s="201">
        <f t="shared" si="126"/>
        <v>286</v>
      </c>
      <c r="U1266" s="201">
        <f t="shared" si="126"/>
        <v>0</v>
      </c>
      <c r="V1266" s="201">
        <f t="shared" si="126"/>
        <v>286</v>
      </c>
      <c r="W1266" s="201">
        <f t="shared" si="126"/>
        <v>286</v>
      </c>
      <c r="X1266" s="201">
        <f t="shared" si="126"/>
        <v>0</v>
      </c>
    </row>
    <row r="1267" spans="1:24" s="169" customFormat="1" ht="13.8">
      <c r="A1267" s="192"/>
      <c r="B1267" s="164" t="s">
        <v>676</v>
      </c>
      <c r="C1267" s="183" t="str">
        <f t="shared" si="121"/>
        <v/>
      </c>
      <c r="D1267" s="182" t="str">
        <f t="shared" si="122"/>
        <v/>
      </c>
      <c r="E1267" s="206"/>
      <c r="F1267" s="207"/>
      <c r="G1267" s="207"/>
      <c r="H1267" s="205"/>
      <c r="I1267" s="167">
        <v>286000000</v>
      </c>
      <c r="J1267" s="166"/>
      <c r="K1267" s="167">
        <v>446253000</v>
      </c>
      <c r="L1267" s="168">
        <v>-160253000</v>
      </c>
      <c r="M1267" s="168">
        <f t="shared" si="123"/>
        <v>286000000</v>
      </c>
      <c r="N1267" s="168"/>
      <c r="O1267" s="167">
        <v>286000000</v>
      </c>
      <c r="P1267" s="167">
        <f t="shared" si="124"/>
        <v>286000000</v>
      </c>
      <c r="Q1267" s="167"/>
      <c r="S1267" s="201">
        <f t="shared" si="125"/>
        <v>286</v>
      </c>
      <c r="T1267" s="201">
        <f t="shared" si="126"/>
        <v>286</v>
      </c>
      <c r="U1267" s="201">
        <f t="shared" si="126"/>
        <v>0</v>
      </c>
      <c r="V1267" s="201">
        <f t="shared" si="126"/>
        <v>286</v>
      </c>
      <c r="W1267" s="201">
        <f t="shared" si="126"/>
        <v>286</v>
      </c>
      <c r="X1267" s="201">
        <f t="shared" si="126"/>
        <v>0</v>
      </c>
    </row>
    <row r="1268" spans="1:24" s="169" customFormat="1" ht="13.8">
      <c r="A1268" s="192"/>
      <c r="B1268" s="164"/>
      <c r="C1268" s="183" t="str">
        <f t="shared" si="121"/>
        <v/>
      </c>
      <c r="D1268" s="182" t="str">
        <f t="shared" si="122"/>
        <v/>
      </c>
      <c r="E1268" s="192" t="s">
        <v>666</v>
      </c>
      <c r="F1268" s="192" t="s">
        <v>854</v>
      </c>
      <c r="G1268" s="192" t="s">
        <v>855</v>
      </c>
      <c r="H1268" s="210" t="s">
        <v>1440</v>
      </c>
      <c r="I1268" s="167">
        <v>286000000</v>
      </c>
      <c r="J1268" s="166"/>
      <c r="K1268" s="167">
        <v>446253000</v>
      </c>
      <c r="L1268" s="168">
        <v>-160253000</v>
      </c>
      <c r="M1268" s="168">
        <f t="shared" si="123"/>
        <v>286000000</v>
      </c>
      <c r="N1268" s="168"/>
      <c r="O1268" s="167">
        <v>286000000</v>
      </c>
      <c r="P1268" s="167">
        <f t="shared" si="124"/>
        <v>286000000</v>
      </c>
      <c r="Q1268" s="167"/>
      <c r="S1268" s="201">
        <f t="shared" si="125"/>
        <v>286</v>
      </c>
      <c r="T1268" s="201">
        <f t="shared" si="126"/>
        <v>286</v>
      </c>
      <c r="U1268" s="201">
        <f t="shared" si="126"/>
        <v>0</v>
      </c>
      <c r="V1268" s="201">
        <f t="shared" si="126"/>
        <v>286</v>
      </c>
      <c r="W1268" s="201">
        <f t="shared" si="126"/>
        <v>286</v>
      </c>
      <c r="X1268" s="201">
        <f t="shared" si="126"/>
        <v>0</v>
      </c>
    </row>
    <row r="1269" spans="1:24" s="169" customFormat="1" ht="26.4">
      <c r="A1269" s="192" t="s">
        <v>1229</v>
      </c>
      <c r="B1269" s="176" t="s">
        <v>1230</v>
      </c>
      <c r="C1269" s="183" t="str">
        <f t="shared" si="121"/>
        <v>1093133</v>
      </c>
      <c r="D1269" s="182" t="str">
        <f t="shared" si="122"/>
        <v>-Ban Quản lý Rừng phòng hộ &lt;on Rẫy</v>
      </c>
      <c r="E1269" s="206"/>
      <c r="F1269" s="207"/>
      <c r="G1269" s="207"/>
      <c r="H1269" s="205"/>
      <c r="I1269" s="167">
        <v>3787000000</v>
      </c>
      <c r="J1269" s="166"/>
      <c r="K1269" s="167">
        <v>2330000000</v>
      </c>
      <c r="L1269" s="168">
        <v>1457000000</v>
      </c>
      <c r="M1269" s="168">
        <f t="shared" si="123"/>
        <v>3787000000</v>
      </c>
      <c r="N1269" s="168"/>
      <c r="O1269" s="167">
        <v>3785094000</v>
      </c>
      <c r="P1269" s="167">
        <f t="shared" si="124"/>
        <v>3785094000</v>
      </c>
      <c r="Q1269" s="167"/>
      <c r="S1269" s="201">
        <f t="shared" si="125"/>
        <v>3787</v>
      </c>
      <c r="T1269" s="201">
        <f t="shared" si="126"/>
        <v>3787</v>
      </c>
      <c r="U1269" s="201">
        <f t="shared" si="126"/>
        <v>0</v>
      </c>
      <c r="V1269" s="201">
        <f t="shared" si="126"/>
        <v>3785.0940000000001</v>
      </c>
      <c r="W1269" s="201">
        <f t="shared" si="126"/>
        <v>3785.0940000000001</v>
      </c>
      <c r="X1269" s="201">
        <f t="shared" si="126"/>
        <v>0</v>
      </c>
    </row>
    <row r="1270" spans="1:24" s="169" customFormat="1" ht="13.8">
      <c r="A1270" s="192" t="s">
        <v>1231</v>
      </c>
      <c r="B1270" s="164" t="s">
        <v>675</v>
      </c>
      <c r="C1270" s="183" t="str">
        <f t="shared" si="121"/>
        <v/>
      </c>
      <c r="D1270" s="182" t="str">
        <f t="shared" si="122"/>
        <v/>
      </c>
      <c r="E1270" s="206"/>
      <c r="F1270" s="207"/>
      <c r="G1270" s="207"/>
      <c r="H1270" s="205"/>
      <c r="I1270" s="167">
        <v>2330000000</v>
      </c>
      <c r="J1270" s="166"/>
      <c r="K1270" s="167">
        <v>2330000000</v>
      </c>
      <c r="L1270" s="171"/>
      <c r="M1270" s="168">
        <f t="shared" si="123"/>
        <v>2330000000</v>
      </c>
      <c r="N1270" s="171"/>
      <c r="O1270" s="167">
        <v>2330000000</v>
      </c>
      <c r="P1270" s="167">
        <f t="shared" si="124"/>
        <v>2330000000</v>
      </c>
      <c r="Q1270" s="167"/>
      <c r="S1270" s="201">
        <f t="shared" si="125"/>
        <v>2330</v>
      </c>
      <c r="T1270" s="201">
        <f t="shared" si="126"/>
        <v>2330</v>
      </c>
      <c r="U1270" s="201">
        <f t="shared" si="126"/>
        <v>0</v>
      </c>
      <c r="V1270" s="201">
        <f t="shared" si="126"/>
        <v>2330</v>
      </c>
      <c r="W1270" s="201">
        <f t="shared" si="126"/>
        <v>2330</v>
      </c>
      <c r="X1270" s="201">
        <f t="shared" si="126"/>
        <v>0</v>
      </c>
    </row>
    <row r="1271" spans="1:24" s="169" customFormat="1" ht="13.8">
      <c r="A1271" s="192"/>
      <c r="B1271" s="164" t="s">
        <v>680</v>
      </c>
      <c r="C1271" s="183" t="str">
        <f t="shared" si="121"/>
        <v/>
      </c>
      <c r="D1271" s="182" t="str">
        <f t="shared" si="122"/>
        <v/>
      </c>
      <c r="E1271" s="206"/>
      <c r="F1271" s="207"/>
      <c r="G1271" s="207"/>
      <c r="H1271" s="205"/>
      <c r="I1271" s="167">
        <v>2330000000</v>
      </c>
      <c r="J1271" s="166"/>
      <c r="K1271" s="167">
        <v>2330000000</v>
      </c>
      <c r="L1271" s="171"/>
      <c r="M1271" s="168">
        <f t="shared" si="123"/>
        <v>2330000000</v>
      </c>
      <c r="N1271" s="171"/>
      <c r="O1271" s="167">
        <v>2330000000</v>
      </c>
      <c r="P1271" s="167">
        <f t="shared" si="124"/>
        <v>2330000000</v>
      </c>
      <c r="Q1271" s="167"/>
      <c r="S1271" s="201">
        <f t="shared" si="125"/>
        <v>2330</v>
      </c>
      <c r="T1271" s="201">
        <f t="shared" si="126"/>
        <v>2330</v>
      </c>
      <c r="U1271" s="201">
        <f t="shared" si="126"/>
        <v>0</v>
      </c>
      <c r="V1271" s="201">
        <f t="shared" si="126"/>
        <v>2330</v>
      </c>
      <c r="W1271" s="201">
        <f t="shared" si="126"/>
        <v>2330</v>
      </c>
      <c r="X1271" s="201">
        <f t="shared" si="126"/>
        <v>0</v>
      </c>
    </row>
    <row r="1272" spans="1:24" s="169" customFormat="1" ht="13.8">
      <c r="A1272" s="192"/>
      <c r="B1272" s="164"/>
      <c r="C1272" s="183" t="str">
        <f t="shared" si="121"/>
        <v/>
      </c>
      <c r="D1272" s="182" t="str">
        <f t="shared" si="122"/>
        <v/>
      </c>
      <c r="E1272" s="192" t="s">
        <v>681</v>
      </c>
      <c r="F1272" s="192" t="s">
        <v>698</v>
      </c>
      <c r="G1272" s="192" t="s">
        <v>699</v>
      </c>
      <c r="H1272" s="210" t="s">
        <v>1440</v>
      </c>
      <c r="I1272" s="167">
        <v>2330000000</v>
      </c>
      <c r="J1272" s="166"/>
      <c r="K1272" s="167">
        <v>2330000000</v>
      </c>
      <c r="L1272" s="171"/>
      <c r="M1272" s="168">
        <f t="shared" si="123"/>
        <v>2330000000</v>
      </c>
      <c r="N1272" s="171"/>
      <c r="O1272" s="167">
        <v>2330000000</v>
      </c>
      <c r="P1272" s="167">
        <f t="shared" si="124"/>
        <v>2330000000</v>
      </c>
      <c r="Q1272" s="167"/>
      <c r="S1272" s="201">
        <f t="shared" si="125"/>
        <v>2330</v>
      </c>
      <c r="T1272" s="201">
        <f t="shared" si="126"/>
        <v>2330</v>
      </c>
      <c r="U1272" s="201">
        <f t="shared" si="126"/>
        <v>0</v>
      </c>
      <c r="V1272" s="201">
        <f t="shared" si="126"/>
        <v>2330</v>
      </c>
      <c r="W1272" s="201">
        <f t="shared" si="126"/>
        <v>2330</v>
      </c>
      <c r="X1272" s="201">
        <f t="shared" si="126"/>
        <v>0</v>
      </c>
    </row>
    <row r="1273" spans="1:24" s="169" customFormat="1" ht="13.8">
      <c r="A1273" s="192"/>
      <c r="B1273" s="173"/>
      <c r="C1273" s="183" t="str">
        <f t="shared" si="121"/>
        <v/>
      </c>
      <c r="D1273" s="182" t="str">
        <f t="shared" si="122"/>
        <v/>
      </c>
      <c r="E1273" s="192"/>
      <c r="F1273" s="192"/>
      <c r="G1273" s="192"/>
      <c r="H1273" s="210"/>
      <c r="I1273" s="174"/>
      <c r="J1273" s="174"/>
      <c r="K1273" s="174"/>
      <c r="L1273" s="175"/>
      <c r="M1273" s="168">
        <f t="shared" si="123"/>
        <v>0</v>
      </c>
      <c r="N1273" s="175"/>
      <c r="O1273" s="174"/>
      <c r="P1273" s="167">
        <f t="shared" si="124"/>
        <v>0</v>
      </c>
      <c r="Q1273" s="174"/>
      <c r="S1273" s="201">
        <f t="shared" si="125"/>
        <v>0</v>
      </c>
      <c r="T1273" s="201">
        <f t="shared" si="126"/>
        <v>0</v>
      </c>
      <c r="U1273" s="201">
        <f t="shared" si="126"/>
        <v>0</v>
      </c>
      <c r="V1273" s="201">
        <f t="shared" si="126"/>
        <v>0</v>
      </c>
      <c r="W1273" s="201">
        <f t="shared" si="126"/>
        <v>0</v>
      </c>
      <c r="X1273" s="201">
        <f t="shared" si="126"/>
        <v>0</v>
      </c>
    </row>
    <row r="1274" spans="1:24" s="169" customFormat="1" ht="13.8">
      <c r="A1274" s="192" t="s">
        <v>1232</v>
      </c>
      <c r="B1274" s="170" t="s">
        <v>731</v>
      </c>
      <c r="C1274" s="183" t="str">
        <f t="shared" si="121"/>
        <v/>
      </c>
      <c r="D1274" s="182" t="str">
        <f t="shared" si="122"/>
        <v/>
      </c>
      <c r="E1274" s="206"/>
      <c r="F1274" s="207"/>
      <c r="G1274" s="207"/>
      <c r="H1274" s="205"/>
      <c r="I1274" s="167">
        <v>1457000000</v>
      </c>
      <c r="J1274" s="166"/>
      <c r="K1274" s="166"/>
      <c r="L1274" s="168">
        <v>1457000000</v>
      </c>
      <c r="M1274" s="168">
        <f t="shared" si="123"/>
        <v>1457000000</v>
      </c>
      <c r="N1274" s="168"/>
      <c r="O1274" s="167">
        <v>1455094000</v>
      </c>
      <c r="P1274" s="167">
        <f t="shared" si="124"/>
        <v>1455094000</v>
      </c>
      <c r="Q1274" s="167"/>
      <c r="S1274" s="201">
        <f t="shared" si="125"/>
        <v>1457</v>
      </c>
      <c r="T1274" s="201">
        <f t="shared" si="126"/>
        <v>1457</v>
      </c>
      <c r="U1274" s="201">
        <f t="shared" si="126"/>
        <v>0</v>
      </c>
      <c r="V1274" s="201">
        <f t="shared" si="126"/>
        <v>1455.0940000000001</v>
      </c>
      <c r="W1274" s="201">
        <f t="shared" si="126"/>
        <v>1455.0940000000001</v>
      </c>
      <c r="X1274" s="201">
        <f t="shared" si="126"/>
        <v>0</v>
      </c>
    </row>
    <row r="1275" spans="1:24" s="169" customFormat="1" ht="13.8">
      <c r="A1275" s="192"/>
      <c r="B1275" s="164"/>
      <c r="C1275" s="183" t="str">
        <f t="shared" si="121"/>
        <v/>
      </c>
      <c r="D1275" s="182" t="str">
        <f t="shared" si="122"/>
        <v/>
      </c>
      <c r="E1275" s="192" t="s">
        <v>667</v>
      </c>
      <c r="F1275" s="192" t="s">
        <v>698</v>
      </c>
      <c r="G1275" s="192" t="s">
        <v>699</v>
      </c>
      <c r="H1275" s="210" t="s">
        <v>1441</v>
      </c>
      <c r="I1275" s="167">
        <v>1457000000</v>
      </c>
      <c r="J1275" s="166"/>
      <c r="K1275" s="166"/>
      <c r="L1275" s="168">
        <v>1457000000</v>
      </c>
      <c r="M1275" s="168">
        <f t="shared" si="123"/>
        <v>1457000000</v>
      </c>
      <c r="N1275" s="168"/>
      <c r="O1275" s="167">
        <v>1455094000</v>
      </c>
      <c r="P1275" s="167">
        <f t="shared" si="124"/>
        <v>1455094000</v>
      </c>
      <c r="Q1275" s="167"/>
      <c r="S1275" s="201">
        <f t="shared" si="125"/>
        <v>1457</v>
      </c>
      <c r="T1275" s="201">
        <f t="shared" si="126"/>
        <v>1457</v>
      </c>
      <c r="U1275" s="201">
        <f t="shared" si="126"/>
        <v>0</v>
      </c>
      <c r="V1275" s="201">
        <f t="shared" si="126"/>
        <v>1455.0940000000001</v>
      </c>
      <c r="W1275" s="201">
        <f t="shared" si="126"/>
        <v>1455.0940000000001</v>
      </c>
      <c r="X1275" s="201">
        <f t="shared" si="126"/>
        <v>0</v>
      </c>
    </row>
    <row r="1276" spans="1:24" s="169" customFormat="1" ht="26.4">
      <c r="A1276" s="192" t="s">
        <v>1233</v>
      </c>
      <c r="B1276" s="170" t="s">
        <v>1234</v>
      </c>
      <c r="C1276" s="183" t="str">
        <f t="shared" si="121"/>
        <v>1093434</v>
      </c>
      <c r="D1276" s="182" t="str">
        <f t="shared" si="122"/>
        <v>-Hội Cựu Giáo chức Kontum</v>
      </c>
      <c r="E1276" s="206"/>
      <c r="F1276" s="207"/>
      <c r="G1276" s="207"/>
      <c r="H1276" s="205"/>
      <c r="I1276" s="167">
        <v>25200000</v>
      </c>
      <c r="J1276" s="166"/>
      <c r="K1276" s="167">
        <v>20000000</v>
      </c>
      <c r="L1276" s="168">
        <v>5200000</v>
      </c>
      <c r="M1276" s="168">
        <f t="shared" si="123"/>
        <v>25200000</v>
      </c>
      <c r="N1276" s="168"/>
      <c r="O1276" s="167">
        <v>25200000</v>
      </c>
      <c r="P1276" s="167">
        <f t="shared" si="124"/>
        <v>25200000</v>
      </c>
      <c r="Q1276" s="167"/>
      <c r="S1276" s="201">
        <f t="shared" si="125"/>
        <v>25.2</v>
      </c>
      <c r="T1276" s="201">
        <f t="shared" si="126"/>
        <v>25.2</v>
      </c>
      <c r="U1276" s="201">
        <f t="shared" si="126"/>
        <v>0</v>
      </c>
      <c r="V1276" s="201">
        <f t="shared" si="126"/>
        <v>25.2</v>
      </c>
      <c r="W1276" s="201">
        <f t="shared" si="126"/>
        <v>25.2</v>
      </c>
      <c r="X1276" s="201">
        <f t="shared" si="126"/>
        <v>0</v>
      </c>
    </row>
    <row r="1277" spans="1:24" s="169" customFormat="1" ht="13.8">
      <c r="A1277" s="192" t="s">
        <v>1235</v>
      </c>
      <c r="B1277" s="170" t="s">
        <v>675</v>
      </c>
      <c r="C1277" s="183" t="str">
        <f t="shared" si="121"/>
        <v/>
      </c>
      <c r="D1277" s="182" t="str">
        <f t="shared" si="122"/>
        <v/>
      </c>
      <c r="E1277" s="206"/>
      <c r="F1277" s="207"/>
      <c r="G1277" s="207"/>
      <c r="H1277" s="205"/>
      <c r="I1277" s="167">
        <v>25200000</v>
      </c>
      <c r="J1277" s="166"/>
      <c r="K1277" s="167">
        <v>20000000</v>
      </c>
      <c r="L1277" s="168">
        <v>5200000</v>
      </c>
      <c r="M1277" s="168">
        <f t="shared" si="123"/>
        <v>25200000</v>
      </c>
      <c r="N1277" s="168"/>
      <c r="O1277" s="167">
        <v>25200000</v>
      </c>
      <c r="P1277" s="167">
        <f t="shared" si="124"/>
        <v>25200000</v>
      </c>
      <c r="Q1277" s="167"/>
      <c r="S1277" s="201">
        <f t="shared" si="125"/>
        <v>25.2</v>
      </c>
      <c r="T1277" s="201">
        <f t="shared" si="126"/>
        <v>25.2</v>
      </c>
      <c r="U1277" s="201">
        <f t="shared" si="126"/>
        <v>0</v>
      </c>
      <c r="V1277" s="201">
        <f t="shared" si="126"/>
        <v>25.2</v>
      </c>
      <c r="W1277" s="201">
        <f t="shared" si="126"/>
        <v>25.2</v>
      </c>
      <c r="X1277" s="201">
        <f t="shared" si="126"/>
        <v>0</v>
      </c>
    </row>
    <row r="1278" spans="1:24" s="169" customFormat="1" ht="13.8">
      <c r="A1278" s="192"/>
      <c r="B1278" s="170" t="s">
        <v>680</v>
      </c>
      <c r="C1278" s="183" t="str">
        <f t="shared" si="121"/>
        <v/>
      </c>
      <c r="D1278" s="182" t="str">
        <f t="shared" si="122"/>
        <v/>
      </c>
      <c r="E1278" s="206"/>
      <c r="F1278" s="207"/>
      <c r="G1278" s="207"/>
      <c r="H1278" s="205"/>
      <c r="I1278" s="167">
        <v>25200000</v>
      </c>
      <c r="J1278" s="166"/>
      <c r="K1278" s="167">
        <v>20000000</v>
      </c>
      <c r="L1278" s="168">
        <v>5200000</v>
      </c>
      <c r="M1278" s="168">
        <f t="shared" si="123"/>
        <v>25200000</v>
      </c>
      <c r="N1278" s="168"/>
      <c r="O1278" s="167">
        <v>25200000</v>
      </c>
      <c r="P1278" s="167">
        <f t="shared" si="124"/>
        <v>25200000</v>
      </c>
      <c r="Q1278" s="167"/>
      <c r="S1278" s="201">
        <f t="shared" si="125"/>
        <v>25.2</v>
      </c>
      <c r="T1278" s="201">
        <f t="shared" si="126"/>
        <v>25.2</v>
      </c>
      <c r="U1278" s="201">
        <f t="shared" si="126"/>
        <v>0</v>
      </c>
      <c r="V1278" s="201">
        <f t="shared" si="126"/>
        <v>25.2</v>
      </c>
      <c r="W1278" s="201">
        <f t="shared" si="126"/>
        <v>25.2</v>
      </c>
      <c r="X1278" s="201">
        <f t="shared" si="126"/>
        <v>0</v>
      </c>
    </row>
    <row r="1279" spans="1:24" s="169" customFormat="1" ht="13.8">
      <c r="A1279" s="193"/>
      <c r="B1279" s="187"/>
      <c r="C1279" s="183" t="str">
        <f t="shared" si="121"/>
        <v/>
      </c>
      <c r="D1279" s="182" t="str">
        <f t="shared" si="122"/>
        <v/>
      </c>
      <c r="E1279" s="192" t="s">
        <v>681</v>
      </c>
      <c r="F1279" s="192" t="s">
        <v>760</v>
      </c>
      <c r="G1279" s="192" t="s">
        <v>906</v>
      </c>
      <c r="H1279" s="210" t="s">
        <v>1440</v>
      </c>
      <c r="I1279" s="167">
        <v>20000000</v>
      </c>
      <c r="J1279" s="166"/>
      <c r="K1279" s="167">
        <v>20000000</v>
      </c>
      <c r="L1279" s="171"/>
      <c r="M1279" s="168">
        <f t="shared" si="123"/>
        <v>20000000</v>
      </c>
      <c r="N1279" s="171"/>
      <c r="O1279" s="167">
        <v>20000000</v>
      </c>
      <c r="P1279" s="167">
        <f t="shared" si="124"/>
        <v>20000000</v>
      </c>
      <c r="Q1279" s="167"/>
      <c r="S1279" s="201">
        <f t="shared" si="125"/>
        <v>20</v>
      </c>
      <c r="T1279" s="201">
        <f t="shared" si="126"/>
        <v>20</v>
      </c>
      <c r="U1279" s="201">
        <f t="shared" si="126"/>
        <v>0</v>
      </c>
      <c r="V1279" s="201">
        <f t="shared" si="126"/>
        <v>20</v>
      </c>
      <c r="W1279" s="201">
        <f t="shared" si="126"/>
        <v>20</v>
      </c>
      <c r="X1279" s="201">
        <f t="shared" si="126"/>
        <v>0</v>
      </c>
    </row>
    <row r="1280" spans="1:24" s="169" customFormat="1" ht="13.8">
      <c r="A1280" s="195"/>
      <c r="B1280" s="188"/>
      <c r="C1280" s="183" t="str">
        <f t="shared" si="121"/>
        <v/>
      </c>
      <c r="D1280" s="182" t="str">
        <f t="shared" si="122"/>
        <v/>
      </c>
      <c r="E1280" s="192" t="s">
        <v>667</v>
      </c>
      <c r="F1280" s="192" t="s">
        <v>760</v>
      </c>
      <c r="G1280" s="192" t="s">
        <v>906</v>
      </c>
      <c r="H1280" s="210" t="s">
        <v>1440</v>
      </c>
      <c r="I1280" s="167">
        <v>5200000</v>
      </c>
      <c r="J1280" s="166"/>
      <c r="K1280" s="166"/>
      <c r="L1280" s="168">
        <v>5200000</v>
      </c>
      <c r="M1280" s="168">
        <f t="shared" si="123"/>
        <v>5200000</v>
      </c>
      <c r="N1280" s="168"/>
      <c r="O1280" s="167">
        <v>5200000</v>
      </c>
      <c r="P1280" s="167">
        <f t="shared" si="124"/>
        <v>5200000</v>
      </c>
      <c r="Q1280" s="167"/>
      <c r="S1280" s="201">
        <f t="shared" si="125"/>
        <v>5.2</v>
      </c>
      <c r="T1280" s="201">
        <f t="shared" si="126"/>
        <v>5.2</v>
      </c>
      <c r="U1280" s="201">
        <f t="shared" si="126"/>
        <v>0</v>
      </c>
      <c r="V1280" s="201">
        <f t="shared" si="126"/>
        <v>5.2</v>
      </c>
      <c r="W1280" s="201">
        <f t="shared" si="126"/>
        <v>5.2</v>
      </c>
      <c r="X1280" s="201">
        <f t="shared" si="126"/>
        <v>0</v>
      </c>
    </row>
    <row r="1281" spans="1:24" s="169" customFormat="1" ht="13.8">
      <c r="A1281" s="192" t="s">
        <v>1236</v>
      </c>
      <c r="B1281" s="170" t="s">
        <v>1237</v>
      </c>
      <c r="C1281" s="183" t="str">
        <f t="shared" si="121"/>
        <v>1093512</v>
      </c>
      <c r="D1281" s="182" t="str">
        <f t="shared" si="122"/>
        <v>-Hội Luật gia tỉnh Kontum</v>
      </c>
      <c r="E1281" s="206"/>
      <c r="F1281" s="207"/>
      <c r="G1281" s="207"/>
      <c r="H1281" s="205"/>
      <c r="I1281" s="167">
        <v>255700000</v>
      </c>
      <c r="J1281" s="166"/>
      <c r="K1281" s="167">
        <v>233000000</v>
      </c>
      <c r="L1281" s="168">
        <v>22700000</v>
      </c>
      <c r="M1281" s="168">
        <f t="shared" si="123"/>
        <v>255700000</v>
      </c>
      <c r="N1281" s="168"/>
      <c r="O1281" s="167">
        <v>255700000</v>
      </c>
      <c r="P1281" s="167">
        <f t="shared" si="124"/>
        <v>255700000</v>
      </c>
      <c r="Q1281" s="167"/>
      <c r="S1281" s="201">
        <f t="shared" si="125"/>
        <v>255.7</v>
      </c>
      <c r="T1281" s="201">
        <f t="shared" si="126"/>
        <v>255.7</v>
      </c>
      <c r="U1281" s="201">
        <f t="shared" si="126"/>
        <v>0</v>
      </c>
      <c r="V1281" s="201">
        <f t="shared" si="126"/>
        <v>255.7</v>
      </c>
      <c r="W1281" s="201">
        <f t="shared" si="126"/>
        <v>255.7</v>
      </c>
      <c r="X1281" s="201">
        <f t="shared" si="126"/>
        <v>0</v>
      </c>
    </row>
    <row r="1282" spans="1:24" s="169" customFormat="1" ht="13.8">
      <c r="A1282" s="192" t="s">
        <v>1238</v>
      </c>
      <c r="B1282" s="170" t="s">
        <v>675</v>
      </c>
      <c r="C1282" s="183" t="str">
        <f t="shared" si="121"/>
        <v/>
      </c>
      <c r="D1282" s="182" t="str">
        <f t="shared" si="122"/>
        <v/>
      </c>
      <c r="E1282" s="206"/>
      <c r="F1282" s="207"/>
      <c r="G1282" s="207"/>
      <c r="H1282" s="205"/>
      <c r="I1282" s="167">
        <v>255700000</v>
      </c>
      <c r="J1282" s="166"/>
      <c r="K1282" s="167">
        <v>233000000</v>
      </c>
      <c r="L1282" s="168">
        <v>22700000</v>
      </c>
      <c r="M1282" s="168">
        <f t="shared" si="123"/>
        <v>255700000</v>
      </c>
      <c r="N1282" s="168"/>
      <c r="O1282" s="167">
        <v>255700000</v>
      </c>
      <c r="P1282" s="167">
        <f t="shared" si="124"/>
        <v>255700000</v>
      </c>
      <c r="Q1282" s="167"/>
      <c r="S1282" s="201">
        <f t="shared" si="125"/>
        <v>255.7</v>
      </c>
      <c r="T1282" s="201">
        <f t="shared" si="126"/>
        <v>255.7</v>
      </c>
      <c r="U1282" s="201">
        <f t="shared" si="126"/>
        <v>0</v>
      </c>
      <c r="V1282" s="201">
        <f t="shared" si="126"/>
        <v>255.7</v>
      </c>
      <c r="W1282" s="201">
        <f t="shared" si="126"/>
        <v>255.7</v>
      </c>
      <c r="X1282" s="201">
        <f t="shared" si="126"/>
        <v>0</v>
      </c>
    </row>
    <row r="1283" spans="1:24" s="169" customFormat="1" ht="13.8">
      <c r="A1283" s="192"/>
      <c r="B1283" s="170" t="s">
        <v>680</v>
      </c>
      <c r="C1283" s="183" t="str">
        <f t="shared" si="121"/>
        <v/>
      </c>
      <c r="D1283" s="182" t="str">
        <f t="shared" si="122"/>
        <v/>
      </c>
      <c r="E1283" s="206"/>
      <c r="F1283" s="207"/>
      <c r="G1283" s="207"/>
      <c r="H1283" s="205"/>
      <c r="I1283" s="167">
        <v>255700000</v>
      </c>
      <c r="J1283" s="166"/>
      <c r="K1283" s="167">
        <v>233000000</v>
      </c>
      <c r="L1283" s="168">
        <v>22700000</v>
      </c>
      <c r="M1283" s="168">
        <f t="shared" si="123"/>
        <v>255700000</v>
      </c>
      <c r="N1283" s="168"/>
      <c r="O1283" s="167">
        <v>255700000</v>
      </c>
      <c r="P1283" s="167">
        <f t="shared" si="124"/>
        <v>255700000</v>
      </c>
      <c r="Q1283" s="167"/>
      <c r="S1283" s="201">
        <f t="shared" si="125"/>
        <v>255.7</v>
      </c>
      <c r="T1283" s="201">
        <f t="shared" si="126"/>
        <v>255.7</v>
      </c>
      <c r="U1283" s="201">
        <f t="shared" si="126"/>
        <v>0</v>
      </c>
      <c r="V1283" s="201">
        <f t="shared" si="126"/>
        <v>255.7</v>
      </c>
      <c r="W1283" s="201">
        <f t="shared" si="126"/>
        <v>255.7</v>
      </c>
      <c r="X1283" s="201">
        <f t="shared" si="126"/>
        <v>0</v>
      </c>
    </row>
    <row r="1284" spans="1:24" s="169" customFormat="1" ht="13.8">
      <c r="A1284" s="193"/>
      <c r="B1284" s="187"/>
      <c r="C1284" s="183" t="str">
        <f t="shared" si="121"/>
        <v/>
      </c>
      <c r="D1284" s="182" t="str">
        <f t="shared" si="122"/>
        <v/>
      </c>
      <c r="E1284" s="192" t="s">
        <v>681</v>
      </c>
      <c r="F1284" s="192" t="s">
        <v>976</v>
      </c>
      <c r="G1284" s="192" t="s">
        <v>906</v>
      </c>
      <c r="H1284" s="210" t="s">
        <v>1440</v>
      </c>
      <c r="I1284" s="167">
        <v>253000000</v>
      </c>
      <c r="J1284" s="166"/>
      <c r="K1284" s="167">
        <v>233000000</v>
      </c>
      <c r="L1284" s="168">
        <v>20000000</v>
      </c>
      <c r="M1284" s="168">
        <f t="shared" si="123"/>
        <v>253000000</v>
      </c>
      <c r="N1284" s="168"/>
      <c r="O1284" s="167">
        <v>253000000</v>
      </c>
      <c r="P1284" s="167">
        <f t="shared" si="124"/>
        <v>253000000</v>
      </c>
      <c r="Q1284" s="167"/>
      <c r="S1284" s="201">
        <f t="shared" si="125"/>
        <v>253</v>
      </c>
      <c r="T1284" s="201">
        <f t="shared" si="126"/>
        <v>253</v>
      </c>
      <c r="U1284" s="201">
        <f t="shared" si="126"/>
        <v>0</v>
      </c>
      <c r="V1284" s="201">
        <f t="shared" si="126"/>
        <v>253</v>
      </c>
      <c r="W1284" s="201">
        <f t="shared" si="126"/>
        <v>253</v>
      </c>
      <c r="X1284" s="201">
        <f t="shared" si="126"/>
        <v>0</v>
      </c>
    </row>
    <row r="1285" spans="1:24" s="169" customFormat="1" ht="13.8">
      <c r="A1285" s="195"/>
      <c r="B1285" s="188"/>
      <c r="C1285" s="183" t="str">
        <f t="shared" si="121"/>
        <v/>
      </c>
      <c r="D1285" s="182" t="str">
        <f t="shared" si="122"/>
        <v/>
      </c>
      <c r="E1285" s="192" t="s">
        <v>679</v>
      </c>
      <c r="F1285" s="192" t="s">
        <v>976</v>
      </c>
      <c r="G1285" s="192" t="s">
        <v>906</v>
      </c>
      <c r="H1285" s="210" t="s">
        <v>1440</v>
      </c>
      <c r="I1285" s="167">
        <v>2700000</v>
      </c>
      <c r="J1285" s="166"/>
      <c r="K1285" s="166"/>
      <c r="L1285" s="168">
        <v>2700000</v>
      </c>
      <c r="M1285" s="168">
        <f t="shared" si="123"/>
        <v>2700000</v>
      </c>
      <c r="N1285" s="168"/>
      <c r="O1285" s="167">
        <v>2700000</v>
      </c>
      <c r="P1285" s="167">
        <f t="shared" si="124"/>
        <v>2700000</v>
      </c>
      <c r="Q1285" s="167"/>
      <c r="S1285" s="201">
        <f t="shared" si="125"/>
        <v>2.7</v>
      </c>
      <c r="T1285" s="201">
        <f t="shared" si="126"/>
        <v>2.7</v>
      </c>
      <c r="U1285" s="201">
        <f t="shared" si="126"/>
        <v>0</v>
      </c>
      <c r="V1285" s="201">
        <f t="shared" si="126"/>
        <v>2.7</v>
      </c>
      <c r="W1285" s="201">
        <f t="shared" si="126"/>
        <v>2.7</v>
      </c>
      <c r="X1285" s="201">
        <f t="shared" si="126"/>
        <v>0</v>
      </c>
    </row>
    <row r="1286" spans="1:24" s="169" customFormat="1" ht="13.8">
      <c r="A1286" s="192" t="s">
        <v>1239</v>
      </c>
      <c r="B1286" s="170" t="s">
        <v>1240</v>
      </c>
      <c r="C1286" s="183" t="str">
        <f t="shared" si="121"/>
        <v>1093795</v>
      </c>
      <c r="D1286" s="182" t="str">
        <f t="shared" si="122"/>
        <v>-Ban Liên lạc Tù chính trj</v>
      </c>
      <c r="E1286" s="206"/>
      <c r="F1286" s="207"/>
      <c r="G1286" s="207"/>
      <c r="H1286" s="205"/>
      <c r="I1286" s="167">
        <v>246000000</v>
      </c>
      <c r="J1286" s="166"/>
      <c r="K1286" s="167">
        <v>158000000</v>
      </c>
      <c r="L1286" s="168">
        <v>88000000</v>
      </c>
      <c r="M1286" s="168">
        <f t="shared" si="123"/>
        <v>246000000</v>
      </c>
      <c r="N1286" s="168"/>
      <c r="O1286" s="167">
        <v>246000000</v>
      </c>
      <c r="P1286" s="167">
        <f t="shared" si="124"/>
        <v>246000000</v>
      </c>
      <c r="Q1286" s="167"/>
      <c r="S1286" s="201">
        <f t="shared" si="125"/>
        <v>246</v>
      </c>
      <c r="T1286" s="201">
        <f t="shared" si="126"/>
        <v>246</v>
      </c>
      <c r="U1286" s="201">
        <f t="shared" si="126"/>
        <v>0</v>
      </c>
      <c r="V1286" s="201">
        <f t="shared" si="126"/>
        <v>246</v>
      </c>
      <c r="W1286" s="201">
        <f t="shared" si="126"/>
        <v>246</v>
      </c>
      <c r="X1286" s="201">
        <f t="shared" si="126"/>
        <v>0</v>
      </c>
    </row>
    <row r="1287" spans="1:24" s="169" customFormat="1" ht="13.8">
      <c r="A1287" s="192" t="s">
        <v>1241</v>
      </c>
      <c r="B1287" s="170" t="s">
        <v>675</v>
      </c>
      <c r="C1287" s="183" t="str">
        <f t="shared" si="121"/>
        <v/>
      </c>
      <c r="D1287" s="182" t="str">
        <f t="shared" si="122"/>
        <v/>
      </c>
      <c r="E1287" s="206"/>
      <c r="F1287" s="207"/>
      <c r="G1287" s="207"/>
      <c r="H1287" s="205"/>
      <c r="I1287" s="167">
        <v>246000000</v>
      </c>
      <c r="J1287" s="166"/>
      <c r="K1287" s="167">
        <v>158000000</v>
      </c>
      <c r="L1287" s="168">
        <v>88000000</v>
      </c>
      <c r="M1287" s="168">
        <f t="shared" si="123"/>
        <v>246000000</v>
      </c>
      <c r="N1287" s="168"/>
      <c r="O1287" s="167">
        <v>246000000</v>
      </c>
      <c r="P1287" s="167">
        <f t="shared" si="124"/>
        <v>246000000</v>
      </c>
      <c r="Q1287" s="167"/>
      <c r="S1287" s="201">
        <f t="shared" si="125"/>
        <v>246</v>
      </c>
      <c r="T1287" s="201">
        <f t="shared" si="126"/>
        <v>246</v>
      </c>
      <c r="U1287" s="201">
        <f t="shared" si="126"/>
        <v>0</v>
      </c>
      <c r="V1287" s="201">
        <f t="shared" si="126"/>
        <v>246</v>
      </c>
      <c r="W1287" s="201">
        <f t="shared" si="126"/>
        <v>246</v>
      </c>
      <c r="X1287" s="201">
        <f t="shared" si="126"/>
        <v>0</v>
      </c>
    </row>
    <row r="1288" spans="1:24" s="169" customFormat="1" ht="13.8">
      <c r="A1288" s="192"/>
      <c r="B1288" s="170" t="s">
        <v>680</v>
      </c>
      <c r="C1288" s="183" t="str">
        <f t="shared" si="121"/>
        <v/>
      </c>
      <c r="D1288" s="182" t="str">
        <f t="shared" si="122"/>
        <v/>
      </c>
      <c r="E1288" s="206"/>
      <c r="F1288" s="207"/>
      <c r="G1288" s="207"/>
      <c r="H1288" s="205"/>
      <c r="I1288" s="167">
        <v>246000000</v>
      </c>
      <c r="J1288" s="166"/>
      <c r="K1288" s="167">
        <v>158000000</v>
      </c>
      <c r="L1288" s="168">
        <v>88000000</v>
      </c>
      <c r="M1288" s="168">
        <f t="shared" si="123"/>
        <v>246000000</v>
      </c>
      <c r="N1288" s="168"/>
      <c r="O1288" s="167">
        <v>246000000</v>
      </c>
      <c r="P1288" s="167">
        <f t="shared" si="124"/>
        <v>246000000</v>
      </c>
      <c r="Q1288" s="167"/>
      <c r="S1288" s="201">
        <f t="shared" si="125"/>
        <v>246</v>
      </c>
      <c r="T1288" s="201">
        <f t="shared" si="126"/>
        <v>246</v>
      </c>
      <c r="U1288" s="201">
        <f t="shared" si="126"/>
        <v>0</v>
      </c>
      <c r="V1288" s="201">
        <f t="shared" si="126"/>
        <v>246</v>
      </c>
      <c r="W1288" s="201">
        <f t="shared" si="126"/>
        <v>246</v>
      </c>
      <c r="X1288" s="201">
        <f t="shared" si="126"/>
        <v>0</v>
      </c>
    </row>
    <row r="1289" spans="1:24" s="169" customFormat="1" ht="13.8">
      <c r="A1289" s="192"/>
      <c r="B1289" s="164"/>
      <c r="C1289" s="183" t="str">
        <f t="shared" si="121"/>
        <v/>
      </c>
      <c r="D1289" s="182" t="str">
        <f t="shared" si="122"/>
        <v/>
      </c>
      <c r="E1289" s="192" t="s">
        <v>681</v>
      </c>
      <c r="F1289" s="192" t="s">
        <v>760</v>
      </c>
      <c r="G1289" s="192" t="s">
        <v>906</v>
      </c>
      <c r="H1289" s="210" t="s">
        <v>1440</v>
      </c>
      <c r="I1289" s="167">
        <v>246000000</v>
      </c>
      <c r="J1289" s="166"/>
      <c r="K1289" s="167">
        <v>158000000</v>
      </c>
      <c r="L1289" s="168">
        <v>88000000</v>
      </c>
      <c r="M1289" s="168">
        <f t="shared" si="123"/>
        <v>246000000</v>
      </c>
      <c r="N1289" s="168"/>
      <c r="O1289" s="167">
        <v>246000000</v>
      </c>
      <c r="P1289" s="167">
        <f t="shared" si="124"/>
        <v>246000000</v>
      </c>
      <c r="Q1289" s="167"/>
      <c r="S1289" s="201">
        <f t="shared" si="125"/>
        <v>246</v>
      </c>
      <c r="T1289" s="201">
        <f t="shared" si="126"/>
        <v>246</v>
      </c>
      <c r="U1289" s="201">
        <f t="shared" si="126"/>
        <v>0</v>
      </c>
      <c r="V1289" s="201">
        <f t="shared" si="126"/>
        <v>246</v>
      </c>
      <c r="W1289" s="201">
        <f t="shared" si="126"/>
        <v>246</v>
      </c>
      <c r="X1289" s="201">
        <f t="shared" si="126"/>
        <v>0</v>
      </c>
    </row>
    <row r="1290" spans="1:24" s="169" customFormat="1" ht="26.4">
      <c r="A1290" s="192" t="s">
        <v>1242</v>
      </c>
      <c r="B1290" s="170" t="s">
        <v>1243</v>
      </c>
      <c r="C1290" s="183" t="str">
        <f t="shared" si="121"/>
        <v>1093848</v>
      </c>
      <c r="D1290" s="182" t="str">
        <f t="shared" si="122"/>
        <v>-Hội Khuyẽn học tỉnh Kontum</v>
      </c>
      <c r="E1290" s="206"/>
      <c r="F1290" s="207"/>
      <c r="G1290" s="207"/>
      <c r="H1290" s="205"/>
      <c r="I1290" s="167">
        <v>270700000</v>
      </c>
      <c r="J1290" s="166"/>
      <c r="K1290" s="167">
        <v>257000000</v>
      </c>
      <c r="L1290" s="168">
        <v>13700000</v>
      </c>
      <c r="M1290" s="168">
        <f t="shared" si="123"/>
        <v>270700000</v>
      </c>
      <c r="N1290" s="168"/>
      <c r="O1290" s="167">
        <v>270700000</v>
      </c>
      <c r="P1290" s="167">
        <f t="shared" si="124"/>
        <v>270700000</v>
      </c>
      <c r="Q1290" s="167"/>
      <c r="S1290" s="201">
        <f t="shared" si="125"/>
        <v>270.7</v>
      </c>
      <c r="T1290" s="201">
        <f t="shared" si="126"/>
        <v>270.7</v>
      </c>
      <c r="U1290" s="201">
        <f t="shared" si="126"/>
        <v>0</v>
      </c>
      <c r="V1290" s="201">
        <f t="shared" si="126"/>
        <v>270.7</v>
      </c>
      <c r="W1290" s="201">
        <f t="shared" si="126"/>
        <v>270.7</v>
      </c>
      <c r="X1290" s="201">
        <f t="shared" si="126"/>
        <v>0</v>
      </c>
    </row>
    <row r="1291" spans="1:24" s="169" customFormat="1" ht="13.8">
      <c r="A1291" s="192" t="s">
        <v>1244</v>
      </c>
      <c r="B1291" s="170" t="s">
        <v>675</v>
      </c>
      <c r="C1291" s="183" t="str">
        <f t="shared" si="121"/>
        <v/>
      </c>
      <c r="D1291" s="182" t="str">
        <f t="shared" si="122"/>
        <v/>
      </c>
      <c r="E1291" s="206"/>
      <c r="F1291" s="207"/>
      <c r="G1291" s="207"/>
      <c r="H1291" s="205"/>
      <c r="I1291" s="167">
        <v>270700000</v>
      </c>
      <c r="J1291" s="166"/>
      <c r="K1291" s="167">
        <v>257000000</v>
      </c>
      <c r="L1291" s="168">
        <v>13700000</v>
      </c>
      <c r="M1291" s="168">
        <f t="shared" si="123"/>
        <v>270700000</v>
      </c>
      <c r="N1291" s="168"/>
      <c r="O1291" s="167">
        <v>270700000</v>
      </c>
      <c r="P1291" s="167">
        <f t="shared" si="124"/>
        <v>270700000</v>
      </c>
      <c r="Q1291" s="167"/>
      <c r="S1291" s="201">
        <f t="shared" si="125"/>
        <v>270.7</v>
      </c>
      <c r="T1291" s="201">
        <f t="shared" si="126"/>
        <v>270.7</v>
      </c>
      <c r="U1291" s="201">
        <f t="shared" si="126"/>
        <v>0</v>
      </c>
      <c r="V1291" s="201">
        <f t="shared" si="126"/>
        <v>270.7</v>
      </c>
      <c r="W1291" s="201">
        <f t="shared" si="126"/>
        <v>270.7</v>
      </c>
      <c r="X1291" s="201">
        <f t="shared" si="126"/>
        <v>0</v>
      </c>
    </row>
    <row r="1292" spans="1:24" s="169" customFormat="1" ht="13.8">
      <c r="A1292" s="192"/>
      <c r="B1292" s="170" t="s">
        <v>680</v>
      </c>
      <c r="C1292" s="183" t="str">
        <f t="shared" si="121"/>
        <v/>
      </c>
      <c r="D1292" s="182" t="str">
        <f t="shared" si="122"/>
        <v/>
      </c>
      <c r="E1292" s="206"/>
      <c r="F1292" s="207"/>
      <c r="G1292" s="207"/>
      <c r="H1292" s="205"/>
      <c r="I1292" s="167">
        <v>270700000</v>
      </c>
      <c r="J1292" s="166"/>
      <c r="K1292" s="167">
        <v>257000000</v>
      </c>
      <c r="L1292" s="168">
        <v>13700000</v>
      </c>
      <c r="M1292" s="168">
        <f t="shared" si="123"/>
        <v>270700000</v>
      </c>
      <c r="N1292" s="168"/>
      <c r="O1292" s="167">
        <v>270700000</v>
      </c>
      <c r="P1292" s="167">
        <f t="shared" si="124"/>
        <v>270700000</v>
      </c>
      <c r="Q1292" s="167"/>
      <c r="S1292" s="201">
        <f t="shared" si="125"/>
        <v>270.7</v>
      </c>
      <c r="T1292" s="201">
        <f t="shared" si="126"/>
        <v>270.7</v>
      </c>
      <c r="U1292" s="201">
        <f t="shared" si="126"/>
        <v>0</v>
      </c>
      <c r="V1292" s="201">
        <f t="shared" si="126"/>
        <v>270.7</v>
      </c>
      <c r="W1292" s="201">
        <f t="shared" si="126"/>
        <v>270.7</v>
      </c>
      <c r="X1292" s="201">
        <f t="shared" si="126"/>
        <v>0</v>
      </c>
    </row>
    <row r="1293" spans="1:24" s="169" customFormat="1" ht="13.8">
      <c r="A1293" s="193"/>
      <c r="B1293" s="187"/>
      <c r="C1293" s="183" t="str">
        <f t="shared" si="121"/>
        <v/>
      </c>
      <c r="D1293" s="182" t="str">
        <f t="shared" si="122"/>
        <v/>
      </c>
      <c r="E1293" s="192" t="s">
        <v>681</v>
      </c>
      <c r="F1293" s="192" t="s">
        <v>1245</v>
      </c>
      <c r="G1293" s="192" t="s">
        <v>786</v>
      </c>
      <c r="H1293" s="210" t="s">
        <v>1440</v>
      </c>
      <c r="I1293" s="167">
        <v>268000000</v>
      </c>
      <c r="J1293" s="166"/>
      <c r="K1293" s="167">
        <v>257000000</v>
      </c>
      <c r="L1293" s="168">
        <v>11000000</v>
      </c>
      <c r="M1293" s="168">
        <f t="shared" si="123"/>
        <v>268000000</v>
      </c>
      <c r="N1293" s="168"/>
      <c r="O1293" s="167">
        <v>268000000</v>
      </c>
      <c r="P1293" s="167">
        <f t="shared" si="124"/>
        <v>268000000</v>
      </c>
      <c r="Q1293" s="167"/>
      <c r="S1293" s="201">
        <f t="shared" si="125"/>
        <v>268</v>
      </c>
      <c r="T1293" s="201">
        <f t="shared" si="126"/>
        <v>268</v>
      </c>
      <c r="U1293" s="201">
        <f t="shared" si="126"/>
        <v>0</v>
      </c>
      <c r="V1293" s="201">
        <f t="shared" si="126"/>
        <v>268</v>
      </c>
      <c r="W1293" s="201">
        <f t="shared" si="126"/>
        <v>268</v>
      </c>
      <c r="X1293" s="201">
        <f t="shared" si="126"/>
        <v>0</v>
      </c>
    </row>
    <row r="1294" spans="1:24" s="169" customFormat="1" ht="13.8">
      <c r="A1294" s="195"/>
      <c r="B1294" s="188"/>
      <c r="C1294" s="183" t="str">
        <f t="shared" si="121"/>
        <v/>
      </c>
      <c r="D1294" s="182" t="str">
        <f t="shared" si="122"/>
        <v/>
      </c>
      <c r="E1294" s="192" t="s">
        <v>679</v>
      </c>
      <c r="F1294" s="192" t="s">
        <v>1245</v>
      </c>
      <c r="G1294" s="192" t="s">
        <v>786</v>
      </c>
      <c r="H1294" s="210" t="s">
        <v>1440</v>
      </c>
      <c r="I1294" s="167">
        <v>2700000</v>
      </c>
      <c r="J1294" s="166"/>
      <c r="K1294" s="166"/>
      <c r="L1294" s="168">
        <v>2700000</v>
      </c>
      <c r="M1294" s="168">
        <f t="shared" si="123"/>
        <v>2700000</v>
      </c>
      <c r="N1294" s="168"/>
      <c r="O1294" s="167">
        <v>2700000</v>
      </c>
      <c r="P1294" s="167">
        <f t="shared" si="124"/>
        <v>2700000</v>
      </c>
      <c r="Q1294" s="167"/>
      <c r="S1294" s="201">
        <f t="shared" si="125"/>
        <v>2.7</v>
      </c>
      <c r="T1294" s="201">
        <f t="shared" si="126"/>
        <v>2.7</v>
      </c>
      <c r="U1294" s="201">
        <f t="shared" si="126"/>
        <v>0</v>
      </c>
      <c r="V1294" s="201">
        <f t="shared" si="126"/>
        <v>2.7</v>
      </c>
      <c r="W1294" s="201">
        <f t="shared" si="126"/>
        <v>2.7</v>
      </c>
      <c r="X1294" s="201">
        <f t="shared" si="126"/>
        <v>0</v>
      </c>
    </row>
    <row r="1295" spans="1:24" s="169" customFormat="1" ht="27.6">
      <c r="A1295" s="192" t="s">
        <v>1246</v>
      </c>
      <c r="B1295" s="165" t="s">
        <v>1247</v>
      </c>
      <c r="C1295" s="183" t="str">
        <f t="shared" si="121"/>
        <v>1093941</v>
      </c>
      <c r="D1295" s="182" t="str">
        <f t="shared" si="122"/>
        <v>-Trường PhS thông Dân tộc Mội trú huyện Kon Rẫy</v>
      </c>
      <c r="E1295" s="206"/>
      <c r="F1295" s="207"/>
      <c r="G1295" s="207"/>
      <c r="H1295" s="205"/>
      <c r="I1295" s="167">
        <v>9229943000</v>
      </c>
      <c r="J1295" s="166"/>
      <c r="K1295" s="167">
        <v>8294934000</v>
      </c>
      <c r="L1295" s="168">
        <v>935009000</v>
      </c>
      <c r="M1295" s="168">
        <f t="shared" si="123"/>
        <v>9229943000</v>
      </c>
      <c r="N1295" s="168"/>
      <c r="O1295" s="167">
        <v>8459215000</v>
      </c>
      <c r="P1295" s="167">
        <f t="shared" si="124"/>
        <v>8459215000</v>
      </c>
      <c r="Q1295" s="167"/>
      <c r="S1295" s="201">
        <f t="shared" si="125"/>
        <v>9229.9429999999993</v>
      </c>
      <c r="T1295" s="201">
        <f t="shared" si="126"/>
        <v>9229.9429999999993</v>
      </c>
      <c r="U1295" s="201">
        <f t="shared" si="126"/>
        <v>0</v>
      </c>
      <c r="V1295" s="201">
        <f t="shared" si="126"/>
        <v>8459.2150000000001</v>
      </c>
      <c r="W1295" s="201">
        <f t="shared" si="126"/>
        <v>8459.2150000000001</v>
      </c>
      <c r="X1295" s="201">
        <f t="shared" si="126"/>
        <v>0</v>
      </c>
    </row>
    <row r="1296" spans="1:24" s="169" customFormat="1" ht="13.8">
      <c r="A1296" s="192" t="s">
        <v>1248</v>
      </c>
      <c r="B1296" s="170" t="s">
        <v>675</v>
      </c>
      <c r="C1296" s="183" t="str">
        <f t="shared" si="121"/>
        <v/>
      </c>
      <c r="D1296" s="182" t="str">
        <f t="shared" si="122"/>
        <v/>
      </c>
      <c r="E1296" s="206"/>
      <c r="F1296" s="207"/>
      <c r="G1296" s="207"/>
      <c r="H1296" s="205"/>
      <c r="I1296" s="167">
        <v>9229943000</v>
      </c>
      <c r="J1296" s="166"/>
      <c r="K1296" s="167">
        <v>8294934000</v>
      </c>
      <c r="L1296" s="168">
        <v>935009000</v>
      </c>
      <c r="M1296" s="168">
        <f t="shared" si="123"/>
        <v>9229943000</v>
      </c>
      <c r="N1296" s="168"/>
      <c r="O1296" s="167">
        <v>8459215000</v>
      </c>
      <c r="P1296" s="167">
        <f t="shared" si="124"/>
        <v>8459215000</v>
      </c>
      <c r="Q1296" s="167"/>
      <c r="S1296" s="201">
        <f t="shared" si="125"/>
        <v>9229.9429999999993</v>
      </c>
      <c r="T1296" s="201">
        <f t="shared" si="126"/>
        <v>9229.9429999999993</v>
      </c>
      <c r="U1296" s="201">
        <f t="shared" si="126"/>
        <v>0</v>
      </c>
      <c r="V1296" s="201">
        <f t="shared" si="126"/>
        <v>8459.2150000000001</v>
      </c>
      <c r="W1296" s="201">
        <f t="shared" si="126"/>
        <v>8459.2150000000001</v>
      </c>
      <c r="X1296" s="201">
        <f t="shared" si="126"/>
        <v>0</v>
      </c>
    </row>
    <row r="1297" spans="1:24" s="169" customFormat="1" ht="13.8">
      <c r="A1297" s="192"/>
      <c r="B1297" s="170" t="s">
        <v>676</v>
      </c>
      <c r="C1297" s="183" t="str">
        <f t="shared" si="121"/>
        <v/>
      </c>
      <c r="D1297" s="182" t="str">
        <f t="shared" si="122"/>
        <v/>
      </c>
      <c r="E1297" s="206"/>
      <c r="F1297" s="207"/>
      <c r="G1297" s="207"/>
      <c r="H1297" s="205"/>
      <c r="I1297" s="167">
        <v>5473030000</v>
      </c>
      <c r="J1297" s="166"/>
      <c r="K1297" s="167">
        <v>5320370000</v>
      </c>
      <c r="L1297" s="168">
        <v>152660000</v>
      </c>
      <c r="M1297" s="168">
        <f t="shared" si="123"/>
        <v>5473030000</v>
      </c>
      <c r="N1297" s="168"/>
      <c r="O1297" s="167">
        <v>5473030000</v>
      </c>
      <c r="P1297" s="167">
        <f t="shared" si="124"/>
        <v>5473030000</v>
      </c>
      <c r="Q1297" s="167"/>
      <c r="S1297" s="201">
        <f t="shared" si="125"/>
        <v>5473.03</v>
      </c>
      <c r="T1297" s="201">
        <f t="shared" si="126"/>
        <v>5473.03</v>
      </c>
      <c r="U1297" s="201">
        <f t="shared" si="126"/>
        <v>0</v>
      </c>
      <c r="V1297" s="201">
        <f t="shared" si="126"/>
        <v>5473.03</v>
      </c>
      <c r="W1297" s="201">
        <f t="shared" si="126"/>
        <v>5473.03</v>
      </c>
      <c r="X1297" s="201">
        <f t="shared" si="126"/>
        <v>0</v>
      </c>
    </row>
    <row r="1298" spans="1:24" s="169" customFormat="1" ht="13.8">
      <c r="A1298" s="193"/>
      <c r="B1298" s="187"/>
      <c r="C1298" s="183" t="str">
        <f t="shared" si="121"/>
        <v/>
      </c>
      <c r="D1298" s="182" t="str">
        <f t="shared" si="122"/>
        <v/>
      </c>
      <c r="E1298" s="192" t="s">
        <v>666</v>
      </c>
      <c r="F1298" s="192" t="s">
        <v>677</v>
      </c>
      <c r="G1298" s="192" t="s">
        <v>685</v>
      </c>
      <c r="H1298" s="210" t="s">
        <v>1440</v>
      </c>
      <c r="I1298" s="167">
        <v>5320370000</v>
      </c>
      <c r="J1298" s="166"/>
      <c r="K1298" s="167">
        <v>5320370000</v>
      </c>
      <c r="L1298" s="171"/>
      <c r="M1298" s="168">
        <f t="shared" si="123"/>
        <v>5320370000</v>
      </c>
      <c r="N1298" s="171"/>
      <c r="O1298" s="167">
        <v>5320370000</v>
      </c>
      <c r="P1298" s="167">
        <f t="shared" si="124"/>
        <v>5320370000</v>
      </c>
      <c r="Q1298" s="167"/>
      <c r="S1298" s="201">
        <f t="shared" si="125"/>
        <v>5320.37</v>
      </c>
      <c r="T1298" s="201">
        <f t="shared" si="126"/>
        <v>5320.37</v>
      </c>
      <c r="U1298" s="201">
        <f t="shared" si="126"/>
        <v>0</v>
      </c>
      <c r="V1298" s="201">
        <f t="shared" si="126"/>
        <v>5320.37</v>
      </c>
      <c r="W1298" s="201">
        <f t="shared" si="126"/>
        <v>5320.37</v>
      </c>
      <c r="X1298" s="201">
        <f t="shared" si="126"/>
        <v>0</v>
      </c>
    </row>
    <row r="1299" spans="1:24" s="169" customFormat="1" ht="13.8">
      <c r="A1299" s="194"/>
      <c r="B1299" s="184"/>
      <c r="C1299" s="183" t="str">
        <f t="shared" si="121"/>
        <v/>
      </c>
      <c r="D1299" s="182" t="str">
        <f t="shared" si="122"/>
        <v/>
      </c>
      <c r="E1299" s="192" t="s">
        <v>679</v>
      </c>
      <c r="F1299" s="192" t="s">
        <v>677</v>
      </c>
      <c r="G1299" s="192" t="s">
        <v>685</v>
      </c>
      <c r="H1299" s="210" t="s">
        <v>1440</v>
      </c>
      <c r="I1299" s="167">
        <v>152000000</v>
      </c>
      <c r="J1299" s="166"/>
      <c r="K1299" s="166"/>
      <c r="L1299" s="168">
        <v>152000000</v>
      </c>
      <c r="M1299" s="168">
        <f t="shared" si="123"/>
        <v>152000000</v>
      </c>
      <c r="N1299" s="168"/>
      <c r="O1299" s="167">
        <v>152000000</v>
      </c>
      <c r="P1299" s="167">
        <f t="shared" si="124"/>
        <v>152000000</v>
      </c>
      <c r="Q1299" s="167"/>
      <c r="S1299" s="201">
        <f t="shared" si="125"/>
        <v>152</v>
      </c>
      <c r="T1299" s="201">
        <f t="shared" si="126"/>
        <v>152</v>
      </c>
      <c r="U1299" s="201">
        <f t="shared" si="126"/>
        <v>0</v>
      </c>
      <c r="V1299" s="201">
        <f t="shared" si="126"/>
        <v>152</v>
      </c>
      <c r="W1299" s="201">
        <f t="shared" si="126"/>
        <v>152</v>
      </c>
      <c r="X1299" s="201">
        <f t="shared" si="126"/>
        <v>0</v>
      </c>
    </row>
    <row r="1300" spans="1:24" s="169" customFormat="1" ht="13.8">
      <c r="A1300" s="195"/>
      <c r="B1300" s="188"/>
      <c r="C1300" s="183" t="str">
        <f t="shared" si="121"/>
        <v/>
      </c>
      <c r="D1300" s="182" t="str">
        <f t="shared" si="122"/>
        <v/>
      </c>
      <c r="E1300" s="192" t="s">
        <v>669</v>
      </c>
      <c r="F1300" s="192" t="s">
        <v>677</v>
      </c>
      <c r="G1300" s="192" t="s">
        <v>685</v>
      </c>
      <c r="H1300" s="210" t="s">
        <v>1440</v>
      </c>
      <c r="I1300" s="167">
        <v>660000</v>
      </c>
      <c r="J1300" s="166"/>
      <c r="K1300" s="166"/>
      <c r="L1300" s="168">
        <v>660000</v>
      </c>
      <c r="M1300" s="168">
        <f t="shared" si="123"/>
        <v>660000</v>
      </c>
      <c r="N1300" s="168"/>
      <c r="O1300" s="167">
        <v>660000</v>
      </c>
      <c r="P1300" s="167">
        <f t="shared" si="124"/>
        <v>660000</v>
      </c>
      <c r="Q1300" s="167"/>
      <c r="S1300" s="201">
        <f t="shared" si="125"/>
        <v>0.66</v>
      </c>
      <c r="T1300" s="201">
        <f t="shared" si="126"/>
        <v>0.66</v>
      </c>
      <c r="U1300" s="201">
        <f t="shared" si="126"/>
        <v>0</v>
      </c>
      <c r="V1300" s="201">
        <f t="shared" si="126"/>
        <v>0.66</v>
      </c>
      <c r="W1300" s="201">
        <f t="shared" si="126"/>
        <v>0.66</v>
      </c>
      <c r="X1300" s="201">
        <f t="shared" si="126"/>
        <v>0</v>
      </c>
    </row>
    <row r="1301" spans="1:24" s="169" customFormat="1" ht="13.8">
      <c r="A1301" s="192"/>
      <c r="B1301" s="170" t="s">
        <v>680</v>
      </c>
      <c r="C1301" s="183" t="str">
        <f t="shared" si="121"/>
        <v/>
      </c>
      <c r="D1301" s="182" t="str">
        <f t="shared" si="122"/>
        <v/>
      </c>
      <c r="E1301" s="206"/>
      <c r="F1301" s="207"/>
      <c r="G1301" s="207"/>
      <c r="H1301" s="205"/>
      <c r="I1301" s="167">
        <v>3756913000</v>
      </c>
      <c r="J1301" s="166"/>
      <c r="K1301" s="167">
        <v>2974564000</v>
      </c>
      <c r="L1301" s="168">
        <v>782349000</v>
      </c>
      <c r="M1301" s="168">
        <f t="shared" si="123"/>
        <v>3756913000</v>
      </c>
      <c r="N1301" s="168"/>
      <c r="O1301" s="167">
        <v>2986185000</v>
      </c>
      <c r="P1301" s="167">
        <f t="shared" si="124"/>
        <v>2986185000</v>
      </c>
      <c r="Q1301" s="167"/>
      <c r="S1301" s="201">
        <f t="shared" si="125"/>
        <v>3756.913</v>
      </c>
      <c r="T1301" s="201">
        <f t="shared" si="126"/>
        <v>3756.913</v>
      </c>
      <c r="U1301" s="201">
        <f t="shared" si="126"/>
        <v>0</v>
      </c>
      <c r="V1301" s="201">
        <f t="shared" si="126"/>
        <v>2986.1849999999999</v>
      </c>
      <c r="W1301" s="201">
        <f t="shared" si="126"/>
        <v>2986.1849999999999</v>
      </c>
      <c r="X1301" s="201">
        <f t="shared" si="126"/>
        <v>0</v>
      </c>
    </row>
    <row r="1302" spans="1:24" s="169" customFormat="1" ht="13.8">
      <c r="A1302" s="193"/>
      <c r="B1302" s="187"/>
      <c r="C1302" s="183" t="str">
        <f t="shared" ref="C1302:C1365" si="127">IF(B1302&lt;&gt;"",IF(AND(LEFT(B1302,1)&gt;="0",LEFT(B1302,1)&lt;="9"),LEFT(B1302,7),""),"")</f>
        <v/>
      </c>
      <c r="D1302" s="182" t="str">
        <f t="shared" si="122"/>
        <v/>
      </c>
      <c r="E1302" s="192" t="s">
        <v>681</v>
      </c>
      <c r="F1302" s="192" t="s">
        <v>677</v>
      </c>
      <c r="G1302" s="192" t="s">
        <v>685</v>
      </c>
      <c r="H1302" s="210" t="s">
        <v>1440</v>
      </c>
      <c r="I1302" s="167">
        <v>674569000</v>
      </c>
      <c r="J1302" s="166"/>
      <c r="K1302" s="167">
        <v>294020000</v>
      </c>
      <c r="L1302" s="168">
        <v>380549000</v>
      </c>
      <c r="M1302" s="168">
        <f t="shared" si="123"/>
        <v>674569000</v>
      </c>
      <c r="N1302" s="168"/>
      <c r="O1302" s="167">
        <v>674569000</v>
      </c>
      <c r="P1302" s="167">
        <f t="shared" si="124"/>
        <v>674569000</v>
      </c>
      <c r="Q1302" s="167"/>
      <c r="S1302" s="201">
        <f t="shared" si="125"/>
        <v>674.56899999999996</v>
      </c>
      <c r="T1302" s="201">
        <f t="shared" si="126"/>
        <v>674.56899999999996</v>
      </c>
      <c r="U1302" s="201">
        <f t="shared" si="126"/>
        <v>0</v>
      </c>
      <c r="V1302" s="201">
        <f t="shared" si="126"/>
        <v>674.56899999999996</v>
      </c>
      <c r="W1302" s="201">
        <f t="shared" si="126"/>
        <v>674.56899999999996</v>
      </c>
      <c r="X1302" s="201">
        <f t="shared" si="126"/>
        <v>0</v>
      </c>
    </row>
    <row r="1303" spans="1:24" s="169" customFormat="1" ht="13.8">
      <c r="A1303" s="195"/>
      <c r="B1303" s="188"/>
      <c r="C1303" s="183" t="str">
        <f t="shared" si="127"/>
        <v/>
      </c>
      <c r="D1303" s="182" t="str">
        <f t="shared" ref="D1303:D1366" si="128">IF(C1303&lt;&gt;"",RIGHT(B1303,LEN(B1303)-7),"")</f>
        <v/>
      </c>
      <c r="E1303" s="192" t="s">
        <v>679</v>
      </c>
      <c r="F1303" s="192" t="s">
        <v>677</v>
      </c>
      <c r="G1303" s="192" t="s">
        <v>685</v>
      </c>
      <c r="H1303" s="210" t="s">
        <v>1440</v>
      </c>
      <c r="I1303" s="167">
        <v>2680544000</v>
      </c>
      <c r="J1303" s="166"/>
      <c r="K1303" s="167">
        <v>2680544000</v>
      </c>
      <c r="L1303" s="171"/>
      <c r="M1303" s="168">
        <f t="shared" ref="M1303:M1366" si="129">I1303-N1303</f>
        <v>2680544000</v>
      </c>
      <c r="N1303" s="171"/>
      <c r="O1303" s="167">
        <v>2309816000</v>
      </c>
      <c r="P1303" s="167">
        <f t="shared" ref="P1303:P1366" si="130">O1303-Q1303</f>
        <v>2309816000</v>
      </c>
      <c r="Q1303" s="167"/>
      <c r="S1303" s="201">
        <f t="shared" ref="S1303:S1366" si="131">I1303/1000000</f>
        <v>2680.5439999999999</v>
      </c>
      <c r="T1303" s="201">
        <f t="shared" si="126"/>
        <v>2680.5439999999999</v>
      </c>
      <c r="U1303" s="201">
        <f t="shared" si="126"/>
        <v>0</v>
      </c>
      <c r="V1303" s="201">
        <f t="shared" si="126"/>
        <v>2309.8159999999998</v>
      </c>
      <c r="W1303" s="201">
        <f t="shared" si="126"/>
        <v>2309.8159999999998</v>
      </c>
      <c r="X1303" s="201">
        <f t="shared" si="126"/>
        <v>0</v>
      </c>
    </row>
    <row r="1304" spans="1:24" s="169" customFormat="1" ht="13.8">
      <c r="A1304" s="192"/>
      <c r="B1304" s="173"/>
      <c r="C1304" s="183" t="str">
        <f t="shared" si="127"/>
        <v/>
      </c>
      <c r="D1304" s="182" t="str">
        <f t="shared" si="128"/>
        <v/>
      </c>
      <c r="E1304" s="192"/>
      <c r="F1304" s="192"/>
      <c r="G1304" s="192"/>
      <c r="H1304" s="210"/>
      <c r="I1304" s="174"/>
      <c r="J1304" s="174"/>
      <c r="K1304" s="174"/>
      <c r="L1304" s="175"/>
      <c r="M1304" s="168">
        <f t="shared" si="129"/>
        <v>0</v>
      </c>
      <c r="N1304" s="175"/>
      <c r="O1304" s="174"/>
      <c r="P1304" s="167">
        <f t="shared" si="130"/>
        <v>0</v>
      </c>
      <c r="Q1304" s="174"/>
      <c r="S1304" s="201">
        <f t="shared" si="131"/>
        <v>0</v>
      </c>
      <c r="T1304" s="201">
        <f t="shared" ref="T1304:X1354" si="132">M1304/1000000</f>
        <v>0</v>
      </c>
      <c r="U1304" s="201">
        <f t="shared" si="132"/>
        <v>0</v>
      </c>
      <c r="V1304" s="201">
        <f t="shared" si="132"/>
        <v>0</v>
      </c>
      <c r="W1304" s="201">
        <f t="shared" si="132"/>
        <v>0</v>
      </c>
      <c r="X1304" s="201">
        <f t="shared" si="132"/>
        <v>0</v>
      </c>
    </row>
    <row r="1305" spans="1:24" s="169" customFormat="1" ht="13.8">
      <c r="A1305" s="193"/>
      <c r="B1305" s="187"/>
      <c r="C1305" s="183" t="str">
        <f t="shared" si="127"/>
        <v/>
      </c>
      <c r="D1305" s="182" t="str">
        <f t="shared" si="128"/>
        <v/>
      </c>
      <c r="E1305" s="192" t="s">
        <v>667</v>
      </c>
      <c r="F1305" s="192" t="s">
        <v>677</v>
      </c>
      <c r="G1305" s="192" t="s">
        <v>685</v>
      </c>
      <c r="H1305" s="210" t="s">
        <v>1440</v>
      </c>
      <c r="I1305" s="167">
        <v>400000000</v>
      </c>
      <c r="J1305" s="166"/>
      <c r="K1305" s="166"/>
      <c r="L1305" s="168">
        <v>400000000</v>
      </c>
      <c r="M1305" s="168">
        <f t="shared" si="129"/>
        <v>400000000</v>
      </c>
      <c r="N1305" s="168"/>
      <c r="O1305" s="166"/>
      <c r="P1305" s="167">
        <f t="shared" si="130"/>
        <v>0</v>
      </c>
      <c r="Q1305" s="166"/>
      <c r="S1305" s="201">
        <f t="shared" si="131"/>
        <v>400</v>
      </c>
      <c r="T1305" s="201">
        <f t="shared" si="132"/>
        <v>400</v>
      </c>
      <c r="U1305" s="201">
        <f t="shared" si="132"/>
        <v>0</v>
      </c>
      <c r="V1305" s="201">
        <f t="shared" si="132"/>
        <v>0</v>
      </c>
      <c r="W1305" s="201">
        <f t="shared" si="132"/>
        <v>0</v>
      </c>
      <c r="X1305" s="201">
        <f t="shared" si="132"/>
        <v>0</v>
      </c>
    </row>
    <row r="1306" spans="1:24" s="169" customFormat="1" ht="13.8">
      <c r="A1306" s="195"/>
      <c r="B1306" s="188"/>
      <c r="C1306" s="183" t="str">
        <f t="shared" si="127"/>
        <v/>
      </c>
      <c r="D1306" s="182" t="str">
        <f t="shared" si="128"/>
        <v/>
      </c>
      <c r="E1306" s="192" t="s">
        <v>669</v>
      </c>
      <c r="F1306" s="192" t="s">
        <v>677</v>
      </c>
      <c r="G1306" s="192" t="s">
        <v>685</v>
      </c>
      <c r="H1306" s="210" t="s">
        <v>1440</v>
      </c>
      <c r="I1306" s="167">
        <v>1800000</v>
      </c>
      <c r="J1306" s="166"/>
      <c r="K1306" s="166"/>
      <c r="L1306" s="168">
        <v>1800000</v>
      </c>
      <c r="M1306" s="168">
        <f t="shared" si="129"/>
        <v>1800000</v>
      </c>
      <c r="N1306" s="168"/>
      <c r="O1306" s="167">
        <v>1800000</v>
      </c>
      <c r="P1306" s="167">
        <f t="shared" si="130"/>
        <v>1800000</v>
      </c>
      <c r="Q1306" s="167"/>
      <c r="S1306" s="201">
        <f t="shared" si="131"/>
        <v>1.8</v>
      </c>
      <c r="T1306" s="201">
        <f t="shared" si="132"/>
        <v>1.8</v>
      </c>
      <c r="U1306" s="201">
        <f t="shared" si="132"/>
        <v>0</v>
      </c>
      <c r="V1306" s="201">
        <f t="shared" si="132"/>
        <v>1.8</v>
      </c>
      <c r="W1306" s="201">
        <f t="shared" si="132"/>
        <v>1.8</v>
      </c>
      <c r="X1306" s="201">
        <f t="shared" si="132"/>
        <v>0</v>
      </c>
    </row>
    <row r="1307" spans="1:24" s="169" customFormat="1" ht="39.6">
      <c r="A1307" s="192" t="s">
        <v>1249</v>
      </c>
      <c r="B1307" s="165" t="s">
        <v>1250</v>
      </c>
      <c r="C1307" s="183" t="str">
        <f t="shared" si="127"/>
        <v>1094591</v>
      </c>
      <c r="D1307" s="182" t="str">
        <f t="shared" si="128"/>
        <v>-Hội bảo vệ QuyỄn trẻ em và Bảo trợ Người khuyẽt tật tỉnh Kon Tum</v>
      </c>
      <c r="E1307" s="206"/>
      <c r="F1307" s="207"/>
      <c r="G1307" s="207"/>
      <c r="H1307" s="205"/>
      <c r="I1307" s="167">
        <v>387700000</v>
      </c>
      <c r="J1307" s="166"/>
      <c r="K1307" s="167">
        <v>385000000</v>
      </c>
      <c r="L1307" s="168">
        <v>2700000</v>
      </c>
      <c r="M1307" s="168">
        <f t="shared" si="129"/>
        <v>387700000</v>
      </c>
      <c r="N1307" s="168"/>
      <c r="O1307" s="167">
        <v>387700000</v>
      </c>
      <c r="P1307" s="167">
        <f t="shared" si="130"/>
        <v>387700000</v>
      </c>
      <c r="Q1307" s="167"/>
      <c r="S1307" s="201">
        <f t="shared" si="131"/>
        <v>387.7</v>
      </c>
      <c r="T1307" s="201">
        <f t="shared" si="132"/>
        <v>387.7</v>
      </c>
      <c r="U1307" s="201">
        <f t="shared" si="132"/>
        <v>0</v>
      </c>
      <c r="V1307" s="201">
        <f t="shared" si="132"/>
        <v>387.7</v>
      </c>
      <c r="W1307" s="201">
        <f t="shared" si="132"/>
        <v>387.7</v>
      </c>
      <c r="X1307" s="201">
        <f t="shared" si="132"/>
        <v>0</v>
      </c>
    </row>
    <row r="1308" spans="1:24" s="169" customFormat="1" ht="13.8">
      <c r="A1308" s="192" t="s">
        <v>1251</v>
      </c>
      <c r="B1308" s="170" t="s">
        <v>689</v>
      </c>
      <c r="C1308" s="183" t="str">
        <f t="shared" si="127"/>
        <v/>
      </c>
      <c r="D1308" s="182" t="str">
        <f t="shared" si="128"/>
        <v/>
      </c>
      <c r="E1308" s="206"/>
      <c r="F1308" s="207"/>
      <c r="G1308" s="207"/>
      <c r="H1308" s="205"/>
      <c r="I1308" s="167">
        <v>387700000</v>
      </c>
      <c r="J1308" s="166"/>
      <c r="K1308" s="167">
        <v>385000000</v>
      </c>
      <c r="L1308" s="168">
        <v>2700000</v>
      </c>
      <c r="M1308" s="168">
        <f t="shared" si="129"/>
        <v>387700000</v>
      </c>
      <c r="N1308" s="168"/>
      <c r="O1308" s="167">
        <v>387700000</v>
      </c>
      <c r="P1308" s="167">
        <f t="shared" si="130"/>
        <v>387700000</v>
      </c>
      <c r="Q1308" s="167"/>
      <c r="S1308" s="201">
        <f t="shared" si="131"/>
        <v>387.7</v>
      </c>
      <c r="T1308" s="201">
        <f t="shared" si="132"/>
        <v>387.7</v>
      </c>
      <c r="U1308" s="201">
        <f t="shared" si="132"/>
        <v>0</v>
      </c>
      <c r="V1308" s="201">
        <f t="shared" si="132"/>
        <v>387.7</v>
      </c>
      <c r="W1308" s="201">
        <f t="shared" si="132"/>
        <v>387.7</v>
      </c>
      <c r="X1308" s="201">
        <f t="shared" si="132"/>
        <v>0</v>
      </c>
    </row>
    <row r="1309" spans="1:24" s="169" customFormat="1" ht="13.8">
      <c r="A1309" s="192"/>
      <c r="B1309" s="170" t="s">
        <v>686</v>
      </c>
      <c r="C1309" s="183" t="str">
        <f t="shared" si="127"/>
        <v/>
      </c>
      <c r="D1309" s="182" t="str">
        <f t="shared" si="128"/>
        <v/>
      </c>
      <c r="E1309" s="206"/>
      <c r="F1309" s="207"/>
      <c r="G1309" s="207"/>
      <c r="H1309" s="205"/>
      <c r="I1309" s="167">
        <v>387700000</v>
      </c>
      <c r="J1309" s="166"/>
      <c r="K1309" s="167">
        <v>385000000</v>
      </c>
      <c r="L1309" s="168">
        <v>2700000</v>
      </c>
      <c r="M1309" s="168">
        <f t="shared" si="129"/>
        <v>387700000</v>
      </c>
      <c r="N1309" s="168"/>
      <c r="O1309" s="167">
        <v>387700000</v>
      </c>
      <c r="P1309" s="167">
        <f t="shared" si="130"/>
        <v>387700000</v>
      </c>
      <c r="Q1309" s="167"/>
      <c r="S1309" s="201">
        <f t="shared" si="131"/>
        <v>387.7</v>
      </c>
      <c r="T1309" s="201">
        <f t="shared" si="132"/>
        <v>387.7</v>
      </c>
      <c r="U1309" s="201">
        <f t="shared" si="132"/>
        <v>0</v>
      </c>
      <c r="V1309" s="201">
        <f t="shared" si="132"/>
        <v>387.7</v>
      </c>
      <c r="W1309" s="201">
        <f t="shared" si="132"/>
        <v>387.7</v>
      </c>
      <c r="X1309" s="201">
        <f t="shared" si="132"/>
        <v>0</v>
      </c>
    </row>
    <row r="1310" spans="1:24" s="169" customFormat="1" ht="13.8">
      <c r="A1310" s="193"/>
      <c r="B1310" s="187"/>
      <c r="C1310" s="183" t="str">
        <f t="shared" si="127"/>
        <v/>
      </c>
      <c r="D1310" s="182" t="str">
        <f t="shared" si="128"/>
        <v/>
      </c>
      <c r="E1310" s="192" t="s">
        <v>681</v>
      </c>
      <c r="F1310" s="192" t="s">
        <v>1252</v>
      </c>
      <c r="G1310" s="192" t="s">
        <v>906</v>
      </c>
      <c r="H1310" s="210" t="s">
        <v>1440</v>
      </c>
      <c r="I1310" s="167">
        <v>385000000</v>
      </c>
      <c r="J1310" s="166"/>
      <c r="K1310" s="167">
        <v>385000000</v>
      </c>
      <c r="L1310" s="171"/>
      <c r="M1310" s="168">
        <f t="shared" si="129"/>
        <v>385000000</v>
      </c>
      <c r="N1310" s="171"/>
      <c r="O1310" s="167">
        <v>385000000</v>
      </c>
      <c r="P1310" s="167">
        <f t="shared" si="130"/>
        <v>385000000</v>
      </c>
      <c r="Q1310" s="167"/>
      <c r="S1310" s="201">
        <f t="shared" si="131"/>
        <v>385</v>
      </c>
      <c r="T1310" s="201">
        <f t="shared" si="132"/>
        <v>385</v>
      </c>
      <c r="U1310" s="201">
        <f t="shared" si="132"/>
        <v>0</v>
      </c>
      <c r="V1310" s="201">
        <f t="shared" si="132"/>
        <v>385</v>
      </c>
      <c r="W1310" s="201">
        <f t="shared" si="132"/>
        <v>385</v>
      </c>
      <c r="X1310" s="201">
        <f t="shared" si="132"/>
        <v>0</v>
      </c>
    </row>
    <row r="1311" spans="1:24" s="169" customFormat="1" ht="13.8">
      <c r="A1311" s="195"/>
      <c r="B1311" s="188"/>
      <c r="C1311" s="183" t="str">
        <f t="shared" si="127"/>
        <v/>
      </c>
      <c r="D1311" s="182" t="str">
        <f t="shared" si="128"/>
        <v/>
      </c>
      <c r="E1311" s="192" t="s">
        <v>679</v>
      </c>
      <c r="F1311" s="192" t="s">
        <v>1252</v>
      </c>
      <c r="G1311" s="192" t="s">
        <v>906</v>
      </c>
      <c r="H1311" s="210" t="s">
        <v>1440</v>
      </c>
      <c r="I1311" s="167">
        <v>2700000</v>
      </c>
      <c r="J1311" s="166"/>
      <c r="K1311" s="166"/>
      <c r="L1311" s="168">
        <v>2700000</v>
      </c>
      <c r="M1311" s="168">
        <f t="shared" si="129"/>
        <v>2700000</v>
      </c>
      <c r="N1311" s="168"/>
      <c r="O1311" s="167">
        <v>2700000</v>
      </c>
      <c r="P1311" s="167">
        <f t="shared" si="130"/>
        <v>2700000</v>
      </c>
      <c r="Q1311" s="167"/>
      <c r="S1311" s="201">
        <f t="shared" si="131"/>
        <v>2.7</v>
      </c>
      <c r="T1311" s="201">
        <f t="shared" si="132"/>
        <v>2.7</v>
      </c>
      <c r="U1311" s="201">
        <f t="shared" si="132"/>
        <v>0</v>
      </c>
      <c r="V1311" s="201">
        <f t="shared" si="132"/>
        <v>2.7</v>
      </c>
      <c r="W1311" s="201">
        <f t="shared" si="132"/>
        <v>2.7</v>
      </c>
      <c r="X1311" s="201">
        <f t="shared" si="132"/>
        <v>0</v>
      </c>
    </row>
    <row r="1312" spans="1:24" s="169" customFormat="1" ht="26.4">
      <c r="A1312" s="192" t="s">
        <v>1253</v>
      </c>
      <c r="B1312" s="165" t="s">
        <v>1254</v>
      </c>
      <c r="C1312" s="183" t="str">
        <f t="shared" si="127"/>
        <v>1094963</v>
      </c>
      <c r="D1312" s="182" t="str">
        <f t="shared" si="128"/>
        <v>-Hội Cựu Thanh niên xung phong tỉnh Kon Tum</v>
      </c>
      <c r="E1312" s="206"/>
      <c r="F1312" s="207"/>
      <c r="G1312" s="207"/>
      <c r="H1312" s="205"/>
      <c r="I1312" s="167">
        <v>306100000</v>
      </c>
      <c r="J1312" s="166"/>
      <c r="K1312" s="167">
        <v>290000000</v>
      </c>
      <c r="L1312" s="168">
        <v>16100000</v>
      </c>
      <c r="M1312" s="168">
        <f t="shared" si="129"/>
        <v>306100000</v>
      </c>
      <c r="N1312" s="168"/>
      <c r="O1312" s="167">
        <v>306100000</v>
      </c>
      <c r="P1312" s="167">
        <f t="shared" si="130"/>
        <v>306100000</v>
      </c>
      <c r="Q1312" s="167"/>
      <c r="S1312" s="201">
        <f t="shared" si="131"/>
        <v>306.10000000000002</v>
      </c>
      <c r="T1312" s="201">
        <f t="shared" si="132"/>
        <v>306.10000000000002</v>
      </c>
      <c r="U1312" s="201">
        <f t="shared" si="132"/>
        <v>0</v>
      </c>
      <c r="V1312" s="201">
        <f t="shared" si="132"/>
        <v>306.10000000000002</v>
      </c>
      <c r="W1312" s="201">
        <f t="shared" si="132"/>
        <v>306.10000000000002</v>
      </c>
      <c r="X1312" s="201">
        <f t="shared" si="132"/>
        <v>0</v>
      </c>
    </row>
    <row r="1313" spans="1:24" s="169" customFormat="1" ht="13.8">
      <c r="A1313" s="192" t="s">
        <v>1255</v>
      </c>
      <c r="B1313" s="170" t="s">
        <v>689</v>
      </c>
      <c r="C1313" s="183" t="str">
        <f t="shared" si="127"/>
        <v/>
      </c>
      <c r="D1313" s="182" t="str">
        <f t="shared" si="128"/>
        <v/>
      </c>
      <c r="E1313" s="206"/>
      <c r="F1313" s="207"/>
      <c r="G1313" s="207"/>
      <c r="H1313" s="205"/>
      <c r="I1313" s="167">
        <v>306100000</v>
      </c>
      <c r="J1313" s="166"/>
      <c r="K1313" s="167">
        <v>290000000</v>
      </c>
      <c r="L1313" s="168">
        <v>16100000</v>
      </c>
      <c r="M1313" s="168">
        <f t="shared" si="129"/>
        <v>306100000</v>
      </c>
      <c r="N1313" s="168"/>
      <c r="O1313" s="167">
        <v>306100000</v>
      </c>
      <c r="P1313" s="167">
        <f t="shared" si="130"/>
        <v>306100000</v>
      </c>
      <c r="Q1313" s="167"/>
      <c r="S1313" s="201">
        <f t="shared" si="131"/>
        <v>306.10000000000002</v>
      </c>
      <c r="T1313" s="201">
        <f t="shared" si="132"/>
        <v>306.10000000000002</v>
      </c>
      <c r="U1313" s="201">
        <f t="shared" si="132"/>
        <v>0</v>
      </c>
      <c r="V1313" s="201">
        <f t="shared" si="132"/>
        <v>306.10000000000002</v>
      </c>
      <c r="W1313" s="201">
        <f t="shared" si="132"/>
        <v>306.10000000000002</v>
      </c>
      <c r="X1313" s="201">
        <f t="shared" si="132"/>
        <v>0</v>
      </c>
    </row>
    <row r="1314" spans="1:24" s="169" customFormat="1" ht="13.8">
      <c r="A1314" s="192"/>
      <c r="B1314" s="170" t="s">
        <v>686</v>
      </c>
      <c r="C1314" s="183" t="str">
        <f t="shared" si="127"/>
        <v/>
      </c>
      <c r="D1314" s="182" t="str">
        <f t="shared" si="128"/>
        <v/>
      </c>
      <c r="E1314" s="206"/>
      <c r="F1314" s="207"/>
      <c r="G1314" s="207"/>
      <c r="H1314" s="205"/>
      <c r="I1314" s="167">
        <v>306100000</v>
      </c>
      <c r="J1314" s="166"/>
      <c r="K1314" s="167">
        <v>290000000</v>
      </c>
      <c r="L1314" s="168">
        <v>16100000</v>
      </c>
      <c r="M1314" s="168">
        <f t="shared" si="129"/>
        <v>306100000</v>
      </c>
      <c r="N1314" s="168"/>
      <c r="O1314" s="167">
        <v>306100000</v>
      </c>
      <c r="P1314" s="167">
        <f t="shared" si="130"/>
        <v>306100000</v>
      </c>
      <c r="Q1314" s="167"/>
      <c r="S1314" s="201">
        <f t="shared" si="131"/>
        <v>306.10000000000002</v>
      </c>
      <c r="T1314" s="201">
        <f t="shared" si="132"/>
        <v>306.10000000000002</v>
      </c>
      <c r="U1314" s="201">
        <f t="shared" si="132"/>
        <v>0</v>
      </c>
      <c r="V1314" s="201">
        <f t="shared" si="132"/>
        <v>306.10000000000002</v>
      </c>
      <c r="W1314" s="201">
        <f t="shared" si="132"/>
        <v>306.10000000000002</v>
      </c>
      <c r="X1314" s="201">
        <f t="shared" si="132"/>
        <v>0</v>
      </c>
    </row>
    <row r="1315" spans="1:24" s="169" customFormat="1" ht="13.8">
      <c r="A1315" s="193"/>
      <c r="B1315" s="187"/>
      <c r="C1315" s="183" t="str">
        <f t="shared" si="127"/>
        <v/>
      </c>
      <c r="D1315" s="182" t="str">
        <f t="shared" si="128"/>
        <v/>
      </c>
      <c r="E1315" s="192" t="s">
        <v>681</v>
      </c>
      <c r="F1315" s="192" t="s">
        <v>1256</v>
      </c>
      <c r="G1315" s="192" t="s">
        <v>906</v>
      </c>
      <c r="H1315" s="210" t="s">
        <v>1440</v>
      </c>
      <c r="I1315" s="167">
        <v>303400000</v>
      </c>
      <c r="J1315" s="166"/>
      <c r="K1315" s="167">
        <v>290000000</v>
      </c>
      <c r="L1315" s="168">
        <v>13400000</v>
      </c>
      <c r="M1315" s="168">
        <f t="shared" si="129"/>
        <v>303400000</v>
      </c>
      <c r="N1315" s="168"/>
      <c r="O1315" s="167">
        <v>303400000</v>
      </c>
      <c r="P1315" s="167">
        <f t="shared" si="130"/>
        <v>303400000</v>
      </c>
      <c r="Q1315" s="167"/>
      <c r="S1315" s="201">
        <f t="shared" si="131"/>
        <v>303.39999999999998</v>
      </c>
      <c r="T1315" s="201">
        <f t="shared" si="132"/>
        <v>303.39999999999998</v>
      </c>
      <c r="U1315" s="201">
        <f t="shared" si="132"/>
        <v>0</v>
      </c>
      <c r="V1315" s="201">
        <f t="shared" si="132"/>
        <v>303.39999999999998</v>
      </c>
      <c r="W1315" s="201">
        <f t="shared" si="132"/>
        <v>303.39999999999998</v>
      </c>
      <c r="X1315" s="201">
        <f t="shared" si="132"/>
        <v>0</v>
      </c>
    </row>
    <row r="1316" spans="1:24" s="169" customFormat="1" ht="13.8">
      <c r="A1316" s="195"/>
      <c r="B1316" s="188"/>
      <c r="C1316" s="183" t="str">
        <f t="shared" si="127"/>
        <v/>
      </c>
      <c r="D1316" s="182" t="str">
        <f t="shared" si="128"/>
        <v/>
      </c>
      <c r="E1316" s="192" t="s">
        <v>679</v>
      </c>
      <c r="F1316" s="192" t="s">
        <v>1256</v>
      </c>
      <c r="G1316" s="192" t="s">
        <v>906</v>
      </c>
      <c r="H1316" s="210" t="s">
        <v>1440</v>
      </c>
      <c r="I1316" s="167">
        <v>2700000</v>
      </c>
      <c r="J1316" s="166"/>
      <c r="K1316" s="166"/>
      <c r="L1316" s="168">
        <v>2700000</v>
      </c>
      <c r="M1316" s="168">
        <f t="shared" si="129"/>
        <v>2700000</v>
      </c>
      <c r="N1316" s="168"/>
      <c r="O1316" s="167">
        <v>2700000</v>
      </c>
      <c r="P1316" s="167">
        <f t="shared" si="130"/>
        <v>2700000</v>
      </c>
      <c r="Q1316" s="167"/>
      <c r="S1316" s="201">
        <f t="shared" si="131"/>
        <v>2.7</v>
      </c>
      <c r="T1316" s="201">
        <f t="shared" si="132"/>
        <v>2.7</v>
      </c>
      <c r="U1316" s="201">
        <f t="shared" si="132"/>
        <v>0</v>
      </c>
      <c r="V1316" s="201">
        <f t="shared" si="132"/>
        <v>2.7</v>
      </c>
      <c r="W1316" s="201">
        <f t="shared" si="132"/>
        <v>2.7</v>
      </c>
      <c r="X1316" s="201">
        <f t="shared" si="132"/>
        <v>0</v>
      </c>
    </row>
    <row r="1317" spans="1:24" s="169" customFormat="1" ht="26.4">
      <c r="A1317" s="192" t="s">
        <v>1257</v>
      </c>
      <c r="B1317" s="165" t="s">
        <v>1258</v>
      </c>
      <c r="C1317" s="183" t="str">
        <f t="shared" si="127"/>
        <v>1095546</v>
      </c>
      <c r="D1317" s="182" t="str">
        <f t="shared" si="128"/>
        <v>-Hội đSng Nhân dân tinh Kontum</v>
      </c>
      <c r="E1317" s="206"/>
      <c r="F1317" s="207"/>
      <c r="G1317" s="207"/>
      <c r="H1317" s="205"/>
      <c r="I1317" s="167">
        <v>4872000000</v>
      </c>
      <c r="J1317" s="166"/>
      <c r="K1317" s="167">
        <v>4872000000</v>
      </c>
      <c r="L1317" s="171"/>
      <c r="M1317" s="168">
        <f t="shared" si="129"/>
        <v>4872000000</v>
      </c>
      <c r="N1317" s="171"/>
      <c r="O1317" s="167">
        <v>4485877400</v>
      </c>
      <c r="P1317" s="167">
        <f t="shared" si="130"/>
        <v>4485877400</v>
      </c>
      <c r="Q1317" s="167"/>
      <c r="S1317" s="201">
        <f t="shared" si="131"/>
        <v>4872</v>
      </c>
      <c r="T1317" s="201">
        <f t="shared" si="132"/>
        <v>4872</v>
      </c>
      <c r="U1317" s="201">
        <f t="shared" si="132"/>
        <v>0</v>
      </c>
      <c r="V1317" s="201">
        <f t="shared" si="132"/>
        <v>4485.8774000000003</v>
      </c>
      <c r="W1317" s="201">
        <f t="shared" si="132"/>
        <v>4485.8774000000003</v>
      </c>
      <c r="X1317" s="201">
        <f t="shared" si="132"/>
        <v>0</v>
      </c>
    </row>
    <row r="1318" spans="1:24" s="169" customFormat="1" ht="13.8">
      <c r="A1318" s="192" t="s">
        <v>1259</v>
      </c>
      <c r="B1318" s="170" t="s">
        <v>689</v>
      </c>
      <c r="C1318" s="183" t="str">
        <f t="shared" si="127"/>
        <v/>
      </c>
      <c r="D1318" s="182" t="str">
        <f t="shared" si="128"/>
        <v/>
      </c>
      <c r="E1318" s="206"/>
      <c r="F1318" s="207"/>
      <c r="G1318" s="207"/>
      <c r="H1318" s="205"/>
      <c r="I1318" s="167">
        <v>4872000000</v>
      </c>
      <c r="J1318" s="166"/>
      <c r="K1318" s="167">
        <v>4872000000</v>
      </c>
      <c r="L1318" s="171"/>
      <c r="M1318" s="168">
        <f t="shared" si="129"/>
        <v>4872000000</v>
      </c>
      <c r="N1318" s="171"/>
      <c r="O1318" s="167">
        <v>4485877400</v>
      </c>
      <c r="P1318" s="167">
        <f t="shared" si="130"/>
        <v>4485877400</v>
      </c>
      <c r="Q1318" s="167"/>
      <c r="S1318" s="201">
        <f t="shared" si="131"/>
        <v>4872</v>
      </c>
      <c r="T1318" s="201">
        <f t="shared" si="132"/>
        <v>4872</v>
      </c>
      <c r="U1318" s="201">
        <f t="shared" si="132"/>
        <v>0</v>
      </c>
      <c r="V1318" s="201">
        <f t="shared" si="132"/>
        <v>4485.8774000000003</v>
      </c>
      <c r="W1318" s="201">
        <f t="shared" si="132"/>
        <v>4485.8774000000003</v>
      </c>
      <c r="X1318" s="201">
        <f t="shared" si="132"/>
        <v>0</v>
      </c>
    </row>
    <row r="1319" spans="1:24" s="169" customFormat="1" ht="13.8">
      <c r="A1319" s="192"/>
      <c r="B1319" s="170" t="s">
        <v>686</v>
      </c>
      <c r="C1319" s="183" t="str">
        <f t="shared" si="127"/>
        <v/>
      </c>
      <c r="D1319" s="182" t="str">
        <f t="shared" si="128"/>
        <v/>
      </c>
      <c r="E1319" s="206"/>
      <c r="F1319" s="207"/>
      <c r="G1319" s="207"/>
      <c r="H1319" s="205"/>
      <c r="I1319" s="167">
        <v>4872000000</v>
      </c>
      <c r="J1319" s="166"/>
      <c r="K1319" s="167">
        <v>4872000000</v>
      </c>
      <c r="L1319" s="171"/>
      <c r="M1319" s="168">
        <f t="shared" si="129"/>
        <v>4872000000</v>
      </c>
      <c r="N1319" s="171"/>
      <c r="O1319" s="167">
        <v>4485877400</v>
      </c>
      <c r="P1319" s="167">
        <f t="shared" si="130"/>
        <v>4485877400</v>
      </c>
      <c r="Q1319" s="167"/>
      <c r="S1319" s="201">
        <f t="shared" si="131"/>
        <v>4872</v>
      </c>
      <c r="T1319" s="201">
        <f t="shared" si="132"/>
        <v>4872</v>
      </c>
      <c r="U1319" s="201">
        <f t="shared" si="132"/>
        <v>0</v>
      </c>
      <c r="V1319" s="201">
        <f t="shared" si="132"/>
        <v>4485.8774000000003</v>
      </c>
      <c r="W1319" s="201">
        <f t="shared" si="132"/>
        <v>4485.8774000000003</v>
      </c>
      <c r="X1319" s="201">
        <f t="shared" si="132"/>
        <v>0</v>
      </c>
    </row>
    <row r="1320" spans="1:24" s="169" customFormat="1" ht="13.8">
      <c r="A1320" s="192"/>
      <c r="B1320" s="164"/>
      <c r="C1320" s="183" t="str">
        <f t="shared" si="127"/>
        <v/>
      </c>
      <c r="D1320" s="182" t="str">
        <f t="shared" si="128"/>
        <v/>
      </c>
      <c r="E1320" s="192" t="s">
        <v>681</v>
      </c>
      <c r="F1320" s="192" t="s">
        <v>694</v>
      </c>
      <c r="G1320" s="192" t="s">
        <v>695</v>
      </c>
      <c r="H1320" s="210" t="s">
        <v>1440</v>
      </c>
      <c r="I1320" s="167">
        <v>4872000000</v>
      </c>
      <c r="J1320" s="166"/>
      <c r="K1320" s="167">
        <v>4872000000</v>
      </c>
      <c r="L1320" s="171"/>
      <c r="M1320" s="168">
        <f t="shared" si="129"/>
        <v>4872000000</v>
      </c>
      <c r="N1320" s="171"/>
      <c r="O1320" s="167">
        <v>4485877400</v>
      </c>
      <c r="P1320" s="167">
        <f t="shared" si="130"/>
        <v>4485877400</v>
      </c>
      <c r="Q1320" s="167"/>
      <c r="S1320" s="201">
        <f t="shared" si="131"/>
        <v>4872</v>
      </c>
      <c r="T1320" s="201">
        <f t="shared" si="132"/>
        <v>4872</v>
      </c>
      <c r="U1320" s="201">
        <f t="shared" si="132"/>
        <v>0</v>
      </c>
      <c r="V1320" s="201">
        <f t="shared" si="132"/>
        <v>4485.8774000000003</v>
      </c>
      <c r="W1320" s="201">
        <f t="shared" si="132"/>
        <v>4485.8774000000003</v>
      </c>
      <c r="X1320" s="201">
        <f t="shared" si="132"/>
        <v>0</v>
      </c>
    </row>
    <row r="1321" spans="1:24" s="169" customFormat="1" ht="27.6">
      <c r="A1321" s="192" t="s">
        <v>1260</v>
      </c>
      <c r="B1321" s="165" t="s">
        <v>1261</v>
      </c>
      <c r="C1321" s="183" t="str">
        <f t="shared" si="127"/>
        <v>1096607</v>
      </c>
      <c r="D1321" s="182" t="str">
        <f t="shared" si="128"/>
        <v>-Trung tâm Quan trắc tài nguyên và môi trường tỉnh Kon Tum</v>
      </c>
      <c r="E1321" s="206"/>
      <c r="F1321" s="207"/>
      <c r="G1321" s="207"/>
      <c r="H1321" s="205"/>
      <c r="I1321" s="167">
        <v>1069100000</v>
      </c>
      <c r="J1321" s="166"/>
      <c r="K1321" s="167">
        <v>1069100000</v>
      </c>
      <c r="L1321" s="171"/>
      <c r="M1321" s="168">
        <f t="shared" si="129"/>
        <v>1069100000</v>
      </c>
      <c r="N1321" s="171"/>
      <c r="O1321" s="167">
        <v>1069100000</v>
      </c>
      <c r="P1321" s="167">
        <f t="shared" si="130"/>
        <v>1069100000</v>
      </c>
      <c r="Q1321" s="167"/>
      <c r="S1321" s="201">
        <f t="shared" si="131"/>
        <v>1069.0999999999999</v>
      </c>
      <c r="T1321" s="201">
        <f t="shared" si="132"/>
        <v>1069.0999999999999</v>
      </c>
      <c r="U1321" s="201">
        <f t="shared" si="132"/>
        <v>0</v>
      </c>
      <c r="V1321" s="201">
        <f t="shared" si="132"/>
        <v>1069.0999999999999</v>
      </c>
      <c r="W1321" s="201">
        <f t="shared" si="132"/>
        <v>1069.0999999999999</v>
      </c>
      <c r="X1321" s="201">
        <f t="shared" si="132"/>
        <v>0</v>
      </c>
    </row>
    <row r="1322" spans="1:24" s="169" customFormat="1" ht="13.8">
      <c r="A1322" s="192" t="s">
        <v>1262</v>
      </c>
      <c r="B1322" s="170" t="s">
        <v>689</v>
      </c>
      <c r="C1322" s="183" t="str">
        <f t="shared" si="127"/>
        <v/>
      </c>
      <c r="D1322" s="182" t="str">
        <f t="shared" si="128"/>
        <v/>
      </c>
      <c r="E1322" s="206"/>
      <c r="F1322" s="207"/>
      <c r="G1322" s="207"/>
      <c r="H1322" s="205"/>
      <c r="I1322" s="167">
        <v>1069100000</v>
      </c>
      <c r="J1322" s="166"/>
      <c r="K1322" s="167">
        <v>1069100000</v>
      </c>
      <c r="L1322" s="171"/>
      <c r="M1322" s="168">
        <f t="shared" si="129"/>
        <v>1069100000</v>
      </c>
      <c r="N1322" s="171"/>
      <c r="O1322" s="167">
        <v>1069100000</v>
      </c>
      <c r="P1322" s="167">
        <f t="shared" si="130"/>
        <v>1069100000</v>
      </c>
      <c r="Q1322" s="167"/>
      <c r="S1322" s="201">
        <f t="shared" si="131"/>
        <v>1069.0999999999999</v>
      </c>
      <c r="T1322" s="201">
        <f t="shared" si="132"/>
        <v>1069.0999999999999</v>
      </c>
      <c r="U1322" s="201">
        <f t="shared" si="132"/>
        <v>0</v>
      </c>
      <c r="V1322" s="201">
        <f t="shared" si="132"/>
        <v>1069.0999999999999</v>
      </c>
      <c r="W1322" s="201">
        <f t="shared" si="132"/>
        <v>1069.0999999999999</v>
      </c>
      <c r="X1322" s="201">
        <f t="shared" si="132"/>
        <v>0</v>
      </c>
    </row>
    <row r="1323" spans="1:24" s="169" customFormat="1" ht="13.8">
      <c r="A1323" s="192"/>
      <c r="B1323" s="170" t="s">
        <v>686</v>
      </c>
      <c r="C1323" s="183" t="str">
        <f t="shared" si="127"/>
        <v/>
      </c>
      <c r="D1323" s="182" t="str">
        <f t="shared" si="128"/>
        <v/>
      </c>
      <c r="E1323" s="206"/>
      <c r="F1323" s="207"/>
      <c r="G1323" s="207"/>
      <c r="H1323" s="205"/>
      <c r="I1323" s="167">
        <v>1069100000</v>
      </c>
      <c r="J1323" s="166"/>
      <c r="K1323" s="167">
        <v>1069100000</v>
      </c>
      <c r="L1323" s="171"/>
      <c r="M1323" s="168">
        <f t="shared" si="129"/>
        <v>1069100000</v>
      </c>
      <c r="N1323" s="171"/>
      <c r="O1323" s="167">
        <v>1069100000</v>
      </c>
      <c r="P1323" s="167">
        <f t="shared" si="130"/>
        <v>1069100000</v>
      </c>
      <c r="Q1323" s="167"/>
      <c r="S1323" s="201">
        <f t="shared" si="131"/>
        <v>1069.0999999999999</v>
      </c>
      <c r="T1323" s="201">
        <f t="shared" si="132"/>
        <v>1069.0999999999999</v>
      </c>
      <c r="U1323" s="201">
        <f t="shared" si="132"/>
        <v>0</v>
      </c>
      <c r="V1323" s="201">
        <f t="shared" si="132"/>
        <v>1069.0999999999999</v>
      </c>
      <c r="W1323" s="201">
        <f t="shared" si="132"/>
        <v>1069.0999999999999</v>
      </c>
      <c r="X1323" s="201">
        <f t="shared" si="132"/>
        <v>0</v>
      </c>
    </row>
    <row r="1324" spans="1:24" s="169" customFormat="1" ht="13.8">
      <c r="A1324" s="193"/>
      <c r="B1324" s="187"/>
      <c r="C1324" s="183" t="str">
        <f t="shared" si="127"/>
        <v/>
      </c>
      <c r="D1324" s="182" t="str">
        <f t="shared" si="128"/>
        <v/>
      </c>
      <c r="E1324" s="192" t="s">
        <v>681</v>
      </c>
      <c r="F1324" s="192" t="s">
        <v>972</v>
      </c>
      <c r="G1324" s="192" t="s">
        <v>1263</v>
      </c>
      <c r="H1324" s="210" t="s">
        <v>1440</v>
      </c>
      <c r="I1324" s="167">
        <v>479100000</v>
      </c>
      <c r="J1324" s="166"/>
      <c r="K1324" s="167">
        <v>479100000</v>
      </c>
      <c r="L1324" s="171"/>
      <c r="M1324" s="168">
        <f t="shared" si="129"/>
        <v>479100000</v>
      </c>
      <c r="N1324" s="171"/>
      <c r="O1324" s="167">
        <v>479100000</v>
      </c>
      <c r="P1324" s="167">
        <f t="shared" si="130"/>
        <v>479100000</v>
      </c>
      <c r="Q1324" s="167"/>
      <c r="S1324" s="201">
        <f t="shared" si="131"/>
        <v>479.1</v>
      </c>
      <c r="T1324" s="201">
        <f t="shared" si="132"/>
        <v>479.1</v>
      </c>
      <c r="U1324" s="201">
        <f t="shared" si="132"/>
        <v>0</v>
      </c>
      <c r="V1324" s="201">
        <f t="shared" si="132"/>
        <v>479.1</v>
      </c>
      <c r="W1324" s="201">
        <f t="shared" si="132"/>
        <v>479.1</v>
      </c>
      <c r="X1324" s="201">
        <f t="shared" si="132"/>
        <v>0</v>
      </c>
    </row>
    <row r="1325" spans="1:24" s="169" customFormat="1" ht="13.8">
      <c r="A1325" s="195"/>
      <c r="B1325" s="188"/>
      <c r="C1325" s="183" t="str">
        <f t="shared" si="127"/>
        <v/>
      </c>
      <c r="D1325" s="182" t="str">
        <f t="shared" si="128"/>
        <v/>
      </c>
      <c r="E1325" s="192" t="s">
        <v>681</v>
      </c>
      <c r="F1325" s="192" t="s">
        <v>972</v>
      </c>
      <c r="G1325" s="192" t="s">
        <v>1083</v>
      </c>
      <c r="H1325" s="210" t="s">
        <v>1440</v>
      </c>
      <c r="I1325" s="167">
        <v>590000000</v>
      </c>
      <c r="J1325" s="166"/>
      <c r="K1325" s="167">
        <v>590000000</v>
      </c>
      <c r="L1325" s="171"/>
      <c r="M1325" s="168">
        <f t="shared" si="129"/>
        <v>590000000</v>
      </c>
      <c r="N1325" s="171"/>
      <c r="O1325" s="167">
        <v>590000000</v>
      </c>
      <c r="P1325" s="167">
        <f t="shared" si="130"/>
        <v>590000000</v>
      </c>
      <c r="Q1325" s="167"/>
      <c r="S1325" s="201">
        <f t="shared" si="131"/>
        <v>590</v>
      </c>
      <c r="T1325" s="201">
        <f t="shared" si="132"/>
        <v>590</v>
      </c>
      <c r="U1325" s="201">
        <f t="shared" si="132"/>
        <v>0</v>
      </c>
      <c r="V1325" s="201">
        <f t="shared" si="132"/>
        <v>590</v>
      </c>
      <c r="W1325" s="201">
        <f t="shared" si="132"/>
        <v>590</v>
      </c>
      <c r="X1325" s="201">
        <f t="shared" si="132"/>
        <v>0</v>
      </c>
    </row>
    <row r="1326" spans="1:24" s="169" customFormat="1" ht="13.8">
      <c r="A1326" s="192" t="s">
        <v>1264</v>
      </c>
      <c r="B1326" s="170" t="s">
        <v>1265</v>
      </c>
      <c r="C1326" s="183" t="str">
        <f t="shared" si="127"/>
        <v>1096916</v>
      </c>
      <c r="D1326" s="182" t="str">
        <f t="shared" si="128"/>
        <v>-Đoàn Luật sư tỉnh Kontum</v>
      </c>
      <c r="E1326" s="206"/>
      <c r="F1326" s="207"/>
      <c r="G1326" s="207"/>
      <c r="H1326" s="205"/>
      <c r="I1326" s="167">
        <v>90000000</v>
      </c>
      <c r="J1326" s="166"/>
      <c r="K1326" s="167">
        <v>50000000</v>
      </c>
      <c r="L1326" s="168">
        <v>40000000</v>
      </c>
      <c r="M1326" s="168">
        <f t="shared" si="129"/>
        <v>90000000</v>
      </c>
      <c r="N1326" s="168"/>
      <c r="O1326" s="167">
        <v>90000000</v>
      </c>
      <c r="P1326" s="167">
        <f t="shared" si="130"/>
        <v>90000000</v>
      </c>
      <c r="Q1326" s="167"/>
      <c r="S1326" s="201">
        <f t="shared" si="131"/>
        <v>90</v>
      </c>
      <c r="T1326" s="201">
        <f t="shared" si="132"/>
        <v>90</v>
      </c>
      <c r="U1326" s="201">
        <f t="shared" si="132"/>
        <v>0</v>
      </c>
      <c r="V1326" s="201">
        <f t="shared" si="132"/>
        <v>90</v>
      </c>
      <c r="W1326" s="201">
        <f t="shared" si="132"/>
        <v>90</v>
      </c>
      <c r="X1326" s="201">
        <f t="shared" si="132"/>
        <v>0</v>
      </c>
    </row>
    <row r="1327" spans="1:24" s="169" customFormat="1" ht="13.8">
      <c r="A1327" s="192" t="s">
        <v>1266</v>
      </c>
      <c r="B1327" s="170" t="s">
        <v>689</v>
      </c>
      <c r="C1327" s="183" t="str">
        <f t="shared" si="127"/>
        <v/>
      </c>
      <c r="D1327" s="182" t="str">
        <f t="shared" si="128"/>
        <v/>
      </c>
      <c r="E1327" s="206"/>
      <c r="F1327" s="207"/>
      <c r="G1327" s="207"/>
      <c r="H1327" s="205"/>
      <c r="I1327" s="167">
        <v>90000000</v>
      </c>
      <c r="J1327" s="166"/>
      <c r="K1327" s="167">
        <v>50000000</v>
      </c>
      <c r="L1327" s="168">
        <v>40000000</v>
      </c>
      <c r="M1327" s="168">
        <f t="shared" si="129"/>
        <v>90000000</v>
      </c>
      <c r="N1327" s="168"/>
      <c r="O1327" s="167">
        <v>90000000</v>
      </c>
      <c r="P1327" s="167">
        <f t="shared" si="130"/>
        <v>90000000</v>
      </c>
      <c r="Q1327" s="167"/>
      <c r="S1327" s="201">
        <f t="shared" si="131"/>
        <v>90</v>
      </c>
      <c r="T1327" s="201">
        <f t="shared" si="132"/>
        <v>90</v>
      </c>
      <c r="U1327" s="201">
        <f t="shared" si="132"/>
        <v>0</v>
      </c>
      <c r="V1327" s="201">
        <f t="shared" si="132"/>
        <v>90</v>
      </c>
      <c r="W1327" s="201">
        <f t="shared" si="132"/>
        <v>90</v>
      </c>
      <c r="X1327" s="201">
        <f t="shared" si="132"/>
        <v>0</v>
      </c>
    </row>
    <row r="1328" spans="1:24" s="169" customFormat="1" ht="13.8">
      <c r="A1328" s="192"/>
      <c r="B1328" s="170" t="s">
        <v>686</v>
      </c>
      <c r="C1328" s="183" t="str">
        <f t="shared" si="127"/>
        <v/>
      </c>
      <c r="D1328" s="182" t="str">
        <f t="shared" si="128"/>
        <v/>
      </c>
      <c r="E1328" s="206"/>
      <c r="F1328" s="207"/>
      <c r="G1328" s="207"/>
      <c r="H1328" s="205"/>
      <c r="I1328" s="167">
        <v>90000000</v>
      </c>
      <c r="J1328" s="166"/>
      <c r="K1328" s="167">
        <v>50000000</v>
      </c>
      <c r="L1328" s="168">
        <v>40000000</v>
      </c>
      <c r="M1328" s="168">
        <f t="shared" si="129"/>
        <v>90000000</v>
      </c>
      <c r="N1328" s="168"/>
      <c r="O1328" s="167">
        <v>90000000</v>
      </c>
      <c r="P1328" s="167">
        <f t="shared" si="130"/>
        <v>90000000</v>
      </c>
      <c r="Q1328" s="167"/>
      <c r="S1328" s="201">
        <f t="shared" si="131"/>
        <v>90</v>
      </c>
      <c r="T1328" s="201">
        <f t="shared" si="132"/>
        <v>90</v>
      </c>
      <c r="U1328" s="201">
        <f t="shared" si="132"/>
        <v>0</v>
      </c>
      <c r="V1328" s="201">
        <f t="shared" si="132"/>
        <v>90</v>
      </c>
      <c r="W1328" s="201">
        <f t="shared" si="132"/>
        <v>90</v>
      </c>
      <c r="X1328" s="201">
        <f t="shared" si="132"/>
        <v>0</v>
      </c>
    </row>
    <row r="1329" spans="1:24" s="169" customFormat="1" ht="13.8">
      <c r="A1329" s="192"/>
      <c r="B1329" s="164"/>
      <c r="C1329" s="183" t="str">
        <f t="shared" si="127"/>
        <v/>
      </c>
      <c r="D1329" s="182" t="str">
        <f t="shared" si="128"/>
        <v/>
      </c>
      <c r="E1329" s="192" t="s">
        <v>681</v>
      </c>
      <c r="F1329" s="192" t="s">
        <v>760</v>
      </c>
      <c r="G1329" s="192" t="s">
        <v>906</v>
      </c>
      <c r="H1329" s="210" t="s">
        <v>1440</v>
      </c>
      <c r="I1329" s="167">
        <v>90000000</v>
      </c>
      <c r="J1329" s="166"/>
      <c r="K1329" s="167">
        <v>50000000</v>
      </c>
      <c r="L1329" s="168">
        <v>40000000</v>
      </c>
      <c r="M1329" s="168">
        <f t="shared" si="129"/>
        <v>90000000</v>
      </c>
      <c r="N1329" s="168"/>
      <c r="O1329" s="167">
        <v>90000000</v>
      </c>
      <c r="P1329" s="167">
        <f t="shared" si="130"/>
        <v>90000000</v>
      </c>
      <c r="Q1329" s="167"/>
      <c r="S1329" s="201">
        <f t="shared" si="131"/>
        <v>90</v>
      </c>
      <c r="T1329" s="201">
        <f t="shared" si="132"/>
        <v>90</v>
      </c>
      <c r="U1329" s="201">
        <f t="shared" si="132"/>
        <v>0</v>
      </c>
      <c r="V1329" s="201">
        <f t="shared" si="132"/>
        <v>90</v>
      </c>
      <c r="W1329" s="201">
        <f t="shared" si="132"/>
        <v>90</v>
      </c>
      <c r="X1329" s="201">
        <f t="shared" si="132"/>
        <v>0</v>
      </c>
    </row>
    <row r="1330" spans="1:24" s="169" customFormat="1" ht="13.8">
      <c r="A1330" s="192" t="s">
        <v>1267</v>
      </c>
      <c r="B1330" s="170" t="s">
        <v>1268</v>
      </c>
      <c r="C1330" s="183" t="str">
        <f t="shared" si="127"/>
        <v>1098089</v>
      </c>
      <c r="D1330" s="182" t="str">
        <f t="shared" si="128"/>
        <v>-Hội Nhà báo</v>
      </c>
      <c r="E1330" s="206"/>
      <c r="F1330" s="207"/>
      <c r="G1330" s="207"/>
      <c r="H1330" s="205"/>
      <c r="I1330" s="167">
        <v>949731750</v>
      </c>
      <c r="J1330" s="167">
        <v>24231750</v>
      </c>
      <c r="K1330" s="167">
        <v>820000000</v>
      </c>
      <c r="L1330" s="168">
        <v>105500000</v>
      </c>
      <c r="M1330" s="168">
        <f t="shared" si="129"/>
        <v>949731750</v>
      </c>
      <c r="N1330" s="168"/>
      <c r="O1330" s="167">
        <v>912785750</v>
      </c>
      <c r="P1330" s="167">
        <f t="shared" si="130"/>
        <v>912785750</v>
      </c>
      <c r="Q1330" s="167"/>
      <c r="S1330" s="201">
        <f t="shared" si="131"/>
        <v>949.73175000000003</v>
      </c>
      <c r="T1330" s="201">
        <f t="shared" si="132"/>
        <v>949.73175000000003</v>
      </c>
      <c r="U1330" s="201">
        <f t="shared" si="132"/>
        <v>0</v>
      </c>
      <c r="V1330" s="201">
        <f t="shared" si="132"/>
        <v>912.78575000000001</v>
      </c>
      <c r="W1330" s="201">
        <f t="shared" si="132"/>
        <v>912.78575000000001</v>
      </c>
      <c r="X1330" s="201">
        <f t="shared" si="132"/>
        <v>0</v>
      </c>
    </row>
    <row r="1331" spans="1:24" s="169" customFormat="1" ht="13.8">
      <c r="A1331" s="192" t="s">
        <v>1269</v>
      </c>
      <c r="B1331" s="170" t="s">
        <v>689</v>
      </c>
      <c r="C1331" s="183" t="str">
        <f t="shared" si="127"/>
        <v/>
      </c>
      <c r="D1331" s="182" t="str">
        <f t="shared" si="128"/>
        <v/>
      </c>
      <c r="E1331" s="206"/>
      <c r="F1331" s="207"/>
      <c r="G1331" s="207"/>
      <c r="H1331" s="205"/>
      <c r="I1331" s="167">
        <v>949731750</v>
      </c>
      <c r="J1331" s="167">
        <v>24231750</v>
      </c>
      <c r="K1331" s="167">
        <v>820000000</v>
      </c>
      <c r="L1331" s="168">
        <v>105500000</v>
      </c>
      <c r="M1331" s="168">
        <f t="shared" si="129"/>
        <v>949731750</v>
      </c>
      <c r="N1331" s="168"/>
      <c r="O1331" s="167">
        <v>912785750</v>
      </c>
      <c r="P1331" s="167">
        <f t="shared" si="130"/>
        <v>912785750</v>
      </c>
      <c r="Q1331" s="167"/>
      <c r="S1331" s="201">
        <f t="shared" si="131"/>
        <v>949.73175000000003</v>
      </c>
      <c r="T1331" s="201">
        <f t="shared" si="132"/>
        <v>949.73175000000003</v>
      </c>
      <c r="U1331" s="201">
        <f t="shared" si="132"/>
        <v>0</v>
      </c>
      <c r="V1331" s="201">
        <f t="shared" si="132"/>
        <v>912.78575000000001</v>
      </c>
      <c r="W1331" s="201">
        <f t="shared" si="132"/>
        <v>912.78575000000001</v>
      </c>
      <c r="X1331" s="201">
        <f t="shared" si="132"/>
        <v>0</v>
      </c>
    </row>
    <row r="1332" spans="1:24" s="169" customFormat="1" ht="13.8">
      <c r="A1332" s="192"/>
      <c r="B1332" s="170" t="s">
        <v>686</v>
      </c>
      <c r="C1332" s="183" t="str">
        <f t="shared" si="127"/>
        <v/>
      </c>
      <c r="D1332" s="182" t="str">
        <f t="shared" si="128"/>
        <v/>
      </c>
      <c r="E1332" s="206"/>
      <c r="F1332" s="207"/>
      <c r="G1332" s="207"/>
      <c r="H1332" s="205"/>
      <c r="I1332" s="167">
        <v>949731750</v>
      </c>
      <c r="J1332" s="167">
        <v>24231750</v>
      </c>
      <c r="K1332" s="167">
        <v>820000000</v>
      </c>
      <c r="L1332" s="168">
        <v>105500000</v>
      </c>
      <c r="M1332" s="168">
        <f t="shared" si="129"/>
        <v>949731750</v>
      </c>
      <c r="N1332" s="168"/>
      <c r="O1332" s="167">
        <v>912785750</v>
      </c>
      <c r="P1332" s="167">
        <f t="shared" si="130"/>
        <v>912785750</v>
      </c>
      <c r="Q1332" s="167"/>
      <c r="S1332" s="201">
        <f t="shared" si="131"/>
        <v>949.73175000000003</v>
      </c>
      <c r="T1332" s="201">
        <f t="shared" si="132"/>
        <v>949.73175000000003</v>
      </c>
      <c r="U1332" s="201">
        <f t="shared" si="132"/>
        <v>0</v>
      </c>
      <c r="V1332" s="201">
        <f t="shared" si="132"/>
        <v>912.78575000000001</v>
      </c>
      <c r="W1332" s="201">
        <f t="shared" si="132"/>
        <v>912.78575000000001</v>
      </c>
      <c r="X1332" s="201">
        <f t="shared" si="132"/>
        <v>0</v>
      </c>
    </row>
    <row r="1333" spans="1:24" s="169" customFormat="1" ht="13.8">
      <c r="A1333" s="193"/>
      <c r="B1333" s="187"/>
      <c r="C1333" s="183" t="str">
        <f t="shared" si="127"/>
        <v/>
      </c>
      <c r="D1333" s="182" t="str">
        <f t="shared" si="128"/>
        <v/>
      </c>
      <c r="E1333" s="192" t="s">
        <v>681</v>
      </c>
      <c r="F1333" s="192" t="s">
        <v>1270</v>
      </c>
      <c r="G1333" s="192" t="s">
        <v>786</v>
      </c>
      <c r="H1333" s="210" t="s">
        <v>1440</v>
      </c>
      <c r="I1333" s="167">
        <v>834252750</v>
      </c>
      <c r="J1333" s="167">
        <v>14252750</v>
      </c>
      <c r="K1333" s="167">
        <v>820000000</v>
      </c>
      <c r="L1333" s="171"/>
      <c r="M1333" s="168">
        <f t="shared" si="129"/>
        <v>834252750</v>
      </c>
      <c r="N1333" s="171"/>
      <c r="O1333" s="167">
        <v>797306750</v>
      </c>
      <c r="P1333" s="167">
        <f t="shared" si="130"/>
        <v>797306750</v>
      </c>
      <c r="Q1333" s="167"/>
      <c r="S1333" s="201">
        <f t="shared" si="131"/>
        <v>834.25274999999999</v>
      </c>
      <c r="T1333" s="201">
        <f t="shared" si="132"/>
        <v>834.25274999999999</v>
      </c>
      <c r="U1333" s="201">
        <f t="shared" si="132"/>
        <v>0</v>
      </c>
      <c r="V1333" s="201">
        <f t="shared" si="132"/>
        <v>797.30674999999997</v>
      </c>
      <c r="W1333" s="201">
        <f t="shared" si="132"/>
        <v>797.30674999999997</v>
      </c>
      <c r="X1333" s="201">
        <f t="shared" si="132"/>
        <v>0</v>
      </c>
    </row>
    <row r="1334" spans="1:24" s="169" customFormat="1" ht="13.8">
      <c r="A1334" s="195"/>
      <c r="B1334" s="188"/>
      <c r="C1334" s="183" t="str">
        <f t="shared" si="127"/>
        <v/>
      </c>
      <c r="D1334" s="182" t="str">
        <f t="shared" si="128"/>
        <v/>
      </c>
      <c r="E1334" s="192" t="s">
        <v>679</v>
      </c>
      <c r="F1334" s="192" t="s">
        <v>1270</v>
      </c>
      <c r="G1334" s="192" t="s">
        <v>786</v>
      </c>
      <c r="H1334" s="210" t="s">
        <v>1440</v>
      </c>
      <c r="I1334" s="167">
        <v>10500000</v>
      </c>
      <c r="J1334" s="166"/>
      <c r="K1334" s="166"/>
      <c r="L1334" s="168">
        <v>10500000</v>
      </c>
      <c r="M1334" s="168">
        <f t="shared" si="129"/>
        <v>10500000</v>
      </c>
      <c r="N1334" s="168"/>
      <c r="O1334" s="167">
        <v>10500000</v>
      </c>
      <c r="P1334" s="167">
        <f t="shared" si="130"/>
        <v>10500000</v>
      </c>
      <c r="Q1334" s="167"/>
      <c r="S1334" s="201">
        <f t="shared" si="131"/>
        <v>10.5</v>
      </c>
      <c r="T1334" s="201">
        <f t="shared" si="132"/>
        <v>10.5</v>
      </c>
      <c r="U1334" s="201">
        <f t="shared" si="132"/>
        <v>0</v>
      </c>
      <c r="V1334" s="201">
        <f t="shared" si="132"/>
        <v>10.5</v>
      </c>
      <c r="W1334" s="201">
        <f t="shared" si="132"/>
        <v>10.5</v>
      </c>
      <c r="X1334" s="201">
        <f t="shared" si="132"/>
        <v>0</v>
      </c>
    </row>
    <row r="1335" spans="1:24" s="169" customFormat="1" ht="13.8">
      <c r="A1335" s="192"/>
      <c r="B1335" s="173"/>
      <c r="C1335" s="183" t="str">
        <f t="shared" si="127"/>
        <v/>
      </c>
      <c r="D1335" s="182" t="str">
        <f t="shared" si="128"/>
        <v/>
      </c>
      <c r="E1335" s="192"/>
      <c r="F1335" s="192"/>
      <c r="G1335" s="192"/>
      <c r="H1335" s="210"/>
      <c r="I1335" s="174"/>
      <c r="J1335" s="174"/>
      <c r="K1335" s="174"/>
      <c r="L1335" s="175"/>
      <c r="M1335" s="168">
        <f t="shared" si="129"/>
        <v>0</v>
      </c>
      <c r="N1335" s="175"/>
      <c r="O1335" s="174"/>
      <c r="P1335" s="167">
        <f t="shared" si="130"/>
        <v>0</v>
      </c>
      <c r="Q1335" s="174"/>
      <c r="S1335" s="201">
        <f t="shared" si="131"/>
        <v>0</v>
      </c>
      <c r="T1335" s="201">
        <f t="shared" si="132"/>
        <v>0</v>
      </c>
      <c r="U1335" s="201">
        <f t="shared" si="132"/>
        <v>0</v>
      </c>
      <c r="V1335" s="201">
        <f t="shared" si="132"/>
        <v>0</v>
      </c>
      <c r="W1335" s="201">
        <f t="shared" si="132"/>
        <v>0</v>
      </c>
      <c r="X1335" s="201">
        <f t="shared" si="132"/>
        <v>0</v>
      </c>
    </row>
    <row r="1336" spans="1:24" s="169" customFormat="1" ht="13.8">
      <c r="A1336" s="192"/>
      <c r="B1336" s="164"/>
      <c r="C1336" s="183" t="str">
        <f t="shared" si="127"/>
        <v/>
      </c>
      <c r="D1336" s="182" t="str">
        <f t="shared" si="128"/>
        <v/>
      </c>
      <c r="E1336" s="192" t="s">
        <v>667</v>
      </c>
      <c r="F1336" s="192" t="s">
        <v>1270</v>
      </c>
      <c r="G1336" s="192" t="s">
        <v>786</v>
      </c>
      <c r="H1336" s="210" t="s">
        <v>1440</v>
      </c>
      <c r="I1336" s="167">
        <v>104979000</v>
      </c>
      <c r="J1336" s="167">
        <v>9979000</v>
      </c>
      <c r="K1336" s="166"/>
      <c r="L1336" s="168">
        <v>95000000</v>
      </c>
      <c r="M1336" s="168">
        <f t="shared" si="129"/>
        <v>104979000</v>
      </c>
      <c r="N1336" s="168"/>
      <c r="O1336" s="167">
        <v>104979000</v>
      </c>
      <c r="P1336" s="167">
        <f t="shared" si="130"/>
        <v>104979000</v>
      </c>
      <c r="Q1336" s="167"/>
      <c r="S1336" s="201">
        <f t="shared" si="131"/>
        <v>104.979</v>
      </c>
      <c r="T1336" s="201">
        <f t="shared" si="132"/>
        <v>104.979</v>
      </c>
      <c r="U1336" s="201">
        <f t="shared" si="132"/>
        <v>0</v>
      </c>
      <c r="V1336" s="201">
        <f t="shared" si="132"/>
        <v>104.979</v>
      </c>
      <c r="W1336" s="201">
        <f t="shared" si="132"/>
        <v>104.979</v>
      </c>
      <c r="X1336" s="201">
        <f t="shared" si="132"/>
        <v>0</v>
      </c>
    </row>
    <row r="1337" spans="1:24" s="169" customFormat="1" ht="26.4">
      <c r="A1337" s="192" t="s">
        <v>1271</v>
      </c>
      <c r="B1337" s="165" t="s">
        <v>1272</v>
      </c>
      <c r="C1337" s="183" t="str">
        <f t="shared" si="127"/>
        <v>1098191</v>
      </c>
      <c r="D1337" s="182" t="str">
        <f t="shared" si="128"/>
        <v>-TSng đội Thanh niên xung phong Tĩnh Kon Tum</v>
      </c>
      <c r="E1337" s="206"/>
      <c r="F1337" s="207"/>
      <c r="G1337" s="207"/>
      <c r="H1337" s="205"/>
      <c r="I1337" s="167">
        <v>242000000</v>
      </c>
      <c r="J1337" s="166"/>
      <c r="K1337" s="167">
        <v>242000000</v>
      </c>
      <c r="L1337" s="171"/>
      <c r="M1337" s="168">
        <f t="shared" si="129"/>
        <v>242000000</v>
      </c>
      <c r="N1337" s="171"/>
      <c r="O1337" s="167">
        <v>242000000</v>
      </c>
      <c r="P1337" s="167">
        <f t="shared" si="130"/>
        <v>242000000</v>
      </c>
      <c r="Q1337" s="167"/>
      <c r="S1337" s="201">
        <f t="shared" si="131"/>
        <v>242</v>
      </c>
      <c r="T1337" s="201">
        <f t="shared" si="132"/>
        <v>242</v>
      </c>
      <c r="U1337" s="201">
        <f t="shared" si="132"/>
        <v>0</v>
      </c>
      <c r="V1337" s="201">
        <f t="shared" si="132"/>
        <v>242</v>
      </c>
      <c r="W1337" s="201">
        <f t="shared" si="132"/>
        <v>242</v>
      </c>
      <c r="X1337" s="201">
        <f t="shared" si="132"/>
        <v>0</v>
      </c>
    </row>
    <row r="1338" spans="1:24" s="169" customFormat="1" ht="13.8">
      <c r="A1338" s="192" t="s">
        <v>1273</v>
      </c>
      <c r="B1338" s="170" t="s">
        <v>689</v>
      </c>
      <c r="C1338" s="183" t="str">
        <f t="shared" si="127"/>
        <v/>
      </c>
      <c r="D1338" s="182" t="str">
        <f t="shared" si="128"/>
        <v/>
      </c>
      <c r="E1338" s="206"/>
      <c r="F1338" s="207"/>
      <c r="G1338" s="207"/>
      <c r="H1338" s="205"/>
      <c r="I1338" s="167">
        <v>242000000</v>
      </c>
      <c r="J1338" s="166"/>
      <c r="K1338" s="167">
        <v>242000000</v>
      </c>
      <c r="L1338" s="171"/>
      <c r="M1338" s="168">
        <f t="shared" si="129"/>
        <v>242000000</v>
      </c>
      <c r="N1338" s="171"/>
      <c r="O1338" s="167">
        <v>242000000</v>
      </c>
      <c r="P1338" s="167">
        <f t="shared" si="130"/>
        <v>242000000</v>
      </c>
      <c r="Q1338" s="167"/>
      <c r="S1338" s="201">
        <f t="shared" si="131"/>
        <v>242</v>
      </c>
      <c r="T1338" s="201">
        <f t="shared" si="132"/>
        <v>242</v>
      </c>
      <c r="U1338" s="201">
        <f t="shared" si="132"/>
        <v>0</v>
      </c>
      <c r="V1338" s="201">
        <f t="shared" si="132"/>
        <v>242</v>
      </c>
      <c r="W1338" s="201">
        <f t="shared" si="132"/>
        <v>242</v>
      </c>
      <c r="X1338" s="201">
        <f t="shared" si="132"/>
        <v>0</v>
      </c>
    </row>
    <row r="1339" spans="1:24" s="169" customFormat="1" ht="13.8">
      <c r="A1339" s="192"/>
      <c r="B1339" s="170" t="s">
        <v>686</v>
      </c>
      <c r="C1339" s="183" t="str">
        <f t="shared" si="127"/>
        <v/>
      </c>
      <c r="D1339" s="182" t="str">
        <f t="shared" si="128"/>
        <v/>
      </c>
      <c r="E1339" s="206"/>
      <c r="F1339" s="207"/>
      <c r="G1339" s="207"/>
      <c r="H1339" s="205"/>
      <c r="I1339" s="167">
        <v>242000000</v>
      </c>
      <c r="J1339" s="166"/>
      <c r="K1339" s="167">
        <v>242000000</v>
      </c>
      <c r="L1339" s="171"/>
      <c r="M1339" s="168">
        <f t="shared" si="129"/>
        <v>242000000</v>
      </c>
      <c r="N1339" s="171"/>
      <c r="O1339" s="167">
        <v>242000000</v>
      </c>
      <c r="P1339" s="167">
        <f t="shared" si="130"/>
        <v>242000000</v>
      </c>
      <c r="Q1339" s="167"/>
      <c r="S1339" s="201">
        <f t="shared" si="131"/>
        <v>242</v>
      </c>
      <c r="T1339" s="201">
        <f t="shared" si="132"/>
        <v>242</v>
      </c>
      <c r="U1339" s="201">
        <f t="shared" si="132"/>
        <v>0</v>
      </c>
      <c r="V1339" s="201">
        <f t="shared" si="132"/>
        <v>242</v>
      </c>
      <c r="W1339" s="201">
        <f t="shared" si="132"/>
        <v>242</v>
      </c>
      <c r="X1339" s="201">
        <f t="shared" si="132"/>
        <v>0</v>
      </c>
    </row>
    <row r="1340" spans="1:24" s="169" customFormat="1" ht="13.8">
      <c r="A1340" s="192"/>
      <c r="B1340" s="164"/>
      <c r="C1340" s="183" t="str">
        <f t="shared" si="127"/>
        <v/>
      </c>
      <c r="D1340" s="182" t="str">
        <f t="shared" si="128"/>
        <v/>
      </c>
      <c r="E1340" s="192" t="s">
        <v>681</v>
      </c>
      <c r="F1340" s="192" t="s">
        <v>864</v>
      </c>
      <c r="G1340" s="192" t="s">
        <v>786</v>
      </c>
      <c r="H1340" s="210" t="s">
        <v>1440</v>
      </c>
      <c r="I1340" s="167">
        <v>242000000</v>
      </c>
      <c r="J1340" s="166"/>
      <c r="K1340" s="167">
        <v>242000000</v>
      </c>
      <c r="L1340" s="171"/>
      <c r="M1340" s="168">
        <f t="shared" si="129"/>
        <v>242000000</v>
      </c>
      <c r="N1340" s="171"/>
      <c r="O1340" s="167">
        <v>242000000</v>
      </c>
      <c r="P1340" s="167">
        <f t="shared" si="130"/>
        <v>242000000</v>
      </c>
      <c r="Q1340" s="167"/>
      <c r="S1340" s="201">
        <f t="shared" si="131"/>
        <v>242</v>
      </c>
      <c r="T1340" s="201">
        <f t="shared" si="132"/>
        <v>242</v>
      </c>
      <c r="U1340" s="201">
        <f t="shared" si="132"/>
        <v>0</v>
      </c>
      <c r="V1340" s="201">
        <f t="shared" si="132"/>
        <v>242</v>
      </c>
      <c r="W1340" s="201">
        <f t="shared" si="132"/>
        <v>242</v>
      </c>
      <c r="X1340" s="201">
        <f t="shared" si="132"/>
        <v>0</v>
      </c>
    </row>
    <row r="1341" spans="1:24" s="169" customFormat="1" ht="39.6">
      <c r="A1341" s="192" t="s">
        <v>1274</v>
      </c>
      <c r="B1341" s="165" t="s">
        <v>1275</v>
      </c>
      <c r="C1341" s="183" t="str">
        <f t="shared" si="127"/>
        <v>1098455</v>
      </c>
      <c r="D1341" s="182" t="str">
        <f t="shared" si="128"/>
        <v>-Trường Trung học PhS thông Ngô Mây Thành phố Kontum tỉnh Kontum</v>
      </c>
      <c r="E1341" s="206"/>
      <c r="F1341" s="207"/>
      <c r="G1341" s="207"/>
      <c r="H1341" s="205"/>
      <c r="I1341" s="167">
        <v>8669501000</v>
      </c>
      <c r="J1341" s="166"/>
      <c r="K1341" s="167">
        <v>8328490000</v>
      </c>
      <c r="L1341" s="168">
        <v>341011000</v>
      </c>
      <c r="M1341" s="168">
        <f t="shared" si="129"/>
        <v>8669501000</v>
      </c>
      <c r="N1341" s="168"/>
      <c r="O1341" s="167">
        <v>8361115000</v>
      </c>
      <c r="P1341" s="167">
        <f t="shared" si="130"/>
        <v>8361115000</v>
      </c>
      <c r="Q1341" s="167"/>
      <c r="S1341" s="201">
        <f t="shared" si="131"/>
        <v>8669.5010000000002</v>
      </c>
      <c r="T1341" s="201">
        <f t="shared" si="132"/>
        <v>8669.5010000000002</v>
      </c>
      <c r="U1341" s="201">
        <f t="shared" si="132"/>
        <v>0</v>
      </c>
      <c r="V1341" s="201">
        <f t="shared" si="132"/>
        <v>8361.1149999999998</v>
      </c>
      <c r="W1341" s="201">
        <f t="shared" si="132"/>
        <v>8361.1149999999998</v>
      </c>
      <c r="X1341" s="201">
        <f t="shared" si="132"/>
        <v>0</v>
      </c>
    </row>
    <row r="1342" spans="1:24" s="169" customFormat="1" ht="13.8">
      <c r="A1342" s="192" t="s">
        <v>1276</v>
      </c>
      <c r="B1342" s="170" t="s">
        <v>689</v>
      </c>
      <c r="C1342" s="183" t="str">
        <f t="shared" si="127"/>
        <v/>
      </c>
      <c r="D1342" s="182" t="str">
        <f t="shared" si="128"/>
        <v/>
      </c>
      <c r="E1342" s="206"/>
      <c r="F1342" s="207"/>
      <c r="G1342" s="207"/>
      <c r="H1342" s="205"/>
      <c r="I1342" s="167">
        <v>8669501000</v>
      </c>
      <c r="J1342" s="166"/>
      <c r="K1342" s="167">
        <v>8328490000</v>
      </c>
      <c r="L1342" s="168">
        <v>341011000</v>
      </c>
      <c r="M1342" s="168">
        <f t="shared" si="129"/>
        <v>8669501000</v>
      </c>
      <c r="N1342" s="168"/>
      <c r="O1342" s="167">
        <v>8361115000</v>
      </c>
      <c r="P1342" s="167">
        <f t="shared" si="130"/>
        <v>8361115000</v>
      </c>
      <c r="Q1342" s="167"/>
      <c r="S1342" s="201">
        <f t="shared" si="131"/>
        <v>8669.5010000000002</v>
      </c>
      <c r="T1342" s="201">
        <f t="shared" si="132"/>
        <v>8669.5010000000002</v>
      </c>
      <c r="U1342" s="201">
        <f t="shared" si="132"/>
        <v>0</v>
      </c>
      <c r="V1342" s="201">
        <f t="shared" si="132"/>
        <v>8361.1149999999998</v>
      </c>
      <c r="W1342" s="201">
        <f t="shared" si="132"/>
        <v>8361.1149999999998</v>
      </c>
      <c r="X1342" s="201">
        <f t="shared" si="132"/>
        <v>0</v>
      </c>
    </row>
    <row r="1343" spans="1:24" s="169" customFormat="1" ht="13.8">
      <c r="A1343" s="192"/>
      <c r="B1343" s="170" t="s">
        <v>690</v>
      </c>
      <c r="C1343" s="183" t="str">
        <f t="shared" si="127"/>
        <v/>
      </c>
      <c r="D1343" s="182" t="str">
        <f t="shared" si="128"/>
        <v/>
      </c>
      <c r="E1343" s="206"/>
      <c r="F1343" s="207"/>
      <c r="G1343" s="207"/>
      <c r="H1343" s="205"/>
      <c r="I1343" s="167">
        <v>7812526000</v>
      </c>
      <c r="J1343" s="166"/>
      <c r="K1343" s="167">
        <v>7797915000</v>
      </c>
      <c r="L1343" s="168">
        <v>14611000</v>
      </c>
      <c r="M1343" s="168">
        <f t="shared" si="129"/>
        <v>7812526000</v>
      </c>
      <c r="N1343" s="168"/>
      <c r="O1343" s="167">
        <v>7812526000</v>
      </c>
      <c r="P1343" s="167">
        <f t="shared" si="130"/>
        <v>7812526000</v>
      </c>
      <c r="Q1343" s="167"/>
      <c r="S1343" s="201">
        <f t="shared" si="131"/>
        <v>7812.5259999999998</v>
      </c>
      <c r="T1343" s="201">
        <f t="shared" si="132"/>
        <v>7812.5259999999998</v>
      </c>
      <c r="U1343" s="201">
        <f t="shared" si="132"/>
        <v>0</v>
      </c>
      <c r="V1343" s="201">
        <f t="shared" si="132"/>
        <v>7812.5259999999998</v>
      </c>
      <c r="W1343" s="201">
        <f t="shared" si="132"/>
        <v>7812.5259999999998</v>
      </c>
      <c r="X1343" s="201">
        <f t="shared" si="132"/>
        <v>0</v>
      </c>
    </row>
    <row r="1344" spans="1:24" s="169" customFormat="1" ht="13.8">
      <c r="A1344" s="193"/>
      <c r="B1344" s="187"/>
      <c r="C1344" s="183" t="str">
        <f t="shared" si="127"/>
        <v/>
      </c>
      <c r="D1344" s="182" t="str">
        <f t="shared" si="128"/>
        <v/>
      </c>
      <c r="E1344" s="192" t="s">
        <v>666</v>
      </c>
      <c r="F1344" s="192" t="s">
        <v>677</v>
      </c>
      <c r="G1344" s="192" t="s">
        <v>678</v>
      </c>
      <c r="H1344" s="210" t="s">
        <v>1440</v>
      </c>
      <c r="I1344" s="167">
        <v>7666915000</v>
      </c>
      <c r="J1344" s="166"/>
      <c r="K1344" s="167">
        <v>7666915000</v>
      </c>
      <c r="L1344" s="171"/>
      <c r="M1344" s="168">
        <f t="shared" si="129"/>
        <v>7666915000</v>
      </c>
      <c r="N1344" s="171"/>
      <c r="O1344" s="167">
        <v>7666915000</v>
      </c>
      <c r="P1344" s="167">
        <f t="shared" si="130"/>
        <v>7666915000</v>
      </c>
      <c r="Q1344" s="167"/>
      <c r="S1344" s="201">
        <f t="shared" si="131"/>
        <v>7666.915</v>
      </c>
      <c r="T1344" s="201">
        <f t="shared" si="132"/>
        <v>7666.915</v>
      </c>
      <c r="U1344" s="201">
        <f t="shared" si="132"/>
        <v>0</v>
      </c>
      <c r="V1344" s="201">
        <f t="shared" si="132"/>
        <v>7666.915</v>
      </c>
      <c r="W1344" s="201">
        <f t="shared" si="132"/>
        <v>7666.915</v>
      </c>
      <c r="X1344" s="201">
        <f t="shared" si="132"/>
        <v>0</v>
      </c>
    </row>
    <row r="1345" spans="1:24" s="169" customFormat="1" ht="13.8">
      <c r="A1345" s="194"/>
      <c r="B1345" s="184"/>
      <c r="C1345" s="183" t="str">
        <f t="shared" si="127"/>
        <v/>
      </c>
      <c r="D1345" s="182" t="str">
        <f t="shared" si="128"/>
        <v/>
      </c>
      <c r="E1345" s="192" t="s">
        <v>679</v>
      </c>
      <c r="F1345" s="192" t="s">
        <v>677</v>
      </c>
      <c r="G1345" s="192" t="s">
        <v>678</v>
      </c>
      <c r="H1345" s="210" t="s">
        <v>1440</v>
      </c>
      <c r="I1345" s="167">
        <v>131000000</v>
      </c>
      <c r="J1345" s="166"/>
      <c r="K1345" s="167">
        <v>131000000</v>
      </c>
      <c r="L1345" s="171"/>
      <c r="M1345" s="168">
        <f t="shared" si="129"/>
        <v>131000000</v>
      </c>
      <c r="N1345" s="171"/>
      <c r="O1345" s="167">
        <v>131000000</v>
      </c>
      <c r="P1345" s="167">
        <f t="shared" si="130"/>
        <v>131000000</v>
      </c>
      <c r="Q1345" s="167"/>
      <c r="S1345" s="201">
        <f t="shared" si="131"/>
        <v>131</v>
      </c>
      <c r="T1345" s="201">
        <f t="shared" si="132"/>
        <v>131</v>
      </c>
      <c r="U1345" s="201">
        <f t="shared" si="132"/>
        <v>0</v>
      </c>
      <c r="V1345" s="201">
        <f t="shared" si="132"/>
        <v>131</v>
      </c>
      <c r="W1345" s="201">
        <f t="shared" si="132"/>
        <v>131</v>
      </c>
      <c r="X1345" s="201">
        <f t="shared" si="132"/>
        <v>0</v>
      </c>
    </row>
    <row r="1346" spans="1:24" s="169" customFormat="1" ht="13.8">
      <c r="A1346" s="195"/>
      <c r="B1346" s="188"/>
      <c r="C1346" s="183" t="str">
        <f t="shared" si="127"/>
        <v/>
      </c>
      <c r="D1346" s="182" t="str">
        <f t="shared" si="128"/>
        <v/>
      </c>
      <c r="E1346" s="192" t="s">
        <v>669</v>
      </c>
      <c r="F1346" s="192" t="s">
        <v>677</v>
      </c>
      <c r="G1346" s="192" t="s">
        <v>678</v>
      </c>
      <c r="H1346" s="210" t="s">
        <v>1440</v>
      </c>
      <c r="I1346" s="167">
        <v>14611000</v>
      </c>
      <c r="J1346" s="166"/>
      <c r="K1346" s="166"/>
      <c r="L1346" s="168">
        <v>14611000</v>
      </c>
      <c r="M1346" s="168">
        <f t="shared" si="129"/>
        <v>14611000</v>
      </c>
      <c r="N1346" s="168"/>
      <c r="O1346" s="167">
        <v>14611000</v>
      </c>
      <c r="P1346" s="167">
        <f t="shared" si="130"/>
        <v>14611000</v>
      </c>
      <c r="Q1346" s="167"/>
      <c r="S1346" s="201">
        <f t="shared" si="131"/>
        <v>14.611000000000001</v>
      </c>
      <c r="T1346" s="201">
        <f t="shared" si="132"/>
        <v>14.611000000000001</v>
      </c>
      <c r="U1346" s="201">
        <f t="shared" si="132"/>
        <v>0</v>
      </c>
      <c r="V1346" s="201">
        <f t="shared" si="132"/>
        <v>14.611000000000001</v>
      </c>
      <c r="W1346" s="201">
        <f t="shared" si="132"/>
        <v>14.611000000000001</v>
      </c>
      <c r="X1346" s="201">
        <f t="shared" si="132"/>
        <v>0</v>
      </c>
    </row>
    <row r="1347" spans="1:24" s="169" customFormat="1" ht="13.8">
      <c r="A1347" s="192"/>
      <c r="B1347" s="170" t="s">
        <v>686</v>
      </c>
      <c r="C1347" s="183" t="str">
        <f t="shared" si="127"/>
        <v/>
      </c>
      <c r="D1347" s="182" t="str">
        <f t="shared" si="128"/>
        <v/>
      </c>
      <c r="E1347" s="206"/>
      <c r="F1347" s="207"/>
      <c r="G1347" s="207"/>
      <c r="H1347" s="205"/>
      <c r="I1347" s="167">
        <v>856975000</v>
      </c>
      <c r="J1347" s="166"/>
      <c r="K1347" s="167">
        <v>530575000</v>
      </c>
      <c r="L1347" s="168">
        <v>326400000</v>
      </c>
      <c r="M1347" s="168">
        <f t="shared" si="129"/>
        <v>856975000</v>
      </c>
      <c r="N1347" s="168"/>
      <c r="O1347" s="167">
        <v>548589000</v>
      </c>
      <c r="P1347" s="167">
        <f t="shared" si="130"/>
        <v>548589000</v>
      </c>
      <c r="Q1347" s="167"/>
      <c r="S1347" s="201">
        <f t="shared" si="131"/>
        <v>856.97500000000002</v>
      </c>
      <c r="T1347" s="201">
        <f t="shared" si="132"/>
        <v>856.97500000000002</v>
      </c>
      <c r="U1347" s="201">
        <f t="shared" si="132"/>
        <v>0</v>
      </c>
      <c r="V1347" s="201">
        <f t="shared" si="132"/>
        <v>548.58900000000006</v>
      </c>
      <c r="W1347" s="201">
        <f t="shared" si="132"/>
        <v>548.58900000000006</v>
      </c>
      <c r="X1347" s="201">
        <f t="shared" si="132"/>
        <v>0</v>
      </c>
    </row>
    <row r="1348" spans="1:24" s="169" customFormat="1" ht="13.8">
      <c r="A1348" s="193"/>
      <c r="B1348" s="187"/>
      <c r="C1348" s="183" t="str">
        <f t="shared" si="127"/>
        <v/>
      </c>
      <c r="D1348" s="182" t="str">
        <f t="shared" si="128"/>
        <v/>
      </c>
      <c r="E1348" s="192" t="s">
        <v>681</v>
      </c>
      <c r="F1348" s="192" t="s">
        <v>677</v>
      </c>
      <c r="G1348" s="192" t="s">
        <v>678</v>
      </c>
      <c r="H1348" s="210" t="s">
        <v>1440</v>
      </c>
      <c r="I1348" s="167">
        <v>280000000</v>
      </c>
      <c r="J1348" s="166"/>
      <c r="K1348" s="167">
        <v>280000000</v>
      </c>
      <c r="L1348" s="171"/>
      <c r="M1348" s="168">
        <f t="shared" si="129"/>
        <v>280000000</v>
      </c>
      <c r="N1348" s="171"/>
      <c r="O1348" s="167">
        <v>276114000</v>
      </c>
      <c r="P1348" s="167">
        <f t="shared" si="130"/>
        <v>276114000</v>
      </c>
      <c r="Q1348" s="167"/>
      <c r="S1348" s="201">
        <f t="shared" si="131"/>
        <v>280</v>
      </c>
      <c r="T1348" s="201">
        <f t="shared" si="132"/>
        <v>280</v>
      </c>
      <c r="U1348" s="201">
        <f t="shared" si="132"/>
        <v>0</v>
      </c>
      <c r="V1348" s="201">
        <f t="shared" si="132"/>
        <v>276.11399999999998</v>
      </c>
      <c r="W1348" s="201">
        <f t="shared" si="132"/>
        <v>276.11399999999998</v>
      </c>
      <c r="X1348" s="201">
        <f t="shared" si="132"/>
        <v>0</v>
      </c>
    </row>
    <row r="1349" spans="1:24" s="169" customFormat="1" ht="13.8">
      <c r="A1349" s="194"/>
      <c r="B1349" s="184"/>
      <c r="C1349" s="183" t="str">
        <f t="shared" si="127"/>
        <v/>
      </c>
      <c r="D1349" s="182" t="str">
        <f t="shared" si="128"/>
        <v/>
      </c>
      <c r="E1349" s="192" t="s">
        <v>667</v>
      </c>
      <c r="F1349" s="192" t="s">
        <v>677</v>
      </c>
      <c r="G1349" s="192" t="s">
        <v>678</v>
      </c>
      <c r="H1349" s="210" t="s">
        <v>1440</v>
      </c>
      <c r="I1349" s="167">
        <v>300000000</v>
      </c>
      <c r="J1349" s="166"/>
      <c r="K1349" s="166"/>
      <c r="L1349" s="168">
        <v>300000000</v>
      </c>
      <c r="M1349" s="168">
        <f t="shared" si="129"/>
        <v>300000000</v>
      </c>
      <c r="N1349" s="168"/>
      <c r="O1349" s="166"/>
      <c r="P1349" s="167">
        <f t="shared" si="130"/>
        <v>0</v>
      </c>
      <c r="Q1349" s="166"/>
      <c r="S1349" s="201">
        <f t="shared" si="131"/>
        <v>300</v>
      </c>
      <c r="T1349" s="201">
        <f t="shared" si="132"/>
        <v>300</v>
      </c>
      <c r="U1349" s="201">
        <f t="shared" si="132"/>
        <v>0</v>
      </c>
      <c r="V1349" s="201">
        <f t="shared" si="132"/>
        <v>0</v>
      </c>
      <c r="W1349" s="201">
        <f t="shared" si="132"/>
        <v>0</v>
      </c>
      <c r="X1349" s="201">
        <f t="shared" si="132"/>
        <v>0</v>
      </c>
    </row>
    <row r="1350" spans="1:24" s="169" customFormat="1" ht="13.8">
      <c r="A1350" s="195"/>
      <c r="B1350" s="188"/>
      <c r="C1350" s="183" t="str">
        <f t="shared" si="127"/>
        <v/>
      </c>
      <c r="D1350" s="182" t="str">
        <f t="shared" si="128"/>
        <v/>
      </c>
      <c r="E1350" s="192" t="s">
        <v>669</v>
      </c>
      <c r="F1350" s="192" t="s">
        <v>677</v>
      </c>
      <c r="G1350" s="192" t="s">
        <v>678</v>
      </c>
      <c r="H1350" s="210" t="s">
        <v>1440</v>
      </c>
      <c r="I1350" s="167">
        <v>276975000</v>
      </c>
      <c r="J1350" s="166"/>
      <c r="K1350" s="167">
        <v>250575000</v>
      </c>
      <c r="L1350" s="168">
        <v>26400000</v>
      </c>
      <c r="M1350" s="168">
        <f t="shared" si="129"/>
        <v>276975000</v>
      </c>
      <c r="N1350" s="168"/>
      <c r="O1350" s="167">
        <v>272475000</v>
      </c>
      <c r="P1350" s="167">
        <f t="shared" si="130"/>
        <v>272475000</v>
      </c>
      <c r="Q1350" s="167"/>
      <c r="S1350" s="201">
        <f t="shared" si="131"/>
        <v>276.97500000000002</v>
      </c>
      <c r="T1350" s="201">
        <f t="shared" si="132"/>
        <v>276.97500000000002</v>
      </c>
      <c r="U1350" s="201">
        <f t="shared" si="132"/>
        <v>0</v>
      </c>
      <c r="V1350" s="201">
        <f t="shared" si="132"/>
        <v>272.47500000000002</v>
      </c>
      <c r="W1350" s="201">
        <f t="shared" si="132"/>
        <v>272.47500000000002</v>
      </c>
      <c r="X1350" s="201">
        <f t="shared" si="132"/>
        <v>0</v>
      </c>
    </row>
    <row r="1351" spans="1:24" s="169" customFormat="1" ht="26.4">
      <c r="A1351" s="192" t="s">
        <v>1277</v>
      </c>
      <c r="B1351" s="165" t="s">
        <v>1278</v>
      </c>
      <c r="C1351" s="183" t="str">
        <f t="shared" si="127"/>
        <v>1098629</v>
      </c>
      <c r="D1351" s="182" t="str">
        <f t="shared" si="128"/>
        <v>-Chi cục An toàn Vệ sinh Thực phẩm tỉnh Kontum</v>
      </c>
      <c r="E1351" s="206"/>
      <c r="F1351" s="207"/>
      <c r="G1351" s="207"/>
      <c r="H1351" s="205"/>
      <c r="I1351" s="167">
        <v>6141280182</v>
      </c>
      <c r="J1351" s="166"/>
      <c r="K1351" s="167">
        <v>4785430182</v>
      </c>
      <c r="L1351" s="168">
        <v>1355850000</v>
      </c>
      <c r="M1351" s="168">
        <f t="shared" si="129"/>
        <v>6141280182</v>
      </c>
      <c r="N1351" s="168"/>
      <c r="O1351" s="167">
        <v>4845280182</v>
      </c>
      <c r="P1351" s="167">
        <f t="shared" si="130"/>
        <v>4845280182</v>
      </c>
      <c r="Q1351" s="167"/>
      <c r="S1351" s="201">
        <f t="shared" si="131"/>
        <v>6141.2801820000004</v>
      </c>
      <c r="T1351" s="201">
        <f t="shared" si="132"/>
        <v>6141.2801820000004</v>
      </c>
      <c r="U1351" s="201">
        <f t="shared" si="132"/>
        <v>0</v>
      </c>
      <c r="V1351" s="201">
        <f t="shared" si="132"/>
        <v>4845.2801820000004</v>
      </c>
      <c r="W1351" s="201">
        <f t="shared" si="132"/>
        <v>4845.2801820000004</v>
      </c>
      <c r="X1351" s="201">
        <f t="shared" si="132"/>
        <v>0</v>
      </c>
    </row>
    <row r="1352" spans="1:24" s="169" customFormat="1" ht="13.8">
      <c r="A1352" s="192" t="s">
        <v>1279</v>
      </c>
      <c r="B1352" s="170" t="s">
        <v>689</v>
      </c>
      <c r="C1352" s="183" t="str">
        <f t="shared" si="127"/>
        <v/>
      </c>
      <c r="D1352" s="182" t="str">
        <f t="shared" si="128"/>
        <v/>
      </c>
      <c r="E1352" s="206"/>
      <c r="F1352" s="207"/>
      <c r="G1352" s="207"/>
      <c r="H1352" s="205"/>
      <c r="I1352" s="167">
        <v>4841280182</v>
      </c>
      <c r="J1352" s="166"/>
      <c r="K1352" s="167">
        <v>4785430182</v>
      </c>
      <c r="L1352" s="168">
        <v>55850000</v>
      </c>
      <c r="M1352" s="168">
        <f t="shared" si="129"/>
        <v>4841280182</v>
      </c>
      <c r="N1352" s="168"/>
      <c r="O1352" s="167">
        <v>4841280182</v>
      </c>
      <c r="P1352" s="167">
        <f t="shared" si="130"/>
        <v>4841280182</v>
      </c>
      <c r="Q1352" s="167"/>
      <c r="S1352" s="201">
        <f t="shared" si="131"/>
        <v>4841.2801820000004</v>
      </c>
      <c r="T1352" s="201">
        <f t="shared" si="132"/>
        <v>4841.2801820000004</v>
      </c>
      <c r="U1352" s="201">
        <f t="shared" si="132"/>
        <v>0</v>
      </c>
      <c r="V1352" s="201">
        <f t="shared" si="132"/>
        <v>4841.2801820000004</v>
      </c>
      <c r="W1352" s="201">
        <f t="shared" si="132"/>
        <v>4841.2801820000004</v>
      </c>
      <c r="X1352" s="201">
        <f t="shared" si="132"/>
        <v>0</v>
      </c>
    </row>
    <row r="1353" spans="1:24" s="169" customFormat="1" ht="13.8">
      <c r="A1353" s="192"/>
      <c r="B1353" s="170" t="s">
        <v>690</v>
      </c>
      <c r="C1353" s="183" t="str">
        <f t="shared" si="127"/>
        <v/>
      </c>
      <c r="D1353" s="182" t="str">
        <f t="shared" si="128"/>
        <v/>
      </c>
      <c r="E1353" s="206"/>
      <c r="F1353" s="207"/>
      <c r="G1353" s="207"/>
      <c r="H1353" s="205"/>
      <c r="I1353" s="167">
        <v>1249000000</v>
      </c>
      <c r="J1353" s="166"/>
      <c r="K1353" s="167">
        <v>1249000000</v>
      </c>
      <c r="L1353" s="171"/>
      <c r="M1353" s="168">
        <f t="shared" si="129"/>
        <v>1249000000</v>
      </c>
      <c r="N1353" s="171"/>
      <c r="O1353" s="167">
        <v>1249000000</v>
      </c>
      <c r="P1353" s="167">
        <f t="shared" si="130"/>
        <v>1249000000</v>
      </c>
      <c r="Q1353" s="167"/>
      <c r="S1353" s="201">
        <f t="shared" si="131"/>
        <v>1249</v>
      </c>
      <c r="T1353" s="201">
        <f t="shared" si="132"/>
        <v>1249</v>
      </c>
      <c r="U1353" s="201">
        <f t="shared" si="132"/>
        <v>0</v>
      </c>
      <c r="V1353" s="201">
        <f t="shared" si="132"/>
        <v>1249</v>
      </c>
      <c r="W1353" s="201">
        <f t="shared" si="132"/>
        <v>1249</v>
      </c>
      <c r="X1353" s="201">
        <f t="shared" si="132"/>
        <v>0</v>
      </c>
    </row>
    <row r="1354" spans="1:24" s="169" customFormat="1" ht="13.8">
      <c r="A1354" s="192"/>
      <c r="B1354" s="164"/>
      <c r="C1354" s="183" t="str">
        <f t="shared" si="127"/>
        <v/>
      </c>
      <c r="D1354" s="182" t="str">
        <f t="shared" si="128"/>
        <v/>
      </c>
      <c r="E1354" s="192" t="s">
        <v>666</v>
      </c>
      <c r="F1354" s="192" t="s">
        <v>705</v>
      </c>
      <c r="G1354" s="192" t="s">
        <v>766</v>
      </c>
      <c r="H1354" s="210" t="s">
        <v>1440</v>
      </c>
      <c r="I1354" s="167">
        <v>1249000000</v>
      </c>
      <c r="J1354" s="166"/>
      <c r="K1354" s="167">
        <v>1249000000</v>
      </c>
      <c r="L1354" s="171"/>
      <c r="M1354" s="168">
        <f t="shared" si="129"/>
        <v>1249000000</v>
      </c>
      <c r="N1354" s="171"/>
      <c r="O1354" s="167">
        <v>1249000000</v>
      </c>
      <c r="P1354" s="167">
        <f t="shared" si="130"/>
        <v>1249000000</v>
      </c>
      <c r="Q1354" s="167"/>
      <c r="S1354" s="201">
        <f t="shared" si="131"/>
        <v>1249</v>
      </c>
      <c r="T1354" s="201">
        <f t="shared" si="132"/>
        <v>1249</v>
      </c>
      <c r="U1354" s="201">
        <f t="shared" si="132"/>
        <v>0</v>
      </c>
      <c r="V1354" s="201">
        <f t="shared" si="132"/>
        <v>1249</v>
      </c>
      <c r="W1354" s="201">
        <f t="shared" si="132"/>
        <v>1249</v>
      </c>
      <c r="X1354" s="201">
        <f t="shared" si="132"/>
        <v>0</v>
      </c>
    </row>
    <row r="1355" spans="1:24" s="169" customFormat="1" ht="13.8">
      <c r="A1355" s="192"/>
      <c r="B1355" s="170" t="s">
        <v>686</v>
      </c>
      <c r="C1355" s="183" t="str">
        <f t="shared" si="127"/>
        <v/>
      </c>
      <c r="D1355" s="182" t="str">
        <f t="shared" si="128"/>
        <v/>
      </c>
      <c r="E1355" s="206"/>
      <c r="F1355" s="207"/>
      <c r="G1355" s="207"/>
      <c r="H1355" s="205"/>
      <c r="I1355" s="167">
        <v>3592280182</v>
      </c>
      <c r="J1355" s="166"/>
      <c r="K1355" s="167">
        <v>3536430182</v>
      </c>
      <c r="L1355" s="168">
        <v>55850000</v>
      </c>
      <c r="M1355" s="168">
        <f t="shared" si="129"/>
        <v>3592280182</v>
      </c>
      <c r="N1355" s="168"/>
      <c r="O1355" s="167">
        <v>3592280182</v>
      </c>
      <c r="P1355" s="167">
        <f t="shared" si="130"/>
        <v>3592280182</v>
      </c>
      <c r="Q1355" s="167"/>
      <c r="S1355" s="201">
        <f t="shared" si="131"/>
        <v>3592.280182</v>
      </c>
      <c r="T1355" s="201">
        <f t="shared" ref="T1355:X1405" si="133">M1355/1000000</f>
        <v>3592.280182</v>
      </c>
      <c r="U1355" s="201">
        <f t="shared" si="133"/>
        <v>0</v>
      </c>
      <c r="V1355" s="201">
        <f t="shared" si="133"/>
        <v>3592.280182</v>
      </c>
      <c r="W1355" s="201">
        <f t="shared" si="133"/>
        <v>3592.280182</v>
      </c>
      <c r="X1355" s="201">
        <f t="shared" si="133"/>
        <v>0</v>
      </c>
    </row>
    <row r="1356" spans="1:24" s="169" customFormat="1" ht="13.8">
      <c r="A1356" s="193"/>
      <c r="B1356" s="187"/>
      <c r="C1356" s="183" t="str">
        <f t="shared" si="127"/>
        <v/>
      </c>
      <c r="D1356" s="182" t="str">
        <f t="shared" si="128"/>
        <v/>
      </c>
      <c r="E1356" s="192" t="s">
        <v>681</v>
      </c>
      <c r="F1356" s="192" t="s">
        <v>705</v>
      </c>
      <c r="G1356" s="192" t="s">
        <v>766</v>
      </c>
      <c r="H1356" s="210" t="s">
        <v>1440</v>
      </c>
      <c r="I1356" s="167">
        <v>55850000</v>
      </c>
      <c r="J1356" s="166"/>
      <c r="K1356" s="166"/>
      <c r="L1356" s="168">
        <v>55850000</v>
      </c>
      <c r="M1356" s="168">
        <f t="shared" si="129"/>
        <v>55850000</v>
      </c>
      <c r="N1356" s="168"/>
      <c r="O1356" s="167">
        <v>55850000</v>
      </c>
      <c r="P1356" s="167">
        <f t="shared" si="130"/>
        <v>55850000</v>
      </c>
      <c r="Q1356" s="167"/>
      <c r="S1356" s="201">
        <f t="shared" si="131"/>
        <v>55.85</v>
      </c>
      <c r="T1356" s="201">
        <f t="shared" si="133"/>
        <v>55.85</v>
      </c>
      <c r="U1356" s="201">
        <f t="shared" si="133"/>
        <v>0</v>
      </c>
      <c r="V1356" s="201">
        <f t="shared" si="133"/>
        <v>55.85</v>
      </c>
      <c r="W1356" s="201">
        <f t="shared" si="133"/>
        <v>55.85</v>
      </c>
      <c r="X1356" s="201">
        <f t="shared" si="133"/>
        <v>0</v>
      </c>
    </row>
    <row r="1357" spans="1:24" s="169" customFormat="1" ht="13.8">
      <c r="A1357" s="195"/>
      <c r="B1357" s="188"/>
      <c r="C1357" s="183" t="str">
        <f t="shared" si="127"/>
        <v/>
      </c>
      <c r="D1357" s="182" t="str">
        <f t="shared" si="128"/>
        <v/>
      </c>
      <c r="E1357" s="192" t="s">
        <v>681</v>
      </c>
      <c r="F1357" s="192" t="s">
        <v>705</v>
      </c>
      <c r="G1357" s="192" t="s">
        <v>775</v>
      </c>
      <c r="H1357" s="210" t="s">
        <v>1440</v>
      </c>
      <c r="I1357" s="167">
        <v>3536430182</v>
      </c>
      <c r="J1357" s="166"/>
      <c r="K1357" s="167">
        <v>3536430182</v>
      </c>
      <c r="L1357" s="171"/>
      <c r="M1357" s="168">
        <f t="shared" si="129"/>
        <v>3536430182</v>
      </c>
      <c r="N1357" s="171"/>
      <c r="O1357" s="167">
        <v>3536430182</v>
      </c>
      <c r="P1357" s="167">
        <f t="shared" si="130"/>
        <v>3536430182</v>
      </c>
      <c r="Q1357" s="167"/>
      <c r="S1357" s="201">
        <f t="shared" si="131"/>
        <v>3536.4301820000001</v>
      </c>
      <c r="T1357" s="201">
        <f t="shared" si="133"/>
        <v>3536.4301820000001</v>
      </c>
      <c r="U1357" s="201">
        <f t="shared" si="133"/>
        <v>0</v>
      </c>
      <c r="V1357" s="201">
        <f t="shared" si="133"/>
        <v>3536.4301820000001</v>
      </c>
      <c r="W1357" s="201">
        <f t="shared" si="133"/>
        <v>3536.4301820000001</v>
      </c>
      <c r="X1357" s="201">
        <f t="shared" si="133"/>
        <v>0</v>
      </c>
    </row>
    <row r="1358" spans="1:24" s="169" customFormat="1" ht="13.8">
      <c r="A1358" s="192" t="s">
        <v>1280</v>
      </c>
      <c r="B1358" s="170" t="s">
        <v>701</v>
      </c>
      <c r="C1358" s="183" t="str">
        <f t="shared" si="127"/>
        <v/>
      </c>
      <c r="D1358" s="182" t="str">
        <f t="shared" si="128"/>
        <v/>
      </c>
      <c r="E1358" s="206"/>
      <c r="F1358" s="207"/>
      <c r="G1358" s="207"/>
      <c r="H1358" s="205"/>
      <c r="I1358" s="167">
        <v>1300000000</v>
      </c>
      <c r="J1358" s="166"/>
      <c r="K1358" s="166"/>
      <c r="L1358" s="168">
        <v>1300000000</v>
      </c>
      <c r="M1358" s="168">
        <f t="shared" si="129"/>
        <v>1300000000</v>
      </c>
      <c r="N1358" s="168"/>
      <c r="O1358" s="167">
        <v>4000000</v>
      </c>
      <c r="P1358" s="167">
        <f t="shared" si="130"/>
        <v>4000000</v>
      </c>
      <c r="Q1358" s="167"/>
      <c r="S1358" s="201">
        <f t="shared" si="131"/>
        <v>1300</v>
      </c>
      <c r="T1358" s="201">
        <f t="shared" si="133"/>
        <v>1300</v>
      </c>
      <c r="U1358" s="201">
        <f t="shared" si="133"/>
        <v>0</v>
      </c>
      <c r="V1358" s="201">
        <f t="shared" si="133"/>
        <v>4</v>
      </c>
      <c r="W1358" s="201">
        <f t="shared" si="133"/>
        <v>4</v>
      </c>
      <c r="X1358" s="201">
        <f t="shared" si="133"/>
        <v>0</v>
      </c>
    </row>
    <row r="1359" spans="1:24" s="169" customFormat="1" ht="13.8">
      <c r="A1359" s="192"/>
      <c r="B1359" s="164"/>
      <c r="C1359" s="183" t="str">
        <f t="shared" si="127"/>
        <v/>
      </c>
      <c r="D1359" s="182" t="str">
        <f t="shared" si="128"/>
        <v/>
      </c>
      <c r="E1359" s="192" t="s">
        <v>667</v>
      </c>
      <c r="F1359" s="192" t="s">
        <v>705</v>
      </c>
      <c r="G1359" s="192" t="s">
        <v>775</v>
      </c>
      <c r="H1359" s="210" t="s">
        <v>1455</v>
      </c>
      <c r="I1359" s="167">
        <v>1300000000</v>
      </c>
      <c r="J1359" s="166"/>
      <c r="K1359" s="166"/>
      <c r="L1359" s="168">
        <v>1300000000</v>
      </c>
      <c r="M1359" s="168">
        <f t="shared" si="129"/>
        <v>1300000000</v>
      </c>
      <c r="N1359" s="168"/>
      <c r="O1359" s="167">
        <v>4000000</v>
      </c>
      <c r="P1359" s="167">
        <f t="shared" si="130"/>
        <v>4000000</v>
      </c>
      <c r="Q1359" s="167"/>
      <c r="S1359" s="201">
        <f t="shared" si="131"/>
        <v>1300</v>
      </c>
      <c r="T1359" s="201">
        <f t="shared" si="133"/>
        <v>1300</v>
      </c>
      <c r="U1359" s="201">
        <f t="shared" si="133"/>
        <v>0</v>
      </c>
      <c r="V1359" s="201">
        <f t="shared" si="133"/>
        <v>4</v>
      </c>
      <c r="W1359" s="201">
        <f t="shared" si="133"/>
        <v>4</v>
      </c>
      <c r="X1359" s="201">
        <f t="shared" si="133"/>
        <v>0</v>
      </c>
    </row>
    <row r="1360" spans="1:24" s="169" customFormat="1" ht="27.6">
      <c r="A1360" s="192" t="s">
        <v>1281</v>
      </c>
      <c r="B1360" s="165" t="s">
        <v>1282</v>
      </c>
      <c r="C1360" s="183" t="str">
        <f t="shared" si="127"/>
        <v>1098957</v>
      </c>
      <c r="D1360" s="182" t="str">
        <f t="shared" si="128"/>
        <v>-Uỷ ban tỉnh Kontum - Hội Liên hiệp Thanh niên Việt nam</v>
      </c>
      <c r="E1360" s="206"/>
      <c r="F1360" s="207"/>
      <c r="G1360" s="207"/>
      <c r="H1360" s="205"/>
      <c r="I1360" s="167">
        <v>171000000</v>
      </c>
      <c r="J1360" s="166"/>
      <c r="K1360" s="167">
        <v>171000000</v>
      </c>
      <c r="L1360" s="171"/>
      <c r="M1360" s="168">
        <f t="shared" si="129"/>
        <v>171000000</v>
      </c>
      <c r="N1360" s="171"/>
      <c r="O1360" s="167">
        <v>171000000</v>
      </c>
      <c r="P1360" s="167">
        <f t="shared" si="130"/>
        <v>171000000</v>
      </c>
      <c r="Q1360" s="167"/>
      <c r="S1360" s="201">
        <f t="shared" si="131"/>
        <v>171</v>
      </c>
      <c r="T1360" s="201">
        <f t="shared" si="133"/>
        <v>171</v>
      </c>
      <c r="U1360" s="201">
        <f t="shared" si="133"/>
        <v>0</v>
      </c>
      <c r="V1360" s="201">
        <f t="shared" si="133"/>
        <v>171</v>
      </c>
      <c r="W1360" s="201">
        <f t="shared" si="133"/>
        <v>171</v>
      </c>
      <c r="X1360" s="201">
        <f t="shared" si="133"/>
        <v>0</v>
      </c>
    </row>
    <row r="1361" spans="1:24" s="169" customFormat="1" ht="13.8">
      <c r="A1361" s="192" t="s">
        <v>1283</v>
      </c>
      <c r="B1361" s="170" t="s">
        <v>689</v>
      </c>
      <c r="C1361" s="183" t="str">
        <f t="shared" si="127"/>
        <v/>
      </c>
      <c r="D1361" s="182" t="str">
        <f t="shared" si="128"/>
        <v/>
      </c>
      <c r="E1361" s="206"/>
      <c r="F1361" s="207"/>
      <c r="G1361" s="207"/>
      <c r="H1361" s="205"/>
      <c r="I1361" s="167">
        <v>171000000</v>
      </c>
      <c r="J1361" s="166"/>
      <c r="K1361" s="167">
        <v>171000000</v>
      </c>
      <c r="L1361" s="171"/>
      <c r="M1361" s="168">
        <f t="shared" si="129"/>
        <v>171000000</v>
      </c>
      <c r="N1361" s="171"/>
      <c r="O1361" s="167">
        <v>171000000</v>
      </c>
      <c r="P1361" s="167">
        <f t="shared" si="130"/>
        <v>171000000</v>
      </c>
      <c r="Q1361" s="167"/>
      <c r="S1361" s="201">
        <f t="shared" si="131"/>
        <v>171</v>
      </c>
      <c r="T1361" s="201">
        <f t="shared" si="133"/>
        <v>171</v>
      </c>
      <c r="U1361" s="201">
        <f t="shared" si="133"/>
        <v>0</v>
      </c>
      <c r="V1361" s="201">
        <f t="shared" si="133"/>
        <v>171</v>
      </c>
      <c r="W1361" s="201">
        <f t="shared" si="133"/>
        <v>171</v>
      </c>
      <c r="X1361" s="201">
        <f t="shared" si="133"/>
        <v>0</v>
      </c>
    </row>
    <row r="1362" spans="1:24" s="169" customFormat="1" ht="13.8">
      <c r="A1362" s="192"/>
      <c r="B1362" s="170" t="s">
        <v>686</v>
      </c>
      <c r="C1362" s="183" t="str">
        <f t="shared" si="127"/>
        <v/>
      </c>
      <c r="D1362" s="182" t="str">
        <f t="shared" si="128"/>
        <v/>
      </c>
      <c r="E1362" s="206"/>
      <c r="F1362" s="207"/>
      <c r="G1362" s="207"/>
      <c r="H1362" s="205"/>
      <c r="I1362" s="167">
        <v>171000000</v>
      </c>
      <c r="J1362" s="166"/>
      <c r="K1362" s="167">
        <v>171000000</v>
      </c>
      <c r="L1362" s="171"/>
      <c r="M1362" s="168">
        <f t="shared" si="129"/>
        <v>171000000</v>
      </c>
      <c r="N1362" s="171"/>
      <c r="O1362" s="167">
        <v>171000000</v>
      </c>
      <c r="P1362" s="167">
        <f t="shared" si="130"/>
        <v>171000000</v>
      </c>
      <c r="Q1362" s="167"/>
      <c r="S1362" s="201">
        <f t="shared" si="131"/>
        <v>171</v>
      </c>
      <c r="T1362" s="201">
        <f t="shared" si="133"/>
        <v>171</v>
      </c>
      <c r="U1362" s="201">
        <f t="shared" si="133"/>
        <v>0</v>
      </c>
      <c r="V1362" s="201">
        <f t="shared" si="133"/>
        <v>171</v>
      </c>
      <c r="W1362" s="201">
        <f t="shared" si="133"/>
        <v>171</v>
      </c>
      <c r="X1362" s="201">
        <f t="shared" si="133"/>
        <v>0</v>
      </c>
    </row>
    <row r="1363" spans="1:24" s="169" customFormat="1" ht="13.8">
      <c r="A1363" s="192"/>
      <c r="B1363" s="164"/>
      <c r="C1363" s="183" t="str">
        <f t="shared" si="127"/>
        <v/>
      </c>
      <c r="D1363" s="182" t="str">
        <f t="shared" si="128"/>
        <v/>
      </c>
      <c r="E1363" s="192" t="s">
        <v>681</v>
      </c>
      <c r="F1363" s="192" t="s">
        <v>864</v>
      </c>
      <c r="G1363" s="192" t="s">
        <v>786</v>
      </c>
      <c r="H1363" s="210" t="s">
        <v>1440</v>
      </c>
      <c r="I1363" s="167">
        <v>171000000</v>
      </c>
      <c r="J1363" s="166"/>
      <c r="K1363" s="167">
        <v>171000000</v>
      </c>
      <c r="L1363" s="171"/>
      <c r="M1363" s="168">
        <f t="shared" si="129"/>
        <v>171000000</v>
      </c>
      <c r="N1363" s="171"/>
      <c r="O1363" s="167">
        <v>171000000</v>
      </c>
      <c r="P1363" s="167">
        <f t="shared" si="130"/>
        <v>171000000</v>
      </c>
      <c r="Q1363" s="167"/>
      <c r="S1363" s="201">
        <f t="shared" si="131"/>
        <v>171</v>
      </c>
      <c r="T1363" s="201">
        <f t="shared" si="133"/>
        <v>171</v>
      </c>
      <c r="U1363" s="201">
        <f t="shared" si="133"/>
        <v>0</v>
      </c>
      <c r="V1363" s="201">
        <f t="shared" si="133"/>
        <v>171</v>
      </c>
      <c r="W1363" s="201">
        <f t="shared" si="133"/>
        <v>171</v>
      </c>
      <c r="X1363" s="201">
        <f t="shared" si="133"/>
        <v>0</v>
      </c>
    </row>
    <row r="1364" spans="1:24" s="169" customFormat="1" ht="39.6">
      <c r="A1364" s="192" t="s">
        <v>1284</v>
      </c>
      <c r="B1364" s="165" t="s">
        <v>1285</v>
      </c>
      <c r="C1364" s="183" t="str">
        <f t="shared" si="127"/>
        <v>1102850</v>
      </c>
      <c r="D1364" s="182" t="str">
        <f t="shared" si="128"/>
        <v>-Chi cục quản lý chãt lượng Nông lâm sản và Thủy sản tỉnh Kon Tum</v>
      </c>
      <c r="E1364" s="206"/>
      <c r="F1364" s="207"/>
      <c r="G1364" s="207"/>
      <c r="H1364" s="205"/>
      <c r="I1364" s="167">
        <v>3894500000</v>
      </c>
      <c r="J1364" s="166"/>
      <c r="K1364" s="167">
        <v>2086000000</v>
      </c>
      <c r="L1364" s="168">
        <v>1808500000</v>
      </c>
      <c r="M1364" s="168">
        <f t="shared" si="129"/>
        <v>3894500000</v>
      </c>
      <c r="N1364" s="168"/>
      <c r="O1364" s="167">
        <v>2026025900</v>
      </c>
      <c r="P1364" s="167">
        <f t="shared" si="130"/>
        <v>2026025900</v>
      </c>
      <c r="Q1364" s="167"/>
      <c r="S1364" s="201">
        <f t="shared" si="131"/>
        <v>3894.5</v>
      </c>
      <c r="T1364" s="201">
        <f t="shared" si="133"/>
        <v>3894.5</v>
      </c>
      <c r="U1364" s="201">
        <f t="shared" si="133"/>
        <v>0</v>
      </c>
      <c r="V1364" s="201">
        <f t="shared" si="133"/>
        <v>2026.0259000000001</v>
      </c>
      <c r="W1364" s="201">
        <f t="shared" si="133"/>
        <v>2026.0259000000001</v>
      </c>
      <c r="X1364" s="201">
        <f t="shared" si="133"/>
        <v>0</v>
      </c>
    </row>
    <row r="1365" spans="1:24" s="169" customFormat="1" ht="13.8">
      <c r="A1365" s="192"/>
      <c r="B1365" s="173"/>
      <c r="C1365" s="183" t="str">
        <f t="shared" si="127"/>
        <v/>
      </c>
      <c r="D1365" s="182" t="str">
        <f t="shared" si="128"/>
        <v/>
      </c>
      <c r="E1365" s="192"/>
      <c r="F1365" s="192"/>
      <c r="G1365" s="192"/>
      <c r="H1365" s="210"/>
      <c r="I1365" s="174"/>
      <c r="J1365" s="174"/>
      <c r="K1365" s="174"/>
      <c r="L1365" s="175"/>
      <c r="M1365" s="168">
        <f t="shared" si="129"/>
        <v>0</v>
      </c>
      <c r="N1365" s="175"/>
      <c r="O1365" s="174"/>
      <c r="P1365" s="167">
        <f t="shared" si="130"/>
        <v>0</v>
      </c>
      <c r="Q1365" s="174"/>
      <c r="S1365" s="201">
        <f t="shared" si="131"/>
        <v>0</v>
      </c>
      <c r="T1365" s="201">
        <f t="shared" si="133"/>
        <v>0</v>
      </c>
      <c r="U1365" s="201">
        <f t="shared" si="133"/>
        <v>0</v>
      </c>
      <c r="V1365" s="201">
        <f t="shared" si="133"/>
        <v>0</v>
      </c>
      <c r="W1365" s="201">
        <f t="shared" si="133"/>
        <v>0</v>
      </c>
      <c r="X1365" s="201">
        <f t="shared" si="133"/>
        <v>0</v>
      </c>
    </row>
    <row r="1366" spans="1:24" s="169" customFormat="1" ht="13.8">
      <c r="A1366" s="192" t="s">
        <v>1286</v>
      </c>
      <c r="B1366" s="164" t="s">
        <v>675</v>
      </c>
      <c r="C1366" s="183" t="str">
        <f t="shared" ref="C1366:C1429" si="134">IF(B1366&lt;&gt;"",IF(AND(LEFT(B1366,1)&gt;="0",LEFT(B1366,1)&lt;="9"),LEFT(B1366,7),""),"")</f>
        <v/>
      </c>
      <c r="D1366" s="182" t="str">
        <f t="shared" si="128"/>
        <v/>
      </c>
      <c r="E1366" s="206"/>
      <c r="F1366" s="207"/>
      <c r="G1366" s="207"/>
      <c r="H1366" s="205"/>
      <c r="I1366" s="167">
        <v>2096500000</v>
      </c>
      <c r="J1366" s="166"/>
      <c r="K1366" s="167">
        <v>2086000000</v>
      </c>
      <c r="L1366" s="168">
        <v>10500000</v>
      </c>
      <c r="M1366" s="168">
        <f t="shared" si="129"/>
        <v>2096500000</v>
      </c>
      <c r="N1366" s="168"/>
      <c r="O1366" s="167">
        <v>2026025900</v>
      </c>
      <c r="P1366" s="167">
        <f t="shared" si="130"/>
        <v>2026025900</v>
      </c>
      <c r="Q1366" s="167"/>
      <c r="S1366" s="201">
        <f t="shared" si="131"/>
        <v>2096.5</v>
      </c>
      <c r="T1366" s="201">
        <f t="shared" si="133"/>
        <v>2096.5</v>
      </c>
      <c r="U1366" s="201">
        <f t="shared" si="133"/>
        <v>0</v>
      </c>
      <c r="V1366" s="201">
        <f t="shared" si="133"/>
        <v>2026.0259000000001</v>
      </c>
      <c r="W1366" s="201">
        <f t="shared" si="133"/>
        <v>2026.0259000000001</v>
      </c>
      <c r="X1366" s="201">
        <f t="shared" si="133"/>
        <v>0</v>
      </c>
    </row>
    <row r="1367" spans="1:24" s="169" customFormat="1" ht="13.8">
      <c r="A1367" s="192"/>
      <c r="B1367" s="164" t="s">
        <v>676</v>
      </c>
      <c r="C1367" s="183" t="str">
        <f t="shared" si="134"/>
        <v/>
      </c>
      <c r="D1367" s="182" t="str">
        <f t="shared" ref="D1367:D1430" si="135">IF(C1367&lt;&gt;"",RIGHT(B1367,LEN(B1367)-7),"")</f>
        <v/>
      </c>
      <c r="E1367" s="206"/>
      <c r="F1367" s="207"/>
      <c r="G1367" s="207"/>
      <c r="H1367" s="205"/>
      <c r="I1367" s="167">
        <v>1299000000</v>
      </c>
      <c r="J1367" s="166"/>
      <c r="K1367" s="167">
        <v>1296000000</v>
      </c>
      <c r="L1367" s="168">
        <v>3000000</v>
      </c>
      <c r="M1367" s="168">
        <f t="shared" ref="M1367:M1430" si="136">I1367-N1367</f>
        <v>1299000000</v>
      </c>
      <c r="N1367" s="168"/>
      <c r="O1367" s="167">
        <v>1299000000</v>
      </c>
      <c r="P1367" s="167">
        <f t="shared" ref="P1367:P1430" si="137">O1367-Q1367</f>
        <v>1299000000</v>
      </c>
      <c r="Q1367" s="167"/>
      <c r="S1367" s="201">
        <f t="shared" ref="S1367:S1430" si="138">I1367/1000000</f>
        <v>1299</v>
      </c>
      <c r="T1367" s="201">
        <f t="shared" si="133"/>
        <v>1299</v>
      </c>
      <c r="U1367" s="201">
        <f t="shared" si="133"/>
        <v>0</v>
      </c>
      <c r="V1367" s="201">
        <f t="shared" si="133"/>
        <v>1299</v>
      </c>
      <c r="W1367" s="201">
        <f t="shared" si="133"/>
        <v>1299</v>
      </c>
      <c r="X1367" s="201">
        <f t="shared" si="133"/>
        <v>0</v>
      </c>
    </row>
    <row r="1368" spans="1:24" s="169" customFormat="1" ht="13.8">
      <c r="A1368" s="193"/>
      <c r="B1368" s="187"/>
      <c r="C1368" s="183" t="str">
        <f t="shared" si="134"/>
        <v/>
      </c>
      <c r="D1368" s="182" t="str">
        <f t="shared" si="135"/>
        <v/>
      </c>
      <c r="E1368" s="192" t="s">
        <v>666</v>
      </c>
      <c r="F1368" s="192" t="s">
        <v>698</v>
      </c>
      <c r="G1368" s="192" t="s">
        <v>695</v>
      </c>
      <c r="H1368" s="210" t="s">
        <v>1440</v>
      </c>
      <c r="I1368" s="167">
        <v>1296000000</v>
      </c>
      <c r="J1368" s="166"/>
      <c r="K1368" s="167">
        <v>1296000000</v>
      </c>
      <c r="L1368" s="171"/>
      <c r="M1368" s="168">
        <f t="shared" si="136"/>
        <v>1296000000</v>
      </c>
      <c r="N1368" s="171"/>
      <c r="O1368" s="167">
        <v>1296000000</v>
      </c>
      <c r="P1368" s="167">
        <f t="shared" si="137"/>
        <v>1296000000</v>
      </c>
      <c r="Q1368" s="167"/>
      <c r="S1368" s="201">
        <f t="shared" si="138"/>
        <v>1296</v>
      </c>
      <c r="T1368" s="201">
        <f t="shared" si="133"/>
        <v>1296</v>
      </c>
      <c r="U1368" s="201">
        <f t="shared" si="133"/>
        <v>0</v>
      </c>
      <c r="V1368" s="201">
        <f t="shared" si="133"/>
        <v>1296</v>
      </c>
      <c r="W1368" s="201">
        <f t="shared" si="133"/>
        <v>1296</v>
      </c>
      <c r="X1368" s="201">
        <f t="shared" si="133"/>
        <v>0</v>
      </c>
    </row>
    <row r="1369" spans="1:24" s="169" customFormat="1" ht="13.8">
      <c r="A1369" s="195"/>
      <c r="B1369" s="188"/>
      <c r="C1369" s="183" t="str">
        <f t="shared" si="134"/>
        <v/>
      </c>
      <c r="D1369" s="182" t="str">
        <f t="shared" si="135"/>
        <v/>
      </c>
      <c r="E1369" s="192" t="s">
        <v>679</v>
      </c>
      <c r="F1369" s="192" t="s">
        <v>698</v>
      </c>
      <c r="G1369" s="192" t="s">
        <v>695</v>
      </c>
      <c r="H1369" s="210" t="s">
        <v>1440</v>
      </c>
      <c r="I1369" s="167">
        <v>3000000</v>
      </c>
      <c r="J1369" s="166"/>
      <c r="K1369" s="166"/>
      <c r="L1369" s="168">
        <v>3000000</v>
      </c>
      <c r="M1369" s="168">
        <f t="shared" si="136"/>
        <v>3000000</v>
      </c>
      <c r="N1369" s="168"/>
      <c r="O1369" s="167">
        <v>3000000</v>
      </c>
      <c r="P1369" s="167">
        <f t="shared" si="137"/>
        <v>3000000</v>
      </c>
      <c r="Q1369" s="167"/>
      <c r="S1369" s="201">
        <f t="shared" si="138"/>
        <v>3</v>
      </c>
      <c r="T1369" s="201">
        <f t="shared" si="133"/>
        <v>3</v>
      </c>
      <c r="U1369" s="201">
        <f t="shared" si="133"/>
        <v>0</v>
      </c>
      <c r="V1369" s="201">
        <f t="shared" si="133"/>
        <v>3</v>
      </c>
      <c r="W1369" s="201">
        <f t="shared" si="133"/>
        <v>3</v>
      </c>
      <c r="X1369" s="201">
        <f t="shared" si="133"/>
        <v>0</v>
      </c>
    </row>
    <row r="1370" spans="1:24" s="169" customFormat="1" ht="13.8">
      <c r="A1370" s="192"/>
      <c r="B1370" s="164" t="s">
        <v>680</v>
      </c>
      <c r="C1370" s="183" t="str">
        <f t="shared" si="134"/>
        <v/>
      </c>
      <c r="D1370" s="182" t="str">
        <f t="shared" si="135"/>
        <v/>
      </c>
      <c r="E1370" s="206"/>
      <c r="F1370" s="207"/>
      <c r="G1370" s="207"/>
      <c r="H1370" s="205"/>
      <c r="I1370" s="167">
        <v>797500000</v>
      </c>
      <c r="J1370" s="166"/>
      <c r="K1370" s="167">
        <v>790000000</v>
      </c>
      <c r="L1370" s="168">
        <v>7500000</v>
      </c>
      <c r="M1370" s="168">
        <f t="shared" si="136"/>
        <v>797500000</v>
      </c>
      <c r="N1370" s="168"/>
      <c r="O1370" s="167">
        <v>727025900</v>
      </c>
      <c r="P1370" s="167">
        <f t="shared" si="137"/>
        <v>727025900</v>
      </c>
      <c r="Q1370" s="167"/>
      <c r="S1370" s="201">
        <f t="shared" si="138"/>
        <v>797.5</v>
      </c>
      <c r="T1370" s="201">
        <f t="shared" si="133"/>
        <v>797.5</v>
      </c>
      <c r="U1370" s="201">
        <f t="shared" si="133"/>
        <v>0</v>
      </c>
      <c r="V1370" s="201">
        <f t="shared" si="133"/>
        <v>727.02589999999998</v>
      </c>
      <c r="W1370" s="201">
        <f t="shared" si="133"/>
        <v>727.02589999999998</v>
      </c>
      <c r="X1370" s="201">
        <f t="shared" si="133"/>
        <v>0</v>
      </c>
    </row>
    <row r="1371" spans="1:24" s="169" customFormat="1" ht="13.8">
      <c r="A1371" s="193"/>
      <c r="B1371" s="187"/>
      <c r="C1371" s="183" t="str">
        <f t="shared" si="134"/>
        <v/>
      </c>
      <c r="D1371" s="182" t="str">
        <f t="shared" si="135"/>
        <v/>
      </c>
      <c r="E1371" s="192" t="s">
        <v>681</v>
      </c>
      <c r="F1371" s="192" t="s">
        <v>698</v>
      </c>
      <c r="G1371" s="192" t="s">
        <v>727</v>
      </c>
      <c r="H1371" s="210" t="s">
        <v>1440</v>
      </c>
      <c r="I1371" s="167">
        <v>620000000</v>
      </c>
      <c r="J1371" s="166"/>
      <c r="K1371" s="167">
        <v>620000000</v>
      </c>
      <c r="L1371" s="171"/>
      <c r="M1371" s="168">
        <f t="shared" si="136"/>
        <v>620000000</v>
      </c>
      <c r="N1371" s="171"/>
      <c r="O1371" s="167">
        <v>550500900</v>
      </c>
      <c r="P1371" s="167">
        <f t="shared" si="137"/>
        <v>550500900</v>
      </c>
      <c r="Q1371" s="167"/>
      <c r="S1371" s="201">
        <f t="shared" si="138"/>
        <v>620</v>
      </c>
      <c r="T1371" s="201">
        <f t="shared" si="133"/>
        <v>620</v>
      </c>
      <c r="U1371" s="201">
        <f t="shared" si="133"/>
        <v>0</v>
      </c>
      <c r="V1371" s="201">
        <f t="shared" si="133"/>
        <v>550.5009</v>
      </c>
      <c r="W1371" s="201">
        <f t="shared" si="133"/>
        <v>550.5009</v>
      </c>
      <c r="X1371" s="201">
        <f t="shared" si="133"/>
        <v>0</v>
      </c>
    </row>
    <row r="1372" spans="1:24" s="169" customFormat="1" ht="13.8">
      <c r="A1372" s="195"/>
      <c r="B1372" s="188"/>
      <c r="C1372" s="183" t="str">
        <f t="shared" si="134"/>
        <v/>
      </c>
      <c r="D1372" s="182" t="str">
        <f t="shared" si="135"/>
        <v/>
      </c>
      <c r="E1372" s="192" t="s">
        <v>681</v>
      </c>
      <c r="F1372" s="192" t="s">
        <v>698</v>
      </c>
      <c r="G1372" s="192" t="s">
        <v>695</v>
      </c>
      <c r="H1372" s="210" t="s">
        <v>1440</v>
      </c>
      <c r="I1372" s="167">
        <v>177500000</v>
      </c>
      <c r="J1372" s="166"/>
      <c r="K1372" s="167">
        <v>170000000</v>
      </c>
      <c r="L1372" s="168">
        <v>7500000</v>
      </c>
      <c r="M1372" s="168">
        <f t="shared" si="136"/>
        <v>177500000</v>
      </c>
      <c r="N1372" s="168"/>
      <c r="O1372" s="167">
        <v>176525000</v>
      </c>
      <c r="P1372" s="167">
        <f t="shared" si="137"/>
        <v>176525000</v>
      </c>
      <c r="Q1372" s="167"/>
      <c r="S1372" s="201">
        <f t="shared" si="138"/>
        <v>177.5</v>
      </c>
      <c r="T1372" s="201">
        <f t="shared" si="133"/>
        <v>177.5</v>
      </c>
      <c r="U1372" s="201">
        <f t="shared" si="133"/>
        <v>0</v>
      </c>
      <c r="V1372" s="201">
        <f t="shared" si="133"/>
        <v>176.52500000000001</v>
      </c>
      <c r="W1372" s="201">
        <f t="shared" si="133"/>
        <v>176.52500000000001</v>
      </c>
      <c r="X1372" s="201">
        <f t="shared" si="133"/>
        <v>0</v>
      </c>
    </row>
    <row r="1373" spans="1:24" s="169" customFormat="1" ht="13.8">
      <c r="A1373" s="192" t="s">
        <v>1287</v>
      </c>
      <c r="B1373" s="164" t="s">
        <v>731</v>
      </c>
      <c r="C1373" s="183" t="str">
        <f t="shared" si="134"/>
        <v/>
      </c>
      <c r="D1373" s="182" t="str">
        <f t="shared" si="135"/>
        <v/>
      </c>
      <c r="E1373" s="206"/>
      <c r="F1373" s="207"/>
      <c r="G1373" s="207"/>
      <c r="H1373" s="205"/>
      <c r="I1373" s="167">
        <v>1798000000</v>
      </c>
      <c r="J1373" s="166"/>
      <c r="K1373" s="166"/>
      <c r="L1373" s="168">
        <v>1798000000</v>
      </c>
      <c r="M1373" s="168">
        <f t="shared" si="136"/>
        <v>1798000000</v>
      </c>
      <c r="N1373" s="168"/>
      <c r="O1373" s="166"/>
      <c r="P1373" s="167">
        <f t="shared" si="137"/>
        <v>0</v>
      </c>
      <c r="Q1373" s="166"/>
      <c r="S1373" s="201">
        <f t="shared" si="138"/>
        <v>1798</v>
      </c>
      <c r="T1373" s="201">
        <f t="shared" si="133"/>
        <v>1798</v>
      </c>
      <c r="U1373" s="201">
        <f t="shared" si="133"/>
        <v>0</v>
      </c>
      <c r="V1373" s="201">
        <f t="shared" si="133"/>
        <v>0</v>
      </c>
      <c r="W1373" s="201">
        <f t="shared" si="133"/>
        <v>0</v>
      </c>
      <c r="X1373" s="201">
        <f t="shared" si="133"/>
        <v>0</v>
      </c>
    </row>
    <row r="1374" spans="1:24" s="169" customFormat="1" ht="13.8">
      <c r="A1374" s="193"/>
      <c r="B1374" s="187"/>
      <c r="C1374" s="183" t="str">
        <f t="shared" si="134"/>
        <v/>
      </c>
      <c r="D1374" s="182" t="str">
        <f t="shared" si="135"/>
        <v/>
      </c>
      <c r="E1374" s="192" t="s">
        <v>681</v>
      </c>
      <c r="F1374" s="192" t="s">
        <v>698</v>
      </c>
      <c r="G1374" s="192" t="s">
        <v>727</v>
      </c>
      <c r="H1374" s="210" t="s">
        <v>1442</v>
      </c>
      <c r="I1374" s="167">
        <v>1000000000</v>
      </c>
      <c r="J1374" s="166"/>
      <c r="K1374" s="166"/>
      <c r="L1374" s="168">
        <v>1000000000</v>
      </c>
      <c r="M1374" s="168">
        <f t="shared" si="136"/>
        <v>1000000000</v>
      </c>
      <c r="N1374" s="168"/>
      <c r="O1374" s="166"/>
      <c r="P1374" s="167">
        <f t="shared" si="137"/>
        <v>0</v>
      </c>
      <c r="Q1374" s="166"/>
      <c r="S1374" s="201">
        <f t="shared" si="138"/>
        <v>1000</v>
      </c>
      <c r="T1374" s="201">
        <f t="shared" si="133"/>
        <v>1000</v>
      </c>
      <c r="U1374" s="201">
        <f t="shared" si="133"/>
        <v>0</v>
      </c>
      <c r="V1374" s="201">
        <f t="shared" si="133"/>
        <v>0</v>
      </c>
      <c r="W1374" s="201">
        <f t="shared" si="133"/>
        <v>0</v>
      </c>
      <c r="X1374" s="201">
        <f t="shared" si="133"/>
        <v>0</v>
      </c>
    </row>
    <row r="1375" spans="1:24" s="169" customFormat="1" ht="13.8">
      <c r="A1375" s="195"/>
      <c r="B1375" s="188"/>
      <c r="C1375" s="183" t="str">
        <f t="shared" si="134"/>
        <v/>
      </c>
      <c r="D1375" s="182" t="str">
        <f t="shared" si="135"/>
        <v/>
      </c>
      <c r="E1375" s="192" t="s">
        <v>667</v>
      </c>
      <c r="F1375" s="192" t="s">
        <v>698</v>
      </c>
      <c r="G1375" s="192" t="s">
        <v>727</v>
      </c>
      <c r="H1375" s="210" t="s">
        <v>1455</v>
      </c>
      <c r="I1375" s="167">
        <v>798000000</v>
      </c>
      <c r="J1375" s="166"/>
      <c r="K1375" s="166"/>
      <c r="L1375" s="168">
        <v>798000000</v>
      </c>
      <c r="M1375" s="168">
        <f t="shared" si="136"/>
        <v>798000000</v>
      </c>
      <c r="N1375" s="168"/>
      <c r="O1375" s="166"/>
      <c r="P1375" s="167">
        <f t="shared" si="137"/>
        <v>0</v>
      </c>
      <c r="Q1375" s="166"/>
      <c r="S1375" s="201">
        <f t="shared" si="138"/>
        <v>798</v>
      </c>
      <c r="T1375" s="201">
        <f t="shared" si="133"/>
        <v>798</v>
      </c>
      <c r="U1375" s="201">
        <f t="shared" si="133"/>
        <v>0</v>
      </c>
      <c r="V1375" s="201">
        <f t="shared" si="133"/>
        <v>0</v>
      </c>
      <c r="W1375" s="201">
        <f t="shared" si="133"/>
        <v>0</v>
      </c>
      <c r="X1375" s="201">
        <f t="shared" si="133"/>
        <v>0</v>
      </c>
    </row>
    <row r="1376" spans="1:24" s="169" customFormat="1" ht="26.4">
      <c r="A1376" s="192" t="s">
        <v>1288</v>
      </c>
      <c r="B1376" s="176" t="s">
        <v>1289</v>
      </c>
      <c r="C1376" s="183" t="str">
        <f t="shared" si="134"/>
        <v>1102860</v>
      </c>
      <c r="D1376" s="182" t="str">
        <f t="shared" si="135"/>
        <v>-Ban Quản lý Khu Kinh tẽ -:ỉnh Kontum</v>
      </c>
      <c r="E1376" s="206"/>
      <c r="F1376" s="207"/>
      <c r="G1376" s="207"/>
      <c r="H1376" s="205"/>
      <c r="I1376" s="167">
        <v>12023335321</v>
      </c>
      <c r="J1376" s="167">
        <v>814797654</v>
      </c>
      <c r="K1376" s="167">
        <v>10300720000</v>
      </c>
      <c r="L1376" s="168">
        <v>907817667</v>
      </c>
      <c r="M1376" s="168">
        <f t="shared" si="136"/>
        <v>12023335321</v>
      </c>
      <c r="N1376" s="168"/>
      <c r="O1376" s="167">
        <v>11873335321</v>
      </c>
      <c r="P1376" s="167">
        <f t="shared" si="137"/>
        <v>11873335321</v>
      </c>
      <c r="Q1376" s="167"/>
      <c r="S1376" s="201">
        <f t="shared" si="138"/>
        <v>12023.335321</v>
      </c>
      <c r="T1376" s="201">
        <f t="shared" si="133"/>
        <v>12023.335321</v>
      </c>
      <c r="U1376" s="201">
        <f t="shared" si="133"/>
        <v>0</v>
      </c>
      <c r="V1376" s="201">
        <f t="shared" si="133"/>
        <v>11873.335321</v>
      </c>
      <c r="W1376" s="201">
        <f t="shared" si="133"/>
        <v>11873.335321</v>
      </c>
      <c r="X1376" s="201">
        <f t="shared" si="133"/>
        <v>0</v>
      </c>
    </row>
    <row r="1377" spans="1:24" s="169" customFormat="1" ht="13.8">
      <c r="A1377" s="192" t="s">
        <v>1290</v>
      </c>
      <c r="B1377" s="164" t="s">
        <v>675</v>
      </c>
      <c r="C1377" s="183" t="str">
        <f t="shared" si="134"/>
        <v/>
      </c>
      <c r="D1377" s="182" t="str">
        <f t="shared" si="135"/>
        <v/>
      </c>
      <c r="E1377" s="206"/>
      <c r="F1377" s="207"/>
      <c r="G1377" s="207"/>
      <c r="H1377" s="205"/>
      <c r="I1377" s="167">
        <v>12023335321</v>
      </c>
      <c r="J1377" s="167">
        <v>814797654</v>
      </c>
      <c r="K1377" s="167">
        <v>10300720000</v>
      </c>
      <c r="L1377" s="168">
        <v>907817667</v>
      </c>
      <c r="M1377" s="168">
        <f t="shared" si="136"/>
        <v>12023335321</v>
      </c>
      <c r="N1377" s="168"/>
      <c r="O1377" s="167">
        <v>11873335321</v>
      </c>
      <c r="P1377" s="167">
        <f t="shared" si="137"/>
        <v>11873335321</v>
      </c>
      <c r="Q1377" s="167"/>
      <c r="S1377" s="201">
        <f t="shared" si="138"/>
        <v>12023.335321</v>
      </c>
      <c r="T1377" s="201">
        <f t="shared" si="133"/>
        <v>12023.335321</v>
      </c>
      <c r="U1377" s="201">
        <f t="shared" si="133"/>
        <v>0</v>
      </c>
      <c r="V1377" s="201">
        <f t="shared" si="133"/>
        <v>11873.335321</v>
      </c>
      <c r="W1377" s="201">
        <f t="shared" si="133"/>
        <v>11873.335321</v>
      </c>
      <c r="X1377" s="201">
        <f t="shared" si="133"/>
        <v>0</v>
      </c>
    </row>
    <row r="1378" spans="1:24" s="169" customFormat="1" ht="13.8">
      <c r="A1378" s="192"/>
      <c r="B1378" s="164" t="s">
        <v>676</v>
      </c>
      <c r="C1378" s="183" t="str">
        <f t="shared" si="134"/>
        <v/>
      </c>
      <c r="D1378" s="182" t="str">
        <f t="shared" si="135"/>
        <v/>
      </c>
      <c r="E1378" s="206"/>
      <c r="F1378" s="207"/>
      <c r="G1378" s="207"/>
      <c r="H1378" s="205"/>
      <c r="I1378" s="167">
        <v>8967847654</v>
      </c>
      <c r="J1378" s="167">
        <v>14847654</v>
      </c>
      <c r="K1378" s="167">
        <v>8953000000</v>
      </c>
      <c r="L1378" s="171"/>
      <c r="M1378" s="168">
        <f t="shared" si="136"/>
        <v>8967847654</v>
      </c>
      <c r="N1378" s="171"/>
      <c r="O1378" s="167">
        <v>8967847654</v>
      </c>
      <c r="P1378" s="167">
        <f t="shared" si="137"/>
        <v>8967847654</v>
      </c>
      <c r="Q1378" s="167"/>
      <c r="S1378" s="201">
        <f t="shared" si="138"/>
        <v>8967.8476539999992</v>
      </c>
      <c r="T1378" s="201">
        <f t="shared" si="133"/>
        <v>8967.8476539999992</v>
      </c>
      <c r="U1378" s="201">
        <f t="shared" si="133"/>
        <v>0</v>
      </c>
      <c r="V1378" s="201">
        <f t="shared" si="133"/>
        <v>8967.8476539999992</v>
      </c>
      <c r="W1378" s="201">
        <f t="shared" si="133"/>
        <v>8967.8476539999992</v>
      </c>
      <c r="X1378" s="201">
        <f t="shared" si="133"/>
        <v>0</v>
      </c>
    </row>
    <row r="1379" spans="1:24" s="169" customFormat="1" ht="13.8">
      <c r="A1379" s="193"/>
      <c r="B1379" s="187"/>
      <c r="C1379" s="183" t="str">
        <f t="shared" si="134"/>
        <v/>
      </c>
      <c r="D1379" s="182" t="str">
        <f t="shared" si="135"/>
        <v/>
      </c>
      <c r="E1379" s="192" t="s">
        <v>666</v>
      </c>
      <c r="F1379" s="192" t="s">
        <v>760</v>
      </c>
      <c r="G1379" s="192" t="s">
        <v>1291</v>
      </c>
      <c r="H1379" s="210" t="s">
        <v>1440</v>
      </c>
      <c r="I1379" s="167">
        <v>8953000000</v>
      </c>
      <c r="J1379" s="166"/>
      <c r="K1379" s="167">
        <v>8953000000</v>
      </c>
      <c r="L1379" s="171"/>
      <c r="M1379" s="168">
        <f t="shared" si="136"/>
        <v>8953000000</v>
      </c>
      <c r="N1379" s="171"/>
      <c r="O1379" s="167">
        <v>8953000000</v>
      </c>
      <c r="P1379" s="167">
        <f t="shared" si="137"/>
        <v>8953000000</v>
      </c>
      <c r="Q1379" s="167"/>
      <c r="S1379" s="201">
        <f t="shared" si="138"/>
        <v>8953</v>
      </c>
      <c r="T1379" s="201">
        <f t="shared" si="133"/>
        <v>8953</v>
      </c>
      <c r="U1379" s="201">
        <f t="shared" si="133"/>
        <v>0</v>
      </c>
      <c r="V1379" s="201">
        <f t="shared" si="133"/>
        <v>8953</v>
      </c>
      <c r="W1379" s="201">
        <f t="shared" si="133"/>
        <v>8953</v>
      </c>
      <c r="X1379" s="201">
        <f t="shared" si="133"/>
        <v>0</v>
      </c>
    </row>
    <row r="1380" spans="1:24" s="169" customFormat="1" ht="13.8">
      <c r="A1380" s="195"/>
      <c r="B1380" s="188"/>
      <c r="C1380" s="183" t="str">
        <f t="shared" si="134"/>
        <v/>
      </c>
      <c r="D1380" s="182" t="str">
        <f t="shared" si="135"/>
        <v/>
      </c>
      <c r="E1380" s="192" t="s">
        <v>679</v>
      </c>
      <c r="F1380" s="192" t="s">
        <v>760</v>
      </c>
      <c r="G1380" s="192" t="s">
        <v>1291</v>
      </c>
      <c r="H1380" s="210" t="s">
        <v>1440</v>
      </c>
      <c r="I1380" s="167">
        <v>14847654</v>
      </c>
      <c r="J1380" s="167">
        <v>14847654</v>
      </c>
      <c r="K1380" s="166"/>
      <c r="L1380" s="171"/>
      <c r="M1380" s="168">
        <f t="shared" si="136"/>
        <v>14847654</v>
      </c>
      <c r="N1380" s="171"/>
      <c r="O1380" s="167">
        <v>14847654</v>
      </c>
      <c r="P1380" s="167">
        <f t="shared" si="137"/>
        <v>14847654</v>
      </c>
      <c r="Q1380" s="167"/>
      <c r="S1380" s="201">
        <f t="shared" si="138"/>
        <v>14.847654</v>
      </c>
      <c r="T1380" s="201">
        <f t="shared" si="133"/>
        <v>14.847654</v>
      </c>
      <c r="U1380" s="201">
        <f t="shared" si="133"/>
        <v>0</v>
      </c>
      <c r="V1380" s="201">
        <f t="shared" si="133"/>
        <v>14.847654</v>
      </c>
      <c r="W1380" s="201">
        <f t="shared" si="133"/>
        <v>14.847654</v>
      </c>
      <c r="X1380" s="201">
        <f t="shared" si="133"/>
        <v>0</v>
      </c>
    </row>
    <row r="1381" spans="1:24" s="169" customFormat="1" ht="13.8">
      <c r="A1381" s="192"/>
      <c r="B1381" s="164" t="s">
        <v>680</v>
      </c>
      <c r="C1381" s="183" t="str">
        <f t="shared" si="134"/>
        <v/>
      </c>
      <c r="D1381" s="182" t="str">
        <f t="shared" si="135"/>
        <v/>
      </c>
      <c r="E1381" s="206"/>
      <c r="F1381" s="207"/>
      <c r="G1381" s="207"/>
      <c r="H1381" s="205"/>
      <c r="I1381" s="167">
        <v>3055487667</v>
      </c>
      <c r="J1381" s="167">
        <v>799950000</v>
      </c>
      <c r="K1381" s="167">
        <v>1347720000</v>
      </c>
      <c r="L1381" s="168">
        <v>907817667</v>
      </c>
      <c r="M1381" s="168">
        <f t="shared" si="136"/>
        <v>3055487667</v>
      </c>
      <c r="N1381" s="168"/>
      <c r="O1381" s="167">
        <v>2905487667</v>
      </c>
      <c r="P1381" s="167">
        <f t="shared" si="137"/>
        <v>2905487667</v>
      </c>
      <c r="Q1381" s="167"/>
      <c r="S1381" s="201">
        <f t="shared" si="138"/>
        <v>3055.4876669999999</v>
      </c>
      <c r="T1381" s="201">
        <f t="shared" si="133"/>
        <v>3055.4876669999999</v>
      </c>
      <c r="U1381" s="201">
        <f t="shared" si="133"/>
        <v>0</v>
      </c>
      <c r="V1381" s="201">
        <f t="shared" si="133"/>
        <v>2905.4876669999999</v>
      </c>
      <c r="W1381" s="201">
        <f t="shared" si="133"/>
        <v>2905.4876669999999</v>
      </c>
      <c r="X1381" s="201">
        <f t="shared" si="133"/>
        <v>0</v>
      </c>
    </row>
    <row r="1382" spans="1:24" s="169" customFormat="1" ht="13.8">
      <c r="A1382" s="193"/>
      <c r="B1382" s="187"/>
      <c r="C1382" s="183" t="str">
        <f t="shared" si="134"/>
        <v/>
      </c>
      <c r="D1382" s="182" t="str">
        <f t="shared" si="135"/>
        <v/>
      </c>
      <c r="E1382" s="192" t="s">
        <v>681</v>
      </c>
      <c r="F1382" s="192" t="s">
        <v>760</v>
      </c>
      <c r="G1382" s="192" t="s">
        <v>1050</v>
      </c>
      <c r="H1382" s="210" t="s">
        <v>1440</v>
      </c>
      <c r="I1382" s="167">
        <v>2553913667</v>
      </c>
      <c r="J1382" s="167">
        <v>799950000</v>
      </c>
      <c r="K1382" s="167">
        <v>1144720000</v>
      </c>
      <c r="L1382" s="168">
        <v>609243667</v>
      </c>
      <c r="M1382" s="168">
        <f t="shared" si="136"/>
        <v>2553913667</v>
      </c>
      <c r="N1382" s="168"/>
      <c r="O1382" s="167">
        <v>2553913667</v>
      </c>
      <c r="P1382" s="167">
        <f t="shared" si="137"/>
        <v>2553913667</v>
      </c>
      <c r="Q1382" s="167"/>
      <c r="S1382" s="201">
        <f t="shared" si="138"/>
        <v>2553.9136669999998</v>
      </c>
      <c r="T1382" s="201">
        <f t="shared" si="133"/>
        <v>2553.9136669999998</v>
      </c>
      <c r="U1382" s="201">
        <f t="shared" si="133"/>
        <v>0</v>
      </c>
      <c r="V1382" s="201">
        <f t="shared" si="133"/>
        <v>2553.9136669999998</v>
      </c>
      <c r="W1382" s="201">
        <f t="shared" si="133"/>
        <v>2553.9136669999998</v>
      </c>
      <c r="X1382" s="201">
        <f t="shared" si="133"/>
        <v>0</v>
      </c>
    </row>
    <row r="1383" spans="1:24" s="169" customFormat="1" ht="13.8">
      <c r="A1383" s="195"/>
      <c r="B1383" s="188"/>
      <c r="C1383" s="183" t="str">
        <f t="shared" si="134"/>
        <v/>
      </c>
      <c r="D1383" s="182" t="str">
        <f t="shared" si="135"/>
        <v/>
      </c>
      <c r="E1383" s="192" t="s">
        <v>681</v>
      </c>
      <c r="F1383" s="192" t="s">
        <v>760</v>
      </c>
      <c r="G1383" s="192" t="s">
        <v>1291</v>
      </c>
      <c r="H1383" s="210" t="s">
        <v>1440</v>
      </c>
      <c r="I1383" s="167">
        <v>501574000</v>
      </c>
      <c r="J1383" s="166"/>
      <c r="K1383" s="167">
        <v>203000000</v>
      </c>
      <c r="L1383" s="168">
        <v>298574000</v>
      </c>
      <c r="M1383" s="168">
        <f t="shared" si="136"/>
        <v>501574000</v>
      </c>
      <c r="N1383" s="168"/>
      <c r="O1383" s="167">
        <v>351574000</v>
      </c>
      <c r="P1383" s="167">
        <f t="shared" si="137"/>
        <v>351574000</v>
      </c>
      <c r="Q1383" s="167"/>
      <c r="S1383" s="201">
        <f t="shared" si="138"/>
        <v>501.57400000000001</v>
      </c>
      <c r="T1383" s="201">
        <f t="shared" si="133"/>
        <v>501.57400000000001</v>
      </c>
      <c r="U1383" s="201">
        <f t="shared" si="133"/>
        <v>0</v>
      </c>
      <c r="V1383" s="201">
        <f t="shared" si="133"/>
        <v>351.57400000000001</v>
      </c>
      <c r="W1383" s="201">
        <f t="shared" si="133"/>
        <v>351.57400000000001</v>
      </c>
      <c r="X1383" s="201">
        <f t="shared" si="133"/>
        <v>0</v>
      </c>
    </row>
    <row r="1384" spans="1:24" s="169" customFormat="1" ht="39.6">
      <c r="A1384" s="192" t="s">
        <v>1292</v>
      </c>
      <c r="B1384" s="176" t="s">
        <v>1293</v>
      </c>
      <c r="C1384" s="183" t="str">
        <f t="shared" si="134"/>
        <v>1103882</v>
      </c>
      <c r="D1384" s="182" t="str">
        <f t="shared" si="135"/>
        <v>-Ban Quản lý Dự ân khu vực &lt;hu kinh tẽ cửa khẩu quốc tẽ Bờ Y</v>
      </c>
      <c r="E1384" s="206"/>
      <c r="F1384" s="207"/>
      <c r="G1384" s="207"/>
      <c r="H1384" s="205"/>
      <c r="I1384" s="167">
        <v>1429280000</v>
      </c>
      <c r="J1384" s="166"/>
      <c r="K1384" s="167">
        <v>1429280000</v>
      </c>
      <c r="L1384" s="171"/>
      <c r="M1384" s="168">
        <f t="shared" si="136"/>
        <v>1429280000</v>
      </c>
      <c r="N1384" s="171"/>
      <c r="O1384" s="167">
        <v>842956000</v>
      </c>
      <c r="P1384" s="167">
        <f t="shared" si="137"/>
        <v>842956000</v>
      </c>
      <c r="Q1384" s="167"/>
      <c r="S1384" s="201">
        <f t="shared" si="138"/>
        <v>1429.28</v>
      </c>
      <c r="T1384" s="201">
        <f t="shared" si="133"/>
        <v>1429.28</v>
      </c>
      <c r="U1384" s="201">
        <f t="shared" si="133"/>
        <v>0</v>
      </c>
      <c r="V1384" s="201">
        <f t="shared" si="133"/>
        <v>842.95600000000002</v>
      </c>
      <c r="W1384" s="201">
        <f t="shared" si="133"/>
        <v>842.95600000000002</v>
      </c>
      <c r="X1384" s="201">
        <f t="shared" si="133"/>
        <v>0</v>
      </c>
    </row>
    <row r="1385" spans="1:24" s="169" customFormat="1" ht="13.8">
      <c r="A1385" s="192" t="s">
        <v>1294</v>
      </c>
      <c r="B1385" s="164" t="s">
        <v>675</v>
      </c>
      <c r="C1385" s="183" t="str">
        <f t="shared" si="134"/>
        <v/>
      </c>
      <c r="D1385" s="182" t="str">
        <f t="shared" si="135"/>
        <v/>
      </c>
      <c r="E1385" s="206"/>
      <c r="F1385" s="207"/>
      <c r="G1385" s="207"/>
      <c r="H1385" s="205"/>
      <c r="I1385" s="167">
        <v>1429280000</v>
      </c>
      <c r="J1385" s="166"/>
      <c r="K1385" s="167">
        <v>1429280000</v>
      </c>
      <c r="L1385" s="171"/>
      <c r="M1385" s="168">
        <f t="shared" si="136"/>
        <v>1429280000</v>
      </c>
      <c r="N1385" s="171"/>
      <c r="O1385" s="167">
        <v>842956000</v>
      </c>
      <c r="P1385" s="167">
        <f t="shared" si="137"/>
        <v>842956000</v>
      </c>
      <c r="Q1385" s="167"/>
      <c r="S1385" s="201">
        <f t="shared" si="138"/>
        <v>1429.28</v>
      </c>
      <c r="T1385" s="201">
        <f t="shared" si="133"/>
        <v>1429.28</v>
      </c>
      <c r="U1385" s="201">
        <f t="shared" si="133"/>
        <v>0</v>
      </c>
      <c r="V1385" s="201">
        <f t="shared" si="133"/>
        <v>842.95600000000002</v>
      </c>
      <c r="W1385" s="201">
        <f t="shared" si="133"/>
        <v>842.95600000000002</v>
      </c>
      <c r="X1385" s="201">
        <f t="shared" si="133"/>
        <v>0</v>
      </c>
    </row>
    <row r="1386" spans="1:24" s="169" customFormat="1" ht="13.8">
      <c r="A1386" s="192"/>
      <c r="B1386" s="164" t="s">
        <v>680</v>
      </c>
      <c r="C1386" s="183" t="str">
        <f t="shared" si="134"/>
        <v/>
      </c>
      <c r="D1386" s="182" t="str">
        <f t="shared" si="135"/>
        <v/>
      </c>
      <c r="E1386" s="206"/>
      <c r="F1386" s="207"/>
      <c r="G1386" s="207"/>
      <c r="H1386" s="205"/>
      <c r="I1386" s="167">
        <v>1429280000</v>
      </c>
      <c r="J1386" s="166"/>
      <c r="K1386" s="167">
        <v>1429280000</v>
      </c>
      <c r="L1386" s="171"/>
      <c r="M1386" s="168">
        <f t="shared" si="136"/>
        <v>1429280000</v>
      </c>
      <c r="N1386" s="171"/>
      <c r="O1386" s="167">
        <v>842956000</v>
      </c>
      <c r="P1386" s="167">
        <f t="shared" si="137"/>
        <v>842956000</v>
      </c>
      <c r="Q1386" s="167"/>
      <c r="S1386" s="201">
        <f t="shared" si="138"/>
        <v>1429.28</v>
      </c>
      <c r="T1386" s="201">
        <f t="shared" si="133"/>
        <v>1429.28</v>
      </c>
      <c r="U1386" s="201">
        <f t="shared" si="133"/>
        <v>0</v>
      </c>
      <c r="V1386" s="201">
        <f t="shared" si="133"/>
        <v>842.95600000000002</v>
      </c>
      <c r="W1386" s="201">
        <f t="shared" si="133"/>
        <v>842.95600000000002</v>
      </c>
      <c r="X1386" s="201">
        <f t="shared" si="133"/>
        <v>0</v>
      </c>
    </row>
    <row r="1387" spans="1:24" s="169" customFormat="1" ht="13.8">
      <c r="A1387" s="192"/>
      <c r="B1387" s="164"/>
      <c r="C1387" s="183" t="str">
        <f t="shared" si="134"/>
        <v/>
      </c>
      <c r="D1387" s="182" t="str">
        <f t="shared" si="135"/>
        <v/>
      </c>
      <c r="E1387" s="192" t="s">
        <v>681</v>
      </c>
      <c r="F1387" s="192" t="s">
        <v>760</v>
      </c>
      <c r="G1387" s="192" t="s">
        <v>1050</v>
      </c>
      <c r="H1387" s="210" t="s">
        <v>1440</v>
      </c>
      <c r="I1387" s="167">
        <v>1429280000</v>
      </c>
      <c r="J1387" s="166"/>
      <c r="K1387" s="167">
        <v>1429280000</v>
      </c>
      <c r="L1387" s="171"/>
      <c r="M1387" s="168">
        <f t="shared" si="136"/>
        <v>1429280000</v>
      </c>
      <c r="N1387" s="171"/>
      <c r="O1387" s="167">
        <v>842956000</v>
      </c>
      <c r="P1387" s="167">
        <f t="shared" si="137"/>
        <v>842956000</v>
      </c>
      <c r="Q1387" s="167"/>
      <c r="S1387" s="201">
        <f t="shared" si="138"/>
        <v>1429.28</v>
      </c>
      <c r="T1387" s="201">
        <f t="shared" si="133"/>
        <v>1429.28</v>
      </c>
      <c r="U1387" s="201">
        <f t="shared" si="133"/>
        <v>0</v>
      </c>
      <c r="V1387" s="201">
        <f t="shared" si="133"/>
        <v>842.95600000000002</v>
      </c>
      <c r="W1387" s="201">
        <f t="shared" si="133"/>
        <v>842.95600000000002</v>
      </c>
      <c r="X1387" s="201">
        <f t="shared" si="133"/>
        <v>0</v>
      </c>
    </row>
    <row r="1388" spans="1:24" s="169" customFormat="1" ht="13.8">
      <c r="A1388" s="192" t="s">
        <v>1295</v>
      </c>
      <c r="B1388" s="164" t="s">
        <v>1296</v>
      </c>
      <c r="C1388" s="183" t="str">
        <f t="shared" si="134"/>
        <v>1104765</v>
      </c>
      <c r="D1388" s="182" t="str">
        <f t="shared" si="135"/>
        <v>-Ban quản lý di tích Kon Tum</v>
      </c>
      <c r="E1388" s="206"/>
      <c r="F1388" s="207"/>
      <c r="G1388" s="207"/>
      <c r="H1388" s="205"/>
      <c r="I1388" s="167">
        <v>1452900000</v>
      </c>
      <c r="J1388" s="166"/>
      <c r="K1388" s="167">
        <v>1430900000</v>
      </c>
      <c r="L1388" s="168">
        <v>22000000</v>
      </c>
      <c r="M1388" s="168">
        <f t="shared" si="136"/>
        <v>1452900000</v>
      </c>
      <c r="N1388" s="168"/>
      <c r="O1388" s="167">
        <v>1452900000</v>
      </c>
      <c r="P1388" s="167">
        <f t="shared" si="137"/>
        <v>1452900000</v>
      </c>
      <c r="Q1388" s="167"/>
      <c r="S1388" s="201">
        <f t="shared" si="138"/>
        <v>1452.9</v>
      </c>
      <c r="T1388" s="201">
        <f t="shared" si="133"/>
        <v>1452.9</v>
      </c>
      <c r="U1388" s="201">
        <f t="shared" si="133"/>
        <v>0</v>
      </c>
      <c r="V1388" s="201">
        <f t="shared" si="133"/>
        <v>1452.9</v>
      </c>
      <c r="W1388" s="201">
        <f t="shared" si="133"/>
        <v>1452.9</v>
      </c>
      <c r="X1388" s="201">
        <f t="shared" si="133"/>
        <v>0</v>
      </c>
    </row>
    <row r="1389" spans="1:24" s="169" customFormat="1" ht="13.8">
      <c r="A1389" s="192" t="s">
        <v>1297</v>
      </c>
      <c r="B1389" s="164" t="s">
        <v>675</v>
      </c>
      <c r="C1389" s="183" t="str">
        <f t="shared" si="134"/>
        <v/>
      </c>
      <c r="D1389" s="182" t="str">
        <f t="shared" si="135"/>
        <v/>
      </c>
      <c r="E1389" s="206"/>
      <c r="F1389" s="207"/>
      <c r="G1389" s="207"/>
      <c r="H1389" s="205"/>
      <c r="I1389" s="167">
        <v>1452900000</v>
      </c>
      <c r="J1389" s="166"/>
      <c r="K1389" s="167">
        <v>1430900000</v>
      </c>
      <c r="L1389" s="168">
        <v>22000000</v>
      </c>
      <c r="M1389" s="168">
        <f t="shared" si="136"/>
        <v>1452900000</v>
      </c>
      <c r="N1389" s="168"/>
      <c r="O1389" s="167">
        <v>1452900000</v>
      </c>
      <c r="P1389" s="167">
        <f t="shared" si="137"/>
        <v>1452900000</v>
      </c>
      <c r="Q1389" s="167"/>
      <c r="S1389" s="201">
        <f t="shared" si="138"/>
        <v>1452.9</v>
      </c>
      <c r="T1389" s="201">
        <f t="shared" si="133"/>
        <v>1452.9</v>
      </c>
      <c r="U1389" s="201">
        <f t="shared" si="133"/>
        <v>0</v>
      </c>
      <c r="V1389" s="201">
        <f t="shared" si="133"/>
        <v>1452.9</v>
      </c>
      <c r="W1389" s="201">
        <f t="shared" si="133"/>
        <v>1452.9</v>
      </c>
      <c r="X1389" s="201">
        <f t="shared" si="133"/>
        <v>0</v>
      </c>
    </row>
    <row r="1390" spans="1:24" s="169" customFormat="1" ht="13.8">
      <c r="A1390" s="192"/>
      <c r="B1390" s="164" t="s">
        <v>676</v>
      </c>
      <c r="C1390" s="183" t="str">
        <f t="shared" si="134"/>
        <v/>
      </c>
      <c r="D1390" s="182" t="str">
        <f t="shared" si="135"/>
        <v/>
      </c>
      <c r="E1390" s="206"/>
      <c r="F1390" s="207"/>
      <c r="G1390" s="207"/>
      <c r="H1390" s="205"/>
      <c r="I1390" s="167">
        <v>611900000</v>
      </c>
      <c r="J1390" s="166"/>
      <c r="K1390" s="167">
        <v>579400000</v>
      </c>
      <c r="L1390" s="168">
        <v>32500000</v>
      </c>
      <c r="M1390" s="168">
        <f t="shared" si="136"/>
        <v>611900000</v>
      </c>
      <c r="N1390" s="168"/>
      <c r="O1390" s="167">
        <v>611900000</v>
      </c>
      <c r="P1390" s="167">
        <f t="shared" si="137"/>
        <v>611900000</v>
      </c>
      <c r="Q1390" s="167"/>
      <c r="S1390" s="201">
        <f t="shared" si="138"/>
        <v>611.9</v>
      </c>
      <c r="T1390" s="201">
        <f t="shared" si="133"/>
        <v>611.9</v>
      </c>
      <c r="U1390" s="201">
        <f t="shared" si="133"/>
        <v>0</v>
      </c>
      <c r="V1390" s="201">
        <f t="shared" si="133"/>
        <v>611.9</v>
      </c>
      <c r="W1390" s="201">
        <f t="shared" si="133"/>
        <v>611.9</v>
      </c>
      <c r="X1390" s="201">
        <f t="shared" si="133"/>
        <v>0</v>
      </c>
    </row>
    <row r="1391" spans="1:24" s="169" customFormat="1" ht="13.8">
      <c r="A1391" s="193"/>
      <c r="B1391" s="187"/>
      <c r="C1391" s="183" t="str">
        <f t="shared" si="134"/>
        <v/>
      </c>
      <c r="D1391" s="182" t="str">
        <f t="shared" si="135"/>
        <v/>
      </c>
      <c r="E1391" s="192" t="s">
        <v>666</v>
      </c>
      <c r="F1391" s="192" t="s">
        <v>795</v>
      </c>
      <c r="G1391" s="192" t="s">
        <v>910</v>
      </c>
      <c r="H1391" s="210" t="s">
        <v>1440</v>
      </c>
      <c r="I1391" s="167">
        <v>609000000</v>
      </c>
      <c r="J1391" s="166"/>
      <c r="K1391" s="167">
        <v>579400000</v>
      </c>
      <c r="L1391" s="168">
        <v>29600000</v>
      </c>
      <c r="M1391" s="168">
        <f t="shared" si="136"/>
        <v>609000000</v>
      </c>
      <c r="N1391" s="168"/>
      <c r="O1391" s="167">
        <v>609000000</v>
      </c>
      <c r="P1391" s="167">
        <f t="shared" si="137"/>
        <v>609000000</v>
      </c>
      <c r="Q1391" s="167"/>
      <c r="S1391" s="201">
        <f t="shared" si="138"/>
        <v>609</v>
      </c>
      <c r="T1391" s="201">
        <f t="shared" si="133"/>
        <v>609</v>
      </c>
      <c r="U1391" s="201">
        <f t="shared" si="133"/>
        <v>0</v>
      </c>
      <c r="V1391" s="201">
        <f t="shared" si="133"/>
        <v>609</v>
      </c>
      <c r="W1391" s="201">
        <f t="shared" si="133"/>
        <v>609</v>
      </c>
      <c r="X1391" s="201">
        <f t="shared" si="133"/>
        <v>0</v>
      </c>
    </row>
    <row r="1392" spans="1:24" s="169" customFormat="1" ht="13.8">
      <c r="A1392" s="195"/>
      <c r="B1392" s="188"/>
      <c r="C1392" s="183" t="str">
        <f t="shared" si="134"/>
        <v/>
      </c>
      <c r="D1392" s="182" t="str">
        <f t="shared" si="135"/>
        <v/>
      </c>
      <c r="E1392" s="192" t="s">
        <v>679</v>
      </c>
      <c r="F1392" s="192" t="s">
        <v>795</v>
      </c>
      <c r="G1392" s="192" t="s">
        <v>910</v>
      </c>
      <c r="H1392" s="210" t="s">
        <v>1440</v>
      </c>
      <c r="I1392" s="167">
        <v>2900000</v>
      </c>
      <c r="J1392" s="166"/>
      <c r="K1392" s="166"/>
      <c r="L1392" s="168">
        <v>2900000</v>
      </c>
      <c r="M1392" s="168">
        <f t="shared" si="136"/>
        <v>2900000</v>
      </c>
      <c r="N1392" s="168"/>
      <c r="O1392" s="167">
        <v>2900000</v>
      </c>
      <c r="P1392" s="167">
        <f t="shared" si="137"/>
        <v>2900000</v>
      </c>
      <c r="Q1392" s="167"/>
      <c r="S1392" s="201">
        <f t="shared" si="138"/>
        <v>2.9</v>
      </c>
      <c r="T1392" s="201">
        <f t="shared" si="133"/>
        <v>2.9</v>
      </c>
      <c r="U1392" s="201">
        <f t="shared" si="133"/>
        <v>0</v>
      </c>
      <c r="V1392" s="201">
        <f t="shared" si="133"/>
        <v>2.9</v>
      </c>
      <c r="W1392" s="201">
        <f t="shared" si="133"/>
        <v>2.9</v>
      </c>
      <c r="X1392" s="201">
        <f t="shared" si="133"/>
        <v>0</v>
      </c>
    </row>
    <row r="1393" spans="1:24" s="169" customFormat="1" ht="13.8">
      <c r="A1393" s="192"/>
      <c r="B1393" s="164" t="s">
        <v>680</v>
      </c>
      <c r="C1393" s="183" t="str">
        <f t="shared" si="134"/>
        <v/>
      </c>
      <c r="D1393" s="182" t="str">
        <f t="shared" si="135"/>
        <v/>
      </c>
      <c r="E1393" s="206"/>
      <c r="F1393" s="207"/>
      <c r="G1393" s="207"/>
      <c r="H1393" s="205"/>
      <c r="I1393" s="167">
        <v>841000000</v>
      </c>
      <c r="J1393" s="166"/>
      <c r="K1393" s="167">
        <v>851500000</v>
      </c>
      <c r="L1393" s="168">
        <v>-10500000</v>
      </c>
      <c r="M1393" s="168">
        <f t="shared" si="136"/>
        <v>841000000</v>
      </c>
      <c r="N1393" s="168"/>
      <c r="O1393" s="167">
        <v>841000000</v>
      </c>
      <c r="P1393" s="167">
        <f t="shared" si="137"/>
        <v>841000000</v>
      </c>
      <c r="Q1393" s="167"/>
      <c r="S1393" s="201">
        <f t="shared" si="138"/>
        <v>841</v>
      </c>
      <c r="T1393" s="201">
        <f t="shared" si="133"/>
        <v>841</v>
      </c>
      <c r="U1393" s="201">
        <f t="shared" si="133"/>
        <v>0</v>
      </c>
      <c r="V1393" s="201">
        <f t="shared" si="133"/>
        <v>841</v>
      </c>
      <c r="W1393" s="201">
        <f t="shared" si="133"/>
        <v>841</v>
      </c>
      <c r="X1393" s="201">
        <f t="shared" si="133"/>
        <v>0</v>
      </c>
    </row>
    <row r="1394" spans="1:24" s="169" customFormat="1" ht="13.8">
      <c r="A1394" s="192"/>
      <c r="B1394" s="164"/>
      <c r="C1394" s="183" t="str">
        <f t="shared" si="134"/>
        <v/>
      </c>
      <c r="D1394" s="182" t="str">
        <f t="shared" si="135"/>
        <v/>
      </c>
      <c r="E1394" s="192" t="s">
        <v>681</v>
      </c>
      <c r="F1394" s="192" t="s">
        <v>795</v>
      </c>
      <c r="G1394" s="192" t="s">
        <v>910</v>
      </c>
      <c r="H1394" s="210" t="s">
        <v>1440</v>
      </c>
      <c r="I1394" s="167">
        <v>841000000</v>
      </c>
      <c r="J1394" s="166"/>
      <c r="K1394" s="167">
        <v>851500000</v>
      </c>
      <c r="L1394" s="168">
        <v>-10500000</v>
      </c>
      <c r="M1394" s="168">
        <f t="shared" si="136"/>
        <v>841000000</v>
      </c>
      <c r="N1394" s="168"/>
      <c r="O1394" s="167">
        <v>841000000</v>
      </c>
      <c r="P1394" s="167">
        <f t="shared" si="137"/>
        <v>841000000</v>
      </c>
      <c r="Q1394" s="167"/>
      <c r="S1394" s="201">
        <f t="shared" si="138"/>
        <v>841</v>
      </c>
      <c r="T1394" s="201">
        <f t="shared" si="133"/>
        <v>841</v>
      </c>
      <c r="U1394" s="201">
        <f t="shared" si="133"/>
        <v>0</v>
      </c>
      <c r="V1394" s="201">
        <f t="shared" si="133"/>
        <v>841</v>
      </c>
      <c r="W1394" s="201">
        <f t="shared" si="133"/>
        <v>841</v>
      </c>
      <c r="X1394" s="201">
        <f t="shared" si="133"/>
        <v>0</v>
      </c>
    </row>
    <row r="1395" spans="1:24" s="169" customFormat="1" ht="39.6">
      <c r="A1395" s="192" t="s">
        <v>1298</v>
      </c>
      <c r="B1395" s="176" t="s">
        <v>1299</v>
      </c>
      <c r="C1395" s="183" t="str">
        <f t="shared" si="134"/>
        <v>1105650</v>
      </c>
      <c r="D1395" s="182" t="str">
        <f t="shared" si="135"/>
        <v>-Trường Trung học PhS rhông Trường Chinh - TP.Kon Tum -rỉnh Kon Tum</v>
      </c>
      <c r="E1395" s="206"/>
      <c r="F1395" s="207"/>
      <c r="G1395" s="207"/>
      <c r="H1395" s="205"/>
      <c r="I1395" s="167">
        <v>7474643364</v>
      </c>
      <c r="J1395" s="167">
        <v>73727364</v>
      </c>
      <c r="K1395" s="167">
        <v>7267388000</v>
      </c>
      <c r="L1395" s="168">
        <v>133528000</v>
      </c>
      <c r="M1395" s="168">
        <f t="shared" si="136"/>
        <v>7474643364</v>
      </c>
      <c r="N1395" s="168"/>
      <c r="O1395" s="167">
        <v>7454327414</v>
      </c>
      <c r="P1395" s="167">
        <f t="shared" si="137"/>
        <v>7454327414</v>
      </c>
      <c r="Q1395" s="167"/>
      <c r="S1395" s="201">
        <f t="shared" si="138"/>
        <v>7474.6433639999996</v>
      </c>
      <c r="T1395" s="201">
        <f t="shared" si="133"/>
        <v>7474.6433639999996</v>
      </c>
      <c r="U1395" s="201">
        <f t="shared" si="133"/>
        <v>0</v>
      </c>
      <c r="V1395" s="201">
        <f t="shared" si="133"/>
        <v>7454.3274140000003</v>
      </c>
      <c r="W1395" s="201">
        <f t="shared" si="133"/>
        <v>7454.3274140000003</v>
      </c>
      <c r="X1395" s="201">
        <f t="shared" si="133"/>
        <v>0</v>
      </c>
    </row>
    <row r="1396" spans="1:24" s="169" customFormat="1" ht="13.8">
      <c r="A1396" s="192"/>
      <c r="B1396" s="173"/>
      <c r="C1396" s="183" t="str">
        <f t="shared" si="134"/>
        <v/>
      </c>
      <c r="D1396" s="182" t="str">
        <f t="shared" si="135"/>
        <v/>
      </c>
      <c r="E1396" s="192"/>
      <c r="F1396" s="192"/>
      <c r="G1396" s="192"/>
      <c r="H1396" s="210"/>
      <c r="I1396" s="174"/>
      <c r="J1396" s="174"/>
      <c r="K1396" s="174"/>
      <c r="L1396" s="175"/>
      <c r="M1396" s="168">
        <f t="shared" si="136"/>
        <v>0</v>
      </c>
      <c r="N1396" s="175"/>
      <c r="O1396" s="174"/>
      <c r="P1396" s="167">
        <f t="shared" si="137"/>
        <v>0</v>
      </c>
      <c r="Q1396" s="174"/>
      <c r="S1396" s="201">
        <f t="shared" si="138"/>
        <v>0</v>
      </c>
      <c r="T1396" s="201">
        <f t="shared" si="133"/>
        <v>0</v>
      </c>
      <c r="U1396" s="201">
        <f t="shared" si="133"/>
        <v>0</v>
      </c>
      <c r="V1396" s="201">
        <f t="shared" si="133"/>
        <v>0</v>
      </c>
      <c r="W1396" s="201">
        <f t="shared" si="133"/>
        <v>0</v>
      </c>
      <c r="X1396" s="201">
        <f t="shared" si="133"/>
        <v>0</v>
      </c>
    </row>
    <row r="1397" spans="1:24" s="169" customFormat="1" ht="13.8">
      <c r="A1397" s="192" t="s">
        <v>1300</v>
      </c>
      <c r="B1397" s="170" t="s">
        <v>675</v>
      </c>
      <c r="C1397" s="183" t="str">
        <f t="shared" si="134"/>
        <v/>
      </c>
      <c r="D1397" s="182" t="str">
        <f t="shared" si="135"/>
        <v/>
      </c>
      <c r="E1397" s="206"/>
      <c r="F1397" s="207"/>
      <c r="G1397" s="207"/>
      <c r="H1397" s="205"/>
      <c r="I1397" s="167">
        <v>7474643364</v>
      </c>
      <c r="J1397" s="167">
        <v>73727364</v>
      </c>
      <c r="K1397" s="167">
        <v>7267388000</v>
      </c>
      <c r="L1397" s="168">
        <v>133528000</v>
      </c>
      <c r="M1397" s="168">
        <f t="shared" si="136"/>
        <v>7474643364</v>
      </c>
      <c r="N1397" s="168"/>
      <c r="O1397" s="167">
        <v>7454327414</v>
      </c>
      <c r="P1397" s="167">
        <f t="shared" si="137"/>
        <v>7454327414</v>
      </c>
      <c r="Q1397" s="167"/>
      <c r="S1397" s="201">
        <f t="shared" si="138"/>
        <v>7474.6433639999996</v>
      </c>
      <c r="T1397" s="201">
        <f t="shared" si="133"/>
        <v>7474.6433639999996</v>
      </c>
      <c r="U1397" s="201">
        <f t="shared" si="133"/>
        <v>0</v>
      </c>
      <c r="V1397" s="201">
        <f t="shared" si="133"/>
        <v>7454.3274140000003</v>
      </c>
      <c r="W1397" s="201">
        <f t="shared" si="133"/>
        <v>7454.3274140000003</v>
      </c>
      <c r="X1397" s="201">
        <f t="shared" si="133"/>
        <v>0</v>
      </c>
    </row>
    <row r="1398" spans="1:24" s="169" customFormat="1" ht="13.8">
      <c r="A1398" s="192"/>
      <c r="B1398" s="170" t="s">
        <v>676</v>
      </c>
      <c r="C1398" s="183" t="str">
        <f t="shared" si="134"/>
        <v/>
      </c>
      <c r="D1398" s="182" t="str">
        <f t="shared" si="135"/>
        <v/>
      </c>
      <c r="E1398" s="206"/>
      <c r="F1398" s="207"/>
      <c r="G1398" s="207"/>
      <c r="H1398" s="205"/>
      <c r="I1398" s="167">
        <v>6465608364</v>
      </c>
      <c r="J1398" s="167">
        <v>73727364</v>
      </c>
      <c r="K1398" s="167">
        <v>6346413000</v>
      </c>
      <c r="L1398" s="168">
        <v>45468000</v>
      </c>
      <c r="M1398" s="168">
        <f t="shared" si="136"/>
        <v>6465608364</v>
      </c>
      <c r="N1398" s="168"/>
      <c r="O1398" s="167">
        <v>6465608364</v>
      </c>
      <c r="P1398" s="167">
        <f t="shared" si="137"/>
        <v>6465608364</v>
      </c>
      <c r="Q1398" s="167"/>
      <c r="S1398" s="201">
        <f t="shared" si="138"/>
        <v>6465.6083639999997</v>
      </c>
      <c r="T1398" s="201">
        <f t="shared" si="133"/>
        <v>6465.6083639999997</v>
      </c>
      <c r="U1398" s="201">
        <f t="shared" si="133"/>
        <v>0</v>
      </c>
      <c r="V1398" s="201">
        <f t="shared" si="133"/>
        <v>6465.6083639999997</v>
      </c>
      <c r="W1398" s="201">
        <f t="shared" si="133"/>
        <v>6465.6083639999997</v>
      </c>
      <c r="X1398" s="201">
        <f t="shared" si="133"/>
        <v>0</v>
      </c>
    </row>
    <row r="1399" spans="1:24" s="169" customFormat="1" ht="13.8">
      <c r="A1399" s="193"/>
      <c r="B1399" s="187"/>
      <c r="C1399" s="183" t="str">
        <f t="shared" si="134"/>
        <v/>
      </c>
      <c r="D1399" s="182" t="str">
        <f t="shared" si="135"/>
        <v/>
      </c>
      <c r="E1399" s="192" t="s">
        <v>666</v>
      </c>
      <c r="F1399" s="192" t="s">
        <v>677</v>
      </c>
      <c r="G1399" s="192" t="s">
        <v>678</v>
      </c>
      <c r="H1399" s="210" t="s">
        <v>1440</v>
      </c>
      <c r="I1399" s="167">
        <v>6325440364</v>
      </c>
      <c r="J1399" s="167">
        <v>27027364</v>
      </c>
      <c r="K1399" s="167">
        <v>6298413000</v>
      </c>
      <c r="L1399" s="171"/>
      <c r="M1399" s="168">
        <f t="shared" si="136"/>
        <v>6325440364</v>
      </c>
      <c r="N1399" s="171"/>
      <c r="O1399" s="167">
        <v>6325440364</v>
      </c>
      <c r="P1399" s="167">
        <f t="shared" si="137"/>
        <v>6325440364</v>
      </c>
      <c r="Q1399" s="167"/>
      <c r="S1399" s="201">
        <f t="shared" si="138"/>
        <v>6325.440364</v>
      </c>
      <c r="T1399" s="201">
        <f t="shared" si="133"/>
        <v>6325.440364</v>
      </c>
      <c r="U1399" s="201">
        <f t="shared" si="133"/>
        <v>0</v>
      </c>
      <c r="V1399" s="201">
        <f t="shared" si="133"/>
        <v>6325.440364</v>
      </c>
      <c r="W1399" s="201">
        <f t="shared" si="133"/>
        <v>6325.440364</v>
      </c>
      <c r="X1399" s="201">
        <f t="shared" si="133"/>
        <v>0</v>
      </c>
    </row>
    <row r="1400" spans="1:24" s="169" customFormat="1" ht="13.8">
      <c r="A1400" s="194"/>
      <c r="B1400" s="184"/>
      <c r="C1400" s="183" t="str">
        <f t="shared" si="134"/>
        <v/>
      </c>
      <c r="D1400" s="182" t="str">
        <f t="shared" si="135"/>
        <v/>
      </c>
      <c r="E1400" s="192" t="s">
        <v>679</v>
      </c>
      <c r="F1400" s="192" t="s">
        <v>677</v>
      </c>
      <c r="G1400" s="192" t="s">
        <v>678</v>
      </c>
      <c r="H1400" s="210" t="s">
        <v>1440</v>
      </c>
      <c r="I1400" s="167">
        <v>48000000</v>
      </c>
      <c r="J1400" s="166"/>
      <c r="K1400" s="167">
        <v>48000000</v>
      </c>
      <c r="L1400" s="171"/>
      <c r="M1400" s="168">
        <f t="shared" si="136"/>
        <v>48000000</v>
      </c>
      <c r="N1400" s="171"/>
      <c r="O1400" s="167">
        <v>48000000</v>
      </c>
      <c r="P1400" s="167">
        <f t="shared" si="137"/>
        <v>48000000</v>
      </c>
      <c r="Q1400" s="167"/>
      <c r="S1400" s="201">
        <f t="shared" si="138"/>
        <v>48</v>
      </c>
      <c r="T1400" s="201">
        <f t="shared" si="133"/>
        <v>48</v>
      </c>
      <c r="U1400" s="201">
        <f t="shared" si="133"/>
        <v>0</v>
      </c>
      <c r="V1400" s="201">
        <f t="shared" si="133"/>
        <v>48</v>
      </c>
      <c r="W1400" s="201">
        <f t="shared" si="133"/>
        <v>48</v>
      </c>
      <c r="X1400" s="201">
        <f t="shared" si="133"/>
        <v>0</v>
      </c>
    </row>
    <row r="1401" spans="1:24" s="169" customFormat="1" ht="13.8">
      <c r="A1401" s="195"/>
      <c r="B1401" s="188"/>
      <c r="C1401" s="183" t="str">
        <f t="shared" si="134"/>
        <v/>
      </c>
      <c r="D1401" s="182" t="str">
        <f t="shared" si="135"/>
        <v/>
      </c>
      <c r="E1401" s="192" t="s">
        <v>669</v>
      </c>
      <c r="F1401" s="192" t="s">
        <v>677</v>
      </c>
      <c r="G1401" s="192" t="s">
        <v>678</v>
      </c>
      <c r="H1401" s="210" t="s">
        <v>1440</v>
      </c>
      <c r="I1401" s="167">
        <v>92168000</v>
      </c>
      <c r="J1401" s="167">
        <v>46700000</v>
      </c>
      <c r="K1401" s="166"/>
      <c r="L1401" s="168">
        <v>45468000</v>
      </c>
      <c r="M1401" s="168">
        <f t="shared" si="136"/>
        <v>92168000</v>
      </c>
      <c r="N1401" s="168"/>
      <c r="O1401" s="167">
        <v>92168000</v>
      </c>
      <c r="P1401" s="167">
        <f t="shared" si="137"/>
        <v>92168000</v>
      </c>
      <c r="Q1401" s="167"/>
      <c r="S1401" s="201">
        <f t="shared" si="138"/>
        <v>92.168000000000006</v>
      </c>
      <c r="T1401" s="201">
        <f t="shared" si="133"/>
        <v>92.168000000000006</v>
      </c>
      <c r="U1401" s="201">
        <f t="shared" si="133"/>
        <v>0</v>
      </c>
      <c r="V1401" s="201">
        <f t="shared" si="133"/>
        <v>92.168000000000006</v>
      </c>
      <c r="W1401" s="201">
        <f t="shared" si="133"/>
        <v>92.168000000000006</v>
      </c>
      <c r="X1401" s="201">
        <f t="shared" si="133"/>
        <v>0</v>
      </c>
    </row>
    <row r="1402" spans="1:24" s="169" customFormat="1" ht="13.8">
      <c r="A1402" s="192"/>
      <c r="B1402" s="170" t="s">
        <v>680</v>
      </c>
      <c r="C1402" s="183" t="str">
        <f t="shared" si="134"/>
        <v/>
      </c>
      <c r="D1402" s="182" t="str">
        <f t="shared" si="135"/>
        <v/>
      </c>
      <c r="E1402" s="206"/>
      <c r="F1402" s="207"/>
      <c r="G1402" s="207"/>
      <c r="H1402" s="205"/>
      <c r="I1402" s="167">
        <v>1009035000</v>
      </c>
      <c r="J1402" s="166"/>
      <c r="K1402" s="167">
        <v>920975000</v>
      </c>
      <c r="L1402" s="168">
        <v>88060000</v>
      </c>
      <c r="M1402" s="168">
        <f t="shared" si="136"/>
        <v>1009035000</v>
      </c>
      <c r="N1402" s="168"/>
      <c r="O1402" s="167">
        <v>988719050</v>
      </c>
      <c r="P1402" s="167">
        <f t="shared" si="137"/>
        <v>988719050</v>
      </c>
      <c r="Q1402" s="167"/>
      <c r="S1402" s="201">
        <f t="shared" si="138"/>
        <v>1009.035</v>
      </c>
      <c r="T1402" s="201">
        <f t="shared" si="133"/>
        <v>1009.035</v>
      </c>
      <c r="U1402" s="201">
        <f t="shared" si="133"/>
        <v>0</v>
      </c>
      <c r="V1402" s="201">
        <f t="shared" si="133"/>
        <v>988.71905000000004</v>
      </c>
      <c r="W1402" s="201">
        <f t="shared" si="133"/>
        <v>988.71905000000004</v>
      </c>
      <c r="X1402" s="201">
        <f t="shared" si="133"/>
        <v>0</v>
      </c>
    </row>
    <row r="1403" spans="1:24" s="169" customFormat="1" ht="13.8">
      <c r="A1403" s="193"/>
      <c r="B1403" s="187"/>
      <c r="C1403" s="183" t="str">
        <f t="shared" si="134"/>
        <v/>
      </c>
      <c r="D1403" s="182" t="str">
        <f t="shared" si="135"/>
        <v/>
      </c>
      <c r="E1403" s="192" t="s">
        <v>681</v>
      </c>
      <c r="F1403" s="192" t="s">
        <v>677</v>
      </c>
      <c r="G1403" s="192" t="s">
        <v>678</v>
      </c>
      <c r="H1403" s="210" t="s">
        <v>1440</v>
      </c>
      <c r="I1403" s="167">
        <v>430000000</v>
      </c>
      <c r="J1403" s="166"/>
      <c r="K1403" s="167">
        <v>430000000</v>
      </c>
      <c r="L1403" s="171"/>
      <c r="M1403" s="168">
        <f t="shared" si="136"/>
        <v>430000000</v>
      </c>
      <c r="N1403" s="171"/>
      <c r="O1403" s="167">
        <v>410484050</v>
      </c>
      <c r="P1403" s="167">
        <f t="shared" si="137"/>
        <v>410484050</v>
      </c>
      <c r="Q1403" s="167"/>
      <c r="S1403" s="201">
        <f t="shared" si="138"/>
        <v>430</v>
      </c>
      <c r="T1403" s="201">
        <f t="shared" si="133"/>
        <v>430</v>
      </c>
      <c r="U1403" s="201">
        <f t="shared" si="133"/>
        <v>0</v>
      </c>
      <c r="V1403" s="201">
        <f t="shared" si="133"/>
        <v>410.48405000000002</v>
      </c>
      <c r="W1403" s="201">
        <f t="shared" si="133"/>
        <v>410.48405000000002</v>
      </c>
      <c r="X1403" s="201">
        <f t="shared" si="133"/>
        <v>0</v>
      </c>
    </row>
    <row r="1404" spans="1:24" s="169" customFormat="1" ht="13.8">
      <c r="A1404" s="195"/>
      <c r="B1404" s="188"/>
      <c r="C1404" s="183" t="str">
        <f t="shared" si="134"/>
        <v/>
      </c>
      <c r="D1404" s="182" t="str">
        <f t="shared" si="135"/>
        <v/>
      </c>
      <c r="E1404" s="192" t="s">
        <v>669</v>
      </c>
      <c r="F1404" s="192" t="s">
        <v>677</v>
      </c>
      <c r="G1404" s="192" t="s">
        <v>678</v>
      </c>
      <c r="H1404" s="210" t="s">
        <v>1440</v>
      </c>
      <c r="I1404" s="167">
        <v>579035000</v>
      </c>
      <c r="J1404" s="166"/>
      <c r="K1404" s="167">
        <v>490975000</v>
      </c>
      <c r="L1404" s="168">
        <v>88060000</v>
      </c>
      <c r="M1404" s="168">
        <f t="shared" si="136"/>
        <v>579035000</v>
      </c>
      <c r="N1404" s="168"/>
      <c r="O1404" s="167">
        <v>578235000</v>
      </c>
      <c r="P1404" s="167">
        <f t="shared" si="137"/>
        <v>578235000</v>
      </c>
      <c r="Q1404" s="167"/>
      <c r="S1404" s="201">
        <f t="shared" si="138"/>
        <v>579.03499999999997</v>
      </c>
      <c r="T1404" s="201">
        <f t="shared" si="133"/>
        <v>579.03499999999997</v>
      </c>
      <c r="U1404" s="201">
        <f t="shared" si="133"/>
        <v>0</v>
      </c>
      <c r="V1404" s="201">
        <f t="shared" si="133"/>
        <v>578.23500000000001</v>
      </c>
      <c r="W1404" s="201">
        <f t="shared" si="133"/>
        <v>578.23500000000001</v>
      </c>
      <c r="X1404" s="201">
        <f t="shared" si="133"/>
        <v>0</v>
      </c>
    </row>
    <row r="1405" spans="1:24" s="169" customFormat="1" ht="27.6">
      <c r="A1405" s="192" t="s">
        <v>1301</v>
      </c>
      <c r="B1405" s="165" t="s">
        <v>1302</v>
      </c>
      <c r="C1405" s="183" t="str">
        <f t="shared" si="134"/>
        <v>1105744</v>
      </c>
      <c r="D1405" s="182" t="str">
        <f t="shared" si="135"/>
        <v>-Công ty Đău tư phát triển Hạ ăng Khu Kinh tẽ tỉnh Kon Tum</v>
      </c>
      <c r="E1405" s="206"/>
      <c r="F1405" s="207"/>
      <c r="G1405" s="207"/>
      <c r="H1405" s="205"/>
      <c r="I1405" s="167">
        <v>6078076050</v>
      </c>
      <c r="J1405" s="167">
        <v>57676050</v>
      </c>
      <c r="K1405" s="167">
        <v>4022400000</v>
      </c>
      <c r="L1405" s="168">
        <v>1998000000</v>
      </c>
      <c r="M1405" s="168">
        <f t="shared" si="136"/>
        <v>6078076050</v>
      </c>
      <c r="N1405" s="168"/>
      <c r="O1405" s="167">
        <v>6077955341</v>
      </c>
      <c r="P1405" s="167">
        <f t="shared" si="137"/>
        <v>6077955341</v>
      </c>
      <c r="Q1405" s="167"/>
      <c r="S1405" s="201">
        <f t="shared" si="138"/>
        <v>6078.0760499999997</v>
      </c>
      <c r="T1405" s="201">
        <f t="shared" si="133"/>
        <v>6078.0760499999997</v>
      </c>
      <c r="U1405" s="201">
        <f t="shared" si="133"/>
        <v>0</v>
      </c>
      <c r="V1405" s="201">
        <f t="shared" si="133"/>
        <v>6077.9553409999999</v>
      </c>
      <c r="W1405" s="201">
        <f t="shared" si="133"/>
        <v>6077.9553409999999</v>
      </c>
      <c r="X1405" s="201">
        <f t="shared" si="133"/>
        <v>0</v>
      </c>
    </row>
    <row r="1406" spans="1:24" s="169" customFormat="1" ht="13.8">
      <c r="A1406" s="192" t="s">
        <v>1303</v>
      </c>
      <c r="B1406" s="170" t="s">
        <v>675</v>
      </c>
      <c r="C1406" s="183" t="str">
        <f t="shared" si="134"/>
        <v/>
      </c>
      <c r="D1406" s="182" t="str">
        <f t="shared" si="135"/>
        <v/>
      </c>
      <c r="E1406" s="206"/>
      <c r="F1406" s="207"/>
      <c r="G1406" s="207"/>
      <c r="H1406" s="205"/>
      <c r="I1406" s="167">
        <v>6078076050</v>
      </c>
      <c r="J1406" s="167">
        <v>57676050</v>
      </c>
      <c r="K1406" s="167">
        <v>4022400000</v>
      </c>
      <c r="L1406" s="168">
        <v>1998000000</v>
      </c>
      <c r="M1406" s="168">
        <f t="shared" si="136"/>
        <v>6078076050</v>
      </c>
      <c r="N1406" s="168"/>
      <c r="O1406" s="167">
        <v>6077955341</v>
      </c>
      <c r="P1406" s="167">
        <f t="shared" si="137"/>
        <v>6077955341</v>
      </c>
      <c r="Q1406" s="167"/>
      <c r="S1406" s="201">
        <f t="shared" si="138"/>
        <v>6078.0760499999997</v>
      </c>
      <c r="T1406" s="201">
        <f t="shared" ref="T1406:X1456" si="139">M1406/1000000</f>
        <v>6078.0760499999997</v>
      </c>
      <c r="U1406" s="201">
        <f t="shared" si="139"/>
        <v>0</v>
      </c>
      <c r="V1406" s="201">
        <f t="shared" si="139"/>
        <v>6077.9553409999999</v>
      </c>
      <c r="W1406" s="201">
        <f t="shared" si="139"/>
        <v>6077.9553409999999</v>
      </c>
      <c r="X1406" s="201">
        <f t="shared" si="139"/>
        <v>0</v>
      </c>
    </row>
    <row r="1407" spans="1:24" s="169" customFormat="1" ht="13.8">
      <c r="A1407" s="192"/>
      <c r="B1407" s="170" t="s">
        <v>676</v>
      </c>
      <c r="C1407" s="183" t="str">
        <f t="shared" si="134"/>
        <v/>
      </c>
      <c r="D1407" s="182" t="str">
        <f t="shared" si="135"/>
        <v/>
      </c>
      <c r="E1407" s="206"/>
      <c r="F1407" s="207"/>
      <c r="G1407" s="207"/>
      <c r="H1407" s="205"/>
      <c r="I1407" s="166"/>
      <c r="J1407" s="167">
        <v>57676050</v>
      </c>
      <c r="K1407" s="167">
        <v>-57676050</v>
      </c>
      <c r="L1407" s="171"/>
      <c r="M1407" s="168">
        <f t="shared" si="136"/>
        <v>0</v>
      </c>
      <c r="N1407" s="171"/>
      <c r="O1407" s="166"/>
      <c r="P1407" s="167">
        <f t="shared" si="137"/>
        <v>0</v>
      </c>
      <c r="Q1407" s="166"/>
      <c r="S1407" s="201">
        <f t="shared" si="138"/>
        <v>0</v>
      </c>
      <c r="T1407" s="201">
        <f t="shared" si="139"/>
        <v>0</v>
      </c>
      <c r="U1407" s="201">
        <f t="shared" si="139"/>
        <v>0</v>
      </c>
      <c r="V1407" s="201">
        <f t="shared" si="139"/>
        <v>0</v>
      </c>
      <c r="W1407" s="201">
        <f t="shared" si="139"/>
        <v>0</v>
      </c>
      <c r="X1407" s="201">
        <f t="shared" si="139"/>
        <v>0</v>
      </c>
    </row>
    <row r="1408" spans="1:24" s="169" customFormat="1" ht="13.8">
      <c r="A1408" s="193"/>
      <c r="B1408" s="187"/>
      <c r="C1408" s="183" t="str">
        <f t="shared" si="134"/>
        <v/>
      </c>
      <c r="D1408" s="182" t="str">
        <f t="shared" si="135"/>
        <v/>
      </c>
      <c r="E1408" s="192" t="s">
        <v>666</v>
      </c>
      <c r="F1408" s="192" t="s">
        <v>760</v>
      </c>
      <c r="G1408" s="192" t="s">
        <v>1050</v>
      </c>
      <c r="H1408" s="210" t="s">
        <v>1440</v>
      </c>
      <c r="I1408" s="166"/>
      <c r="J1408" s="167">
        <v>55776050</v>
      </c>
      <c r="K1408" s="167">
        <v>-55776050</v>
      </c>
      <c r="L1408" s="171"/>
      <c r="M1408" s="168">
        <f t="shared" si="136"/>
        <v>0</v>
      </c>
      <c r="N1408" s="171"/>
      <c r="O1408" s="166"/>
      <c r="P1408" s="167">
        <f t="shared" si="137"/>
        <v>0</v>
      </c>
      <c r="Q1408" s="166"/>
      <c r="S1408" s="201">
        <f t="shared" si="138"/>
        <v>0</v>
      </c>
      <c r="T1408" s="201">
        <f t="shared" si="139"/>
        <v>0</v>
      </c>
      <c r="U1408" s="201">
        <f t="shared" si="139"/>
        <v>0</v>
      </c>
      <c r="V1408" s="201">
        <f t="shared" si="139"/>
        <v>0</v>
      </c>
      <c r="W1408" s="201">
        <f t="shared" si="139"/>
        <v>0</v>
      </c>
      <c r="X1408" s="201">
        <f t="shared" si="139"/>
        <v>0</v>
      </c>
    </row>
    <row r="1409" spans="1:24" s="169" customFormat="1" ht="13.8">
      <c r="A1409" s="195"/>
      <c r="B1409" s="188"/>
      <c r="C1409" s="183" t="str">
        <f t="shared" si="134"/>
        <v/>
      </c>
      <c r="D1409" s="182" t="str">
        <f t="shared" si="135"/>
        <v/>
      </c>
      <c r="E1409" s="192" t="s">
        <v>679</v>
      </c>
      <c r="F1409" s="192" t="s">
        <v>760</v>
      </c>
      <c r="G1409" s="192" t="s">
        <v>1050</v>
      </c>
      <c r="H1409" s="210" t="s">
        <v>1440</v>
      </c>
      <c r="I1409" s="166"/>
      <c r="J1409" s="167">
        <v>1900000</v>
      </c>
      <c r="K1409" s="167">
        <v>-1900000</v>
      </c>
      <c r="L1409" s="171"/>
      <c r="M1409" s="168">
        <f t="shared" si="136"/>
        <v>0</v>
      </c>
      <c r="N1409" s="171"/>
      <c r="O1409" s="166"/>
      <c r="P1409" s="167">
        <f t="shared" si="137"/>
        <v>0</v>
      </c>
      <c r="Q1409" s="166"/>
      <c r="S1409" s="201">
        <f t="shared" si="138"/>
        <v>0</v>
      </c>
      <c r="T1409" s="201">
        <f t="shared" si="139"/>
        <v>0</v>
      </c>
      <c r="U1409" s="201">
        <f t="shared" si="139"/>
        <v>0</v>
      </c>
      <c r="V1409" s="201">
        <f t="shared" si="139"/>
        <v>0</v>
      </c>
      <c r="W1409" s="201">
        <f t="shared" si="139"/>
        <v>0</v>
      </c>
      <c r="X1409" s="201">
        <f t="shared" si="139"/>
        <v>0</v>
      </c>
    </row>
    <row r="1410" spans="1:24" s="169" customFormat="1" ht="13.8">
      <c r="A1410" s="192"/>
      <c r="B1410" s="170" t="s">
        <v>680</v>
      </c>
      <c r="C1410" s="183" t="str">
        <f t="shared" si="134"/>
        <v/>
      </c>
      <c r="D1410" s="182" t="str">
        <f t="shared" si="135"/>
        <v/>
      </c>
      <c r="E1410" s="206"/>
      <c r="F1410" s="207"/>
      <c r="G1410" s="207"/>
      <c r="H1410" s="205"/>
      <c r="I1410" s="167">
        <v>6078076050</v>
      </c>
      <c r="J1410" s="166"/>
      <c r="K1410" s="167">
        <v>4080076050</v>
      </c>
      <c r="L1410" s="168">
        <v>1998000000</v>
      </c>
      <c r="M1410" s="168">
        <f t="shared" si="136"/>
        <v>6078076050</v>
      </c>
      <c r="N1410" s="168"/>
      <c r="O1410" s="167">
        <v>6077955341</v>
      </c>
      <c r="P1410" s="167">
        <f t="shared" si="137"/>
        <v>6077955341</v>
      </c>
      <c r="Q1410" s="167"/>
      <c r="S1410" s="201">
        <f t="shared" si="138"/>
        <v>6078.0760499999997</v>
      </c>
      <c r="T1410" s="201">
        <f t="shared" si="139"/>
        <v>6078.0760499999997</v>
      </c>
      <c r="U1410" s="201">
        <f t="shared" si="139"/>
        <v>0</v>
      </c>
      <c r="V1410" s="201">
        <f t="shared" si="139"/>
        <v>6077.9553409999999</v>
      </c>
      <c r="W1410" s="201">
        <f t="shared" si="139"/>
        <v>6077.9553409999999</v>
      </c>
      <c r="X1410" s="201">
        <f t="shared" si="139"/>
        <v>0</v>
      </c>
    </row>
    <row r="1411" spans="1:24" s="169" customFormat="1" ht="13.8">
      <c r="A1411" s="193"/>
      <c r="B1411" s="187"/>
      <c r="C1411" s="183" t="str">
        <f t="shared" si="134"/>
        <v/>
      </c>
      <c r="D1411" s="182" t="str">
        <f t="shared" si="135"/>
        <v/>
      </c>
      <c r="E1411" s="192" t="s">
        <v>681</v>
      </c>
      <c r="F1411" s="192" t="s">
        <v>760</v>
      </c>
      <c r="G1411" s="192" t="s">
        <v>1050</v>
      </c>
      <c r="H1411" s="210" t="s">
        <v>1440</v>
      </c>
      <c r="I1411" s="167">
        <v>4553076050</v>
      </c>
      <c r="J1411" s="166"/>
      <c r="K1411" s="167">
        <v>2555076050</v>
      </c>
      <c r="L1411" s="168">
        <v>1998000000</v>
      </c>
      <c r="M1411" s="168">
        <f t="shared" si="136"/>
        <v>4553076050</v>
      </c>
      <c r="N1411" s="168"/>
      <c r="O1411" s="167">
        <v>4552955341</v>
      </c>
      <c r="P1411" s="167">
        <f t="shared" si="137"/>
        <v>4552955341</v>
      </c>
      <c r="Q1411" s="167"/>
      <c r="S1411" s="201">
        <f t="shared" si="138"/>
        <v>4553.0760499999997</v>
      </c>
      <c r="T1411" s="201">
        <f t="shared" si="139"/>
        <v>4553.0760499999997</v>
      </c>
      <c r="U1411" s="201">
        <f t="shared" si="139"/>
        <v>0</v>
      </c>
      <c r="V1411" s="201">
        <f t="shared" si="139"/>
        <v>4552.9553409999999</v>
      </c>
      <c r="W1411" s="201">
        <f t="shared" si="139"/>
        <v>4552.9553409999999</v>
      </c>
      <c r="X1411" s="201">
        <f t="shared" si="139"/>
        <v>0</v>
      </c>
    </row>
    <row r="1412" spans="1:24" s="169" customFormat="1" ht="13.8">
      <c r="A1412" s="195"/>
      <c r="B1412" s="188"/>
      <c r="C1412" s="183" t="str">
        <f t="shared" si="134"/>
        <v/>
      </c>
      <c r="D1412" s="182" t="str">
        <f t="shared" si="135"/>
        <v/>
      </c>
      <c r="E1412" s="192" t="s">
        <v>681</v>
      </c>
      <c r="F1412" s="192" t="s">
        <v>760</v>
      </c>
      <c r="G1412" s="192" t="s">
        <v>736</v>
      </c>
      <c r="H1412" s="210" t="s">
        <v>1440</v>
      </c>
      <c r="I1412" s="167">
        <v>1525000000</v>
      </c>
      <c r="J1412" s="166"/>
      <c r="K1412" s="167">
        <v>1525000000</v>
      </c>
      <c r="L1412" s="171"/>
      <c r="M1412" s="168">
        <f t="shared" si="136"/>
        <v>1525000000</v>
      </c>
      <c r="N1412" s="171"/>
      <c r="O1412" s="167">
        <v>1525000000</v>
      </c>
      <c r="P1412" s="167">
        <f t="shared" si="137"/>
        <v>1525000000</v>
      </c>
      <c r="Q1412" s="167"/>
      <c r="S1412" s="201">
        <f t="shared" si="138"/>
        <v>1525</v>
      </c>
      <c r="T1412" s="201">
        <f t="shared" si="139"/>
        <v>1525</v>
      </c>
      <c r="U1412" s="201">
        <f t="shared" si="139"/>
        <v>0</v>
      </c>
      <c r="V1412" s="201">
        <f t="shared" si="139"/>
        <v>1525</v>
      </c>
      <c r="W1412" s="201">
        <f t="shared" si="139"/>
        <v>1525</v>
      </c>
      <c r="X1412" s="201">
        <f t="shared" si="139"/>
        <v>0</v>
      </c>
    </row>
    <row r="1413" spans="1:24" s="169" customFormat="1" ht="26.4">
      <c r="A1413" s="192" t="s">
        <v>1304</v>
      </c>
      <c r="B1413" s="165" t="s">
        <v>1305</v>
      </c>
      <c r="C1413" s="183" t="str">
        <f t="shared" si="134"/>
        <v>1105924</v>
      </c>
      <c r="D1413" s="182" t="str">
        <f t="shared" si="135"/>
        <v>-Trung Tâm hỗ trợ Thanh niên rỉnh Kon Tum</v>
      </c>
      <c r="E1413" s="206"/>
      <c r="F1413" s="207"/>
      <c r="G1413" s="207"/>
      <c r="H1413" s="205"/>
      <c r="I1413" s="167">
        <v>445000000</v>
      </c>
      <c r="J1413" s="166"/>
      <c r="K1413" s="167">
        <v>445000000</v>
      </c>
      <c r="L1413" s="171"/>
      <c r="M1413" s="168">
        <f t="shared" si="136"/>
        <v>445000000</v>
      </c>
      <c r="N1413" s="171"/>
      <c r="O1413" s="167">
        <v>445000000</v>
      </c>
      <c r="P1413" s="167">
        <f t="shared" si="137"/>
        <v>445000000</v>
      </c>
      <c r="Q1413" s="167"/>
      <c r="S1413" s="201">
        <f t="shared" si="138"/>
        <v>445</v>
      </c>
      <c r="T1413" s="201">
        <f t="shared" si="139"/>
        <v>445</v>
      </c>
      <c r="U1413" s="201">
        <f t="shared" si="139"/>
        <v>0</v>
      </c>
      <c r="V1413" s="201">
        <f t="shared" si="139"/>
        <v>445</v>
      </c>
      <c r="W1413" s="201">
        <f t="shared" si="139"/>
        <v>445</v>
      </c>
      <c r="X1413" s="201">
        <f t="shared" si="139"/>
        <v>0</v>
      </c>
    </row>
    <row r="1414" spans="1:24" s="169" customFormat="1" ht="13.8">
      <c r="A1414" s="192" t="s">
        <v>1306</v>
      </c>
      <c r="B1414" s="170" t="s">
        <v>675</v>
      </c>
      <c r="C1414" s="183" t="str">
        <f t="shared" si="134"/>
        <v/>
      </c>
      <c r="D1414" s="182" t="str">
        <f t="shared" si="135"/>
        <v/>
      </c>
      <c r="E1414" s="206"/>
      <c r="F1414" s="207"/>
      <c r="G1414" s="207"/>
      <c r="H1414" s="205"/>
      <c r="I1414" s="167">
        <v>445000000</v>
      </c>
      <c r="J1414" s="166"/>
      <c r="K1414" s="167">
        <v>445000000</v>
      </c>
      <c r="L1414" s="171"/>
      <c r="M1414" s="168">
        <f t="shared" si="136"/>
        <v>445000000</v>
      </c>
      <c r="N1414" s="171"/>
      <c r="O1414" s="167">
        <v>445000000</v>
      </c>
      <c r="P1414" s="167">
        <f t="shared" si="137"/>
        <v>445000000</v>
      </c>
      <c r="Q1414" s="167"/>
      <c r="S1414" s="201">
        <f t="shared" si="138"/>
        <v>445</v>
      </c>
      <c r="T1414" s="201">
        <f t="shared" si="139"/>
        <v>445</v>
      </c>
      <c r="U1414" s="201">
        <f t="shared" si="139"/>
        <v>0</v>
      </c>
      <c r="V1414" s="201">
        <f t="shared" si="139"/>
        <v>445</v>
      </c>
      <c r="W1414" s="201">
        <f t="shared" si="139"/>
        <v>445</v>
      </c>
      <c r="X1414" s="201">
        <f t="shared" si="139"/>
        <v>0</v>
      </c>
    </row>
    <row r="1415" spans="1:24" s="169" customFormat="1" ht="13.8">
      <c r="A1415" s="192"/>
      <c r="B1415" s="170" t="s">
        <v>680</v>
      </c>
      <c r="C1415" s="183" t="str">
        <f t="shared" si="134"/>
        <v/>
      </c>
      <c r="D1415" s="182" t="str">
        <f t="shared" si="135"/>
        <v/>
      </c>
      <c r="E1415" s="206"/>
      <c r="F1415" s="207"/>
      <c r="G1415" s="207"/>
      <c r="H1415" s="205"/>
      <c r="I1415" s="167">
        <v>445000000</v>
      </c>
      <c r="J1415" s="166"/>
      <c r="K1415" s="167">
        <v>445000000</v>
      </c>
      <c r="L1415" s="171"/>
      <c r="M1415" s="168">
        <f t="shared" si="136"/>
        <v>445000000</v>
      </c>
      <c r="N1415" s="171"/>
      <c r="O1415" s="167">
        <v>445000000</v>
      </c>
      <c r="P1415" s="167">
        <f t="shared" si="137"/>
        <v>445000000</v>
      </c>
      <c r="Q1415" s="167"/>
      <c r="S1415" s="201">
        <f t="shared" si="138"/>
        <v>445</v>
      </c>
      <c r="T1415" s="201">
        <f t="shared" si="139"/>
        <v>445</v>
      </c>
      <c r="U1415" s="201">
        <f t="shared" si="139"/>
        <v>0</v>
      </c>
      <c r="V1415" s="201">
        <f t="shared" si="139"/>
        <v>445</v>
      </c>
      <c r="W1415" s="201">
        <f t="shared" si="139"/>
        <v>445</v>
      </c>
      <c r="X1415" s="201">
        <f t="shared" si="139"/>
        <v>0</v>
      </c>
    </row>
    <row r="1416" spans="1:24" s="169" customFormat="1" ht="13.8">
      <c r="A1416" s="192"/>
      <c r="B1416" s="164"/>
      <c r="C1416" s="183" t="str">
        <f t="shared" si="134"/>
        <v/>
      </c>
      <c r="D1416" s="182" t="str">
        <f t="shared" si="135"/>
        <v/>
      </c>
      <c r="E1416" s="192" t="s">
        <v>681</v>
      </c>
      <c r="F1416" s="192" t="s">
        <v>864</v>
      </c>
      <c r="G1416" s="192" t="s">
        <v>786</v>
      </c>
      <c r="H1416" s="210" t="s">
        <v>1440</v>
      </c>
      <c r="I1416" s="167">
        <v>445000000</v>
      </c>
      <c r="J1416" s="166"/>
      <c r="K1416" s="167">
        <v>445000000</v>
      </c>
      <c r="L1416" s="171"/>
      <c r="M1416" s="168">
        <f t="shared" si="136"/>
        <v>445000000</v>
      </c>
      <c r="N1416" s="171"/>
      <c r="O1416" s="167">
        <v>445000000</v>
      </c>
      <c r="P1416" s="167">
        <f t="shared" si="137"/>
        <v>445000000</v>
      </c>
      <c r="Q1416" s="167"/>
      <c r="S1416" s="201">
        <f t="shared" si="138"/>
        <v>445</v>
      </c>
      <c r="T1416" s="201">
        <f t="shared" si="139"/>
        <v>445</v>
      </c>
      <c r="U1416" s="201">
        <f t="shared" si="139"/>
        <v>0</v>
      </c>
      <c r="V1416" s="201">
        <f t="shared" si="139"/>
        <v>445</v>
      </c>
      <c r="W1416" s="201">
        <f t="shared" si="139"/>
        <v>445</v>
      </c>
      <c r="X1416" s="201">
        <f t="shared" si="139"/>
        <v>0</v>
      </c>
    </row>
    <row r="1417" spans="1:24" s="169" customFormat="1" ht="28.8">
      <c r="A1417" s="192" t="s">
        <v>1307</v>
      </c>
      <c r="B1417" s="165" t="s">
        <v>1308</v>
      </c>
      <c r="C1417" s="183" t="str">
        <f t="shared" si="134"/>
        <v>1106147</v>
      </c>
      <c r="D1417" s="182" t="str">
        <f t="shared" si="135"/>
        <v>-Trường Trung học PhS thông :,han Bội Châu - tỉnh Kontum</v>
      </c>
      <c r="E1417" s="206"/>
      <c r="F1417" s="207"/>
      <c r="G1417" s="207"/>
      <c r="H1417" s="205"/>
      <c r="I1417" s="167">
        <v>3926822000</v>
      </c>
      <c r="J1417" s="166"/>
      <c r="K1417" s="167">
        <v>3923421000</v>
      </c>
      <c r="L1417" s="168">
        <v>3401000</v>
      </c>
      <c r="M1417" s="168">
        <f t="shared" si="136"/>
        <v>3926822000</v>
      </c>
      <c r="N1417" s="168"/>
      <c r="O1417" s="167">
        <v>3922581500</v>
      </c>
      <c r="P1417" s="167">
        <f t="shared" si="137"/>
        <v>3922581500</v>
      </c>
      <c r="Q1417" s="167"/>
      <c r="S1417" s="201">
        <f t="shared" si="138"/>
        <v>3926.8220000000001</v>
      </c>
      <c r="T1417" s="201">
        <f t="shared" si="139"/>
        <v>3926.8220000000001</v>
      </c>
      <c r="U1417" s="201">
        <f t="shared" si="139"/>
        <v>0</v>
      </c>
      <c r="V1417" s="201">
        <f t="shared" si="139"/>
        <v>3922.5814999999998</v>
      </c>
      <c r="W1417" s="201">
        <f t="shared" si="139"/>
        <v>3922.5814999999998</v>
      </c>
      <c r="X1417" s="201">
        <f t="shared" si="139"/>
        <v>0</v>
      </c>
    </row>
    <row r="1418" spans="1:24" s="169" customFormat="1" ht="13.8">
      <c r="A1418" s="192" t="s">
        <v>1309</v>
      </c>
      <c r="B1418" s="170" t="s">
        <v>675</v>
      </c>
      <c r="C1418" s="183" t="str">
        <f t="shared" si="134"/>
        <v/>
      </c>
      <c r="D1418" s="182" t="str">
        <f t="shared" si="135"/>
        <v/>
      </c>
      <c r="E1418" s="206"/>
      <c r="F1418" s="207"/>
      <c r="G1418" s="207"/>
      <c r="H1418" s="205"/>
      <c r="I1418" s="167">
        <v>3926822000</v>
      </c>
      <c r="J1418" s="166"/>
      <c r="K1418" s="167">
        <v>3923421000</v>
      </c>
      <c r="L1418" s="168">
        <v>3401000</v>
      </c>
      <c r="M1418" s="168">
        <f t="shared" si="136"/>
        <v>3926822000</v>
      </c>
      <c r="N1418" s="168"/>
      <c r="O1418" s="167">
        <v>3922581500</v>
      </c>
      <c r="P1418" s="167">
        <f t="shared" si="137"/>
        <v>3922581500</v>
      </c>
      <c r="Q1418" s="167"/>
      <c r="S1418" s="201">
        <f t="shared" si="138"/>
        <v>3926.8220000000001</v>
      </c>
      <c r="T1418" s="201">
        <f t="shared" si="139"/>
        <v>3926.8220000000001</v>
      </c>
      <c r="U1418" s="201">
        <f t="shared" si="139"/>
        <v>0</v>
      </c>
      <c r="V1418" s="201">
        <f t="shared" si="139"/>
        <v>3922.5814999999998</v>
      </c>
      <c r="W1418" s="201">
        <f t="shared" si="139"/>
        <v>3922.5814999999998</v>
      </c>
      <c r="X1418" s="201">
        <f t="shared" si="139"/>
        <v>0</v>
      </c>
    </row>
    <row r="1419" spans="1:24" s="169" customFormat="1" ht="13.8">
      <c r="A1419" s="192"/>
      <c r="B1419" s="170" t="s">
        <v>676</v>
      </c>
      <c r="C1419" s="183" t="str">
        <f t="shared" si="134"/>
        <v/>
      </c>
      <c r="D1419" s="182" t="str">
        <f t="shared" si="135"/>
        <v/>
      </c>
      <c r="E1419" s="206"/>
      <c r="F1419" s="207"/>
      <c r="G1419" s="207"/>
      <c r="H1419" s="205"/>
      <c r="I1419" s="167">
        <v>3294584000</v>
      </c>
      <c r="J1419" s="166"/>
      <c r="K1419" s="167">
        <v>3293421000</v>
      </c>
      <c r="L1419" s="168">
        <v>1163000</v>
      </c>
      <c r="M1419" s="168">
        <f t="shared" si="136"/>
        <v>3294584000</v>
      </c>
      <c r="N1419" s="168"/>
      <c r="O1419" s="167">
        <v>3294584000</v>
      </c>
      <c r="P1419" s="167">
        <f t="shared" si="137"/>
        <v>3294584000</v>
      </c>
      <c r="Q1419" s="167"/>
      <c r="S1419" s="201">
        <f t="shared" si="138"/>
        <v>3294.5839999999998</v>
      </c>
      <c r="T1419" s="201">
        <f t="shared" si="139"/>
        <v>3294.5839999999998</v>
      </c>
      <c r="U1419" s="201">
        <f t="shared" si="139"/>
        <v>0</v>
      </c>
      <c r="V1419" s="201">
        <f t="shared" si="139"/>
        <v>3294.5839999999998</v>
      </c>
      <c r="W1419" s="201">
        <f t="shared" si="139"/>
        <v>3294.5839999999998</v>
      </c>
      <c r="X1419" s="201">
        <f t="shared" si="139"/>
        <v>0</v>
      </c>
    </row>
    <row r="1420" spans="1:24" s="169" customFormat="1" ht="13.8">
      <c r="A1420" s="193"/>
      <c r="B1420" s="187"/>
      <c r="C1420" s="183" t="str">
        <f t="shared" si="134"/>
        <v/>
      </c>
      <c r="D1420" s="182" t="str">
        <f t="shared" si="135"/>
        <v/>
      </c>
      <c r="E1420" s="192" t="s">
        <v>666</v>
      </c>
      <c r="F1420" s="192" t="s">
        <v>677</v>
      </c>
      <c r="G1420" s="192" t="s">
        <v>678</v>
      </c>
      <c r="H1420" s="210" t="s">
        <v>1440</v>
      </c>
      <c r="I1420" s="167">
        <v>3232421000</v>
      </c>
      <c r="J1420" s="166"/>
      <c r="K1420" s="167">
        <v>3232421000</v>
      </c>
      <c r="L1420" s="171"/>
      <c r="M1420" s="168">
        <f t="shared" si="136"/>
        <v>3232421000</v>
      </c>
      <c r="N1420" s="171"/>
      <c r="O1420" s="167">
        <v>3232421000</v>
      </c>
      <c r="P1420" s="167">
        <f t="shared" si="137"/>
        <v>3232421000</v>
      </c>
      <c r="Q1420" s="167"/>
      <c r="S1420" s="201">
        <f t="shared" si="138"/>
        <v>3232.4209999999998</v>
      </c>
      <c r="T1420" s="201">
        <f t="shared" si="139"/>
        <v>3232.4209999999998</v>
      </c>
      <c r="U1420" s="201">
        <f t="shared" si="139"/>
        <v>0</v>
      </c>
      <c r="V1420" s="201">
        <f t="shared" si="139"/>
        <v>3232.4209999999998</v>
      </c>
      <c r="W1420" s="201">
        <f t="shared" si="139"/>
        <v>3232.4209999999998</v>
      </c>
      <c r="X1420" s="201">
        <f t="shared" si="139"/>
        <v>0</v>
      </c>
    </row>
    <row r="1421" spans="1:24" s="169" customFormat="1" ht="13.8">
      <c r="A1421" s="194"/>
      <c r="B1421" s="184"/>
      <c r="C1421" s="183" t="str">
        <f t="shared" si="134"/>
        <v/>
      </c>
      <c r="D1421" s="182" t="str">
        <f t="shared" si="135"/>
        <v/>
      </c>
      <c r="E1421" s="192" t="s">
        <v>679</v>
      </c>
      <c r="F1421" s="192" t="s">
        <v>677</v>
      </c>
      <c r="G1421" s="192" t="s">
        <v>678</v>
      </c>
      <c r="H1421" s="210" t="s">
        <v>1440</v>
      </c>
      <c r="I1421" s="167">
        <v>61000000</v>
      </c>
      <c r="J1421" s="166"/>
      <c r="K1421" s="167">
        <v>61000000</v>
      </c>
      <c r="L1421" s="171"/>
      <c r="M1421" s="168">
        <f t="shared" si="136"/>
        <v>61000000</v>
      </c>
      <c r="N1421" s="171"/>
      <c r="O1421" s="167">
        <v>61000000</v>
      </c>
      <c r="P1421" s="167">
        <f t="shared" si="137"/>
        <v>61000000</v>
      </c>
      <c r="Q1421" s="167"/>
      <c r="S1421" s="201">
        <f t="shared" si="138"/>
        <v>61</v>
      </c>
      <c r="T1421" s="201">
        <f t="shared" si="139"/>
        <v>61</v>
      </c>
      <c r="U1421" s="201">
        <f t="shared" si="139"/>
        <v>0</v>
      </c>
      <c r="V1421" s="201">
        <f t="shared" si="139"/>
        <v>61</v>
      </c>
      <c r="W1421" s="201">
        <f t="shared" si="139"/>
        <v>61</v>
      </c>
      <c r="X1421" s="201">
        <f t="shared" si="139"/>
        <v>0</v>
      </c>
    </row>
    <row r="1422" spans="1:24" s="169" customFormat="1" ht="13.8">
      <c r="A1422" s="195"/>
      <c r="B1422" s="188"/>
      <c r="C1422" s="183" t="str">
        <f t="shared" si="134"/>
        <v/>
      </c>
      <c r="D1422" s="182" t="str">
        <f t="shared" si="135"/>
        <v/>
      </c>
      <c r="E1422" s="192" t="s">
        <v>669</v>
      </c>
      <c r="F1422" s="192" t="s">
        <v>677</v>
      </c>
      <c r="G1422" s="192" t="s">
        <v>678</v>
      </c>
      <c r="H1422" s="210" t="s">
        <v>1440</v>
      </c>
      <c r="I1422" s="167">
        <v>1163000</v>
      </c>
      <c r="J1422" s="166"/>
      <c r="K1422" s="166"/>
      <c r="L1422" s="168">
        <v>1163000</v>
      </c>
      <c r="M1422" s="168">
        <f t="shared" si="136"/>
        <v>1163000</v>
      </c>
      <c r="N1422" s="168"/>
      <c r="O1422" s="167">
        <v>1163000</v>
      </c>
      <c r="P1422" s="167">
        <f t="shared" si="137"/>
        <v>1163000</v>
      </c>
      <c r="Q1422" s="167"/>
      <c r="S1422" s="201">
        <f t="shared" si="138"/>
        <v>1.163</v>
      </c>
      <c r="T1422" s="201">
        <f t="shared" si="139"/>
        <v>1.163</v>
      </c>
      <c r="U1422" s="201">
        <f t="shared" si="139"/>
        <v>0</v>
      </c>
      <c r="V1422" s="201">
        <f t="shared" si="139"/>
        <v>1.163</v>
      </c>
      <c r="W1422" s="201">
        <f t="shared" si="139"/>
        <v>1.163</v>
      </c>
      <c r="X1422" s="201">
        <f t="shared" si="139"/>
        <v>0</v>
      </c>
    </row>
    <row r="1423" spans="1:24" s="169" customFormat="1" ht="13.8">
      <c r="A1423" s="192"/>
      <c r="B1423" s="170" t="s">
        <v>680</v>
      </c>
      <c r="C1423" s="183" t="str">
        <f t="shared" si="134"/>
        <v/>
      </c>
      <c r="D1423" s="182" t="str">
        <f t="shared" si="135"/>
        <v/>
      </c>
      <c r="E1423" s="206"/>
      <c r="F1423" s="207"/>
      <c r="G1423" s="207"/>
      <c r="H1423" s="205"/>
      <c r="I1423" s="167">
        <v>632238000</v>
      </c>
      <c r="J1423" s="166"/>
      <c r="K1423" s="167">
        <v>630000000</v>
      </c>
      <c r="L1423" s="168">
        <v>2238000</v>
      </c>
      <c r="M1423" s="168">
        <f t="shared" si="136"/>
        <v>632238000</v>
      </c>
      <c r="N1423" s="168"/>
      <c r="O1423" s="167">
        <v>627997500</v>
      </c>
      <c r="P1423" s="167">
        <f t="shared" si="137"/>
        <v>627997500</v>
      </c>
      <c r="Q1423" s="167"/>
      <c r="S1423" s="201">
        <f t="shared" si="138"/>
        <v>632.23800000000006</v>
      </c>
      <c r="T1423" s="201">
        <f t="shared" si="139"/>
        <v>632.23800000000006</v>
      </c>
      <c r="U1423" s="201">
        <f t="shared" si="139"/>
        <v>0</v>
      </c>
      <c r="V1423" s="201">
        <f t="shared" si="139"/>
        <v>627.99749999999995</v>
      </c>
      <c r="W1423" s="201">
        <f t="shared" si="139"/>
        <v>627.99749999999995</v>
      </c>
      <c r="X1423" s="201">
        <f t="shared" si="139"/>
        <v>0</v>
      </c>
    </row>
    <row r="1424" spans="1:24" s="169" customFormat="1" ht="13.8">
      <c r="A1424" s="193"/>
      <c r="B1424" s="187"/>
      <c r="C1424" s="183" t="str">
        <f t="shared" si="134"/>
        <v/>
      </c>
      <c r="D1424" s="182" t="str">
        <f t="shared" si="135"/>
        <v/>
      </c>
      <c r="E1424" s="192" t="s">
        <v>681</v>
      </c>
      <c r="F1424" s="192" t="s">
        <v>677</v>
      </c>
      <c r="G1424" s="192" t="s">
        <v>678</v>
      </c>
      <c r="H1424" s="210" t="s">
        <v>1440</v>
      </c>
      <c r="I1424" s="167">
        <v>630000000</v>
      </c>
      <c r="J1424" s="166"/>
      <c r="K1424" s="167">
        <v>630000000</v>
      </c>
      <c r="L1424" s="171"/>
      <c r="M1424" s="168">
        <f t="shared" si="136"/>
        <v>630000000</v>
      </c>
      <c r="N1424" s="171"/>
      <c r="O1424" s="167">
        <v>627997500</v>
      </c>
      <c r="P1424" s="167">
        <f t="shared" si="137"/>
        <v>627997500</v>
      </c>
      <c r="Q1424" s="167"/>
      <c r="S1424" s="201">
        <f t="shared" si="138"/>
        <v>630</v>
      </c>
      <c r="T1424" s="201">
        <f t="shared" si="139"/>
        <v>630</v>
      </c>
      <c r="U1424" s="201">
        <f t="shared" si="139"/>
        <v>0</v>
      </c>
      <c r="V1424" s="201">
        <f t="shared" si="139"/>
        <v>627.99749999999995</v>
      </c>
      <c r="W1424" s="201">
        <f t="shared" si="139"/>
        <v>627.99749999999995</v>
      </c>
      <c r="X1424" s="201">
        <f t="shared" si="139"/>
        <v>0</v>
      </c>
    </row>
    <row r="1425" spans="1:24" s="169" customFormat="1" ht="13.8">
      <c r="A1425" s="195"/>
      <c r="B1425" s="188"/>
      <c r="C1425" s="183" t="str">
        <f t="shared" si="134"/>
        <v/>
      </c>
      <c r="D1425" s="182" t="str">
        <f t="shared" si="135"/>
        <v/>
      </c>
      <c r="E1425" s="192" t="s">
        <v>669</v>
      </c>
      <c r="F1425" s="192" t="s">
        <v>677</v>
      </c>
      <c r="G1425" s="192" t="s">
        <v>678</v>
      </c>
      <c r="H1425" s="210" t="s">
        <v>1440</v>
      </c>
      <c r="I1425" s="167">
        <v>2238000</v>
      </c>
      <c r="J1425" s="166"/>
      <c r="K1425" s="166"/>
      <c r="L1425" s="168">
        <v>2238000</v>
      </c>
      <c r="M1425" s="168">
        <f t="shared" si="136"/>
        <v>2238000</v>
      </c>
      <c r="N1425" s="168"/>
      <c r="O1425" s="166"/>
      <c r="P1425" s="167">
        <f t="shared" si="137"/>
        <v>0</v>
      </c>
      <c r="Q1425" s="166"/>
      <c r="S1425" s="201">
        <f t="shared" si="138"/>
        <v>2.238</v>
      </c>
      <c r="T1425" s="201">
        <f t="shared" si="139"/>
        <v>2.238</v>
      </c>
      <c r="U1425" s="201">
        <f t="shared" si="139"/>
        <v>0</v>
      </c>
      <c r="V1425" s="201">
        <f t="shared" si="139"/>
        <v>0</v>
      </c>
      <c r="W1425" s="201">
        <f t="shared" si="139"/>
        <v>0</v>
      </c>
      <c r="X1425" s="201">
        <f t="shared" si="139"/>
        <v>0</v>
      </c>
    </row>
    <row r="1426" spans="1:24" s="169" customFormat="1" ht="42">
      <c r="A1426" s="192" t="s">
        <v>1310</v>
      </c>
      <c r="B1426" s="165" t="s">
        <v>1311</v>
      </c>
      <c r="C1426" s="183" t="str">
        <f t="shared" si="134"/>
        <v>1106537</v>
      </c>
      <c r="D1426" s="182" t="str">
        <f t="shared" si="135"/>
        <v>-Trường Trung học PhS thông :,han Chu Trinh - huyện Ngọc Hồi -:ỉnh Kontum</v>
      </c>
      <c r="E1426" s="206"/>
      <c r="F1426" s="207"/>
      <c r="G1426" s="207"/>
      <c r="H1426" s="205"/>
      <c r="I1426" s="167">
        <v>4520596288</v>
      </c>
      <c r="J1426" s="167">
        <v>106288</v>
      </c>
      <c r="K1426" s="167">
        <v>4055280000</v>
      </c>
      <c r="L1426" s="168">
        <v>465210000</v>
      </c>
      <c r="M1426" s="168">
        <f t="shared" si="136"/>
        <v>4520596288</v>
      </c>
      <c r="N1426" s="168"/>
      <c r="O1426" s="167">
        <v>4091981890</v>
      </c>
      <c r="P1426" s="167">
        <f t="shared" si="137"/>
        <v>4091981890</v>
      </c>
      <c r="Q1426" s="167"/>
      <c r="S1426" s="201">
        <f t="shared" si="138"/>
        <v>4520.5962879999997</v>
      </c>
      <c r="T1426" s="201">
        <f t="shared" si="139"/>
        <v>4520.5962879999997</v>
      </c>
      <c r="U1426" s="201">
        <f t="shared" si="139"/>
        <v>0</v>
      </c>
      <c r="V1426" s="201">
        <f t="shared" si="139"/>
        <v>4091.98189</v>
      </c>
      <c r="W1426" s="201">
        <f t="shared" si="139"/>
        <v>4091.98189</v>
      </c>
      <c r="X1426" s="201">
        <f t="shared" si="139"/>
        <v>0</v>
      </c>
    </row>
    <row r="1427" spans="1:24" s="169" customFormat="1" ht="13.8">
      <c r="A1427" s="192"/>
      <c r="B1427" s="173"/>
      <c r="C1427" s="183" t="str">
        <f t="shared" si="134"/>
        <v/>
      </c>
      <c r="D1427" s="182" t="str">
        <f t="shared" si="135"/>
        <v/>
      </c>
      <c r="E1427" s="192"/>
      <c r="F1427" s="192"/>
      <c r="G1427" s="192"/>
      <c r="H1427" s="210"/>
      <c r="I1427" s="174"/>
      <c r="J1427" s="174"/>
      <c r="K1427" s="174"/>
      <c r="L1427" s="175"/>
      <c r="M1427" s="168">
        <f t="shared" si="136"/>
        <v>0</v>
      </c>
      <c r="N1427" s="175"/>
      <c r="O1427" s="174"/>
      <c r="P1427" s="167">
        <f t="shared" si="137"/>
        <v>0</v>
      </c>
      <c r="Q1427" s="174"/>
      <c r="S1427" s="201">
        <f t="shared" si="138"/>
        <v>0</v>
      </c>
      <c r="T1427" s="201">
        <f t="shared" si="139"/>
        <v>0</v>
      </c>
      <c r="U1427" s="201">
        <f t="shared" si="139"/>
        <v>0</v>
      </c>
      <c r="V1427" s="201">
        <f t="shared" si="139"/>
        <v>0</v>
      </c>
      <c r="W1427" s="201">
        <f t="shared" si="139"/>
        <v>0</v>
      </c>
      <c r="X1427" s="201">
        <f t="shared" si="139"/>
        <v>0</v>
      </c>
    </row>
    <row r="1428" spans="1:24" s="169" customFormat="1" ht="13.8">
      <c r="A1428" s="192" t="s">
        <v>1312</v>
      </c>
      <c r="B1428" s="164" t="s">
        <v>689</v>
      </c>
      <c r="C1428" s="183" t="str">
        <f t="shared" si="134"/>
        <v/>
      </c>
      <c r="D1428" s="182" t="str">
        <f t="shared" si="135"/>
        <v/>
      </c>
      <c r="E1428" s="206"/>
      <c r="F1428" s="207"/>
      <c r="G1428" s="207"/>
      <c r="H1428" s="205"/>
      <c r="I1428" s="167">
        <v>4520596288</v>
      </c>
      <c r="J1428" s="167">
        <v>106288</v>
      </c>
      <c r="K1428" s="167">
        <v>4055280000</v>
      </c>
      <c r="L1428" s="168">
        <v>465210000</v>
      </c>
      <c r="M1428" s="168">
        <f t="shared" si="136"/>
        <v>4520596288</v>
      </c>
      <c r="N1428" s="168"/>
      <c r="O1428" s="167">
        <v>4091981890</v>
      </c>
      <c r="P1428" s="167">
        <f t="shared" si="137"/>
        <v>4091981890</v>
      </c>
      <c r="Q1428" s="167"/>
      <c r="S1428" s="201">
        <f t="shared" si="138"/>
        <v>4520.5962879999997</v>
      </c>
      <c r="T1428" s="201">
        <f t="shared" si="139"/>
        <v>4520.5962879999997</v>
      </c>
      <c r="U1428" s="201">
        <f t="shared" si="139"/>
        <v>0</v>
      </c>
      <c r="V1428" s="201">
        <f t="shared" si="139"/>
        <v>4091.98189</v>
      </c>
      <c r="W1428" s="201">
        <f t="shared" si="139"/>
        <v>4091.98189</v>
      </c>
      <c r="X1428" s="201">
        <f t="shared" si="139"/>
        <v>0</v>
      </c>
    </row>
    <row r="1429" spans="1:24" s="169" customFormat="1" ht="13.8">
      <c r="A1429" s="192"/>
      <c r="B1429" s="164" t="s">
        <v>690</v>
      </c>
      <c r="C1429" s="183" t="str">
        <f t="shared" si="134"/>
        <v/>
      </c>
      <c r="D1429" s="182" t="str">
        <f t="shared" si="135"/>
        <v/>
      </c>
      <c r="E1429" s="206"/>
      <c r="F1429" s="207"/>
      <c r="G1429" s="207"/>
      <c r="H1429" s="205"/>
      <c r="I1429" s="167">
        <v>3215146288</v>
      </c>
      <c r="J1429" s="167">
        <v>106288</v>
      </c>
      <c r="K1429" s="167">
        <v>3195830000</v>
      </c>
      <c r="L1429" s="168">
        <v>19210000</v>
      </c>
      <c r="M1429" s="168">
        <f t="shared" si="136"/>
        <v>3215146288</v>
      </c>
      <c r="N1429" s="168"/>
      <c r="O1429" s="167">
        <v>3205858288</v>
      </c>
      <c r="P1429" s="167">
        <f t="shared" si="137"/>
        <v>3205858288</v>
      </c>
      <c r="Q1429" s="167"/>
      <c r="S1429" s="201">
        <f t="shared" si="138"/>
        <v>3215.1462879999999</v>
      </c>
      <c r="T1429" s="201">
        <f t="shared" si="139"/>
        <v>3215.1462879999999</v>
      </c>
      <c r="U1429" s="201">
        <f t="shared" si="139"/>
        <v>0</v>
      </c>
      <c r="V1429" s="201">
        <f t="shared" si="139"/>
        <v>3205.8582879999999</v>
      </c>
      <c r="W1429" s="201">
        <f t="shared" si="139"/>
        <v>3205.8582879999999</v>
      </c>
      <c r="X1429" s="201">
        <f t="shared" si="139"/>
        <v>0</v>
      </c>
    </row>
    <row r="1430" spans="1:24" s="169" customFormat="1" ht="13.8">
      <c r="A1430" s="193"/>
      <c r="B1430" s="187"/>
      <c r="C1430" s="183" t="str">
        <f t="shared" ref="C1430:C1493" si="140">IF(B1430&lt;&gt;"",IF(AND(LEFT(B1430,1)&gt;="0",LEFT(B1430,1)&lt;="9"),LEFT(B1430,7),""),"")</f>
        <v/>
      </c>
      <c r="D1430" s="182" t="str">
        <f t="shared" si="135"/>
        <v/>
      </c>
      <c r="E1430" s="192" t="s">
        <v>666</v>
      </c>
      <c r="F1430" s="192" t="s">
        <v>677</v>
      </c>
      <c r="G1430" s="192" t="s">
        <v>678</v>
      </c>
      <c r="H1430" s="210" t="s">
        <v>1440</v>
      </c>
      <c r="I1430" s="167">
        <v>3195936288</v>
      </c>
      <c r="J1430" s="167">
        <v>106288</v>
      </c>
      <c r="K1430" s="167">
        <v>3195830000</v>
      </c>
      <c r="L1430" s="171"/>
      <c r="M1430" s="168">
        <f t="shared" si="136"/>
        <v>3195936288</v>
      </c>
      <c r="N1430" s="171"/>
      <c r="O1430" s="167">
        <v>3195936288</v>
      </c>
      <c r="P1430" s="167">
        <f t="shared" si="137"/>
        <v>3195936288</v>
      </c>
      <c r="Q1430" s="167"/>
      <c r="S1430" s="201">
        <f t="shared" si="138"/>
        <v>3195.9362879999999</v>
      </c>
      <c r="T1430" s="201">
        <f t="shared" si="139"/>
        <v>3195.9362879999999</v>
      </c>
      <c r="U1430" s="201">
        <f t="shared" si="139"/>
        <v>0</v>
      </c>
      <c r="V1430" s="201">
        <f t="shared" si="139"/>
        <v>3195.9362879999999</v>
      </c>
      <c r="W1430" s="201">
        <f t="shared" si="139"/>
        <v>3195.9362879999999</v>
      </c>
      <c r="X1430" s="201">
        <f t="shared" si="139"/>
        <v>0</v>
      </c>
    </row>
    <row r="1431" spans="1:24" s="169" customFormat="1" ht="13.8">
      <c r="A1431" s="195"/>
      <c r="B1431" s="188"/>
      <c r="C1431" s="183" t="str">
        <f t="shared" si="140"/>
        <v/>
      </c>
      <c r="D1431" s="182" t="str">
        <f t="shared" ref="D1431:D1494" si="141">IF(C1431&lt;&gt;"",RIGHT(B1431,LEN(B1431)-7),"")</f>
        <v/>
      </c>
      <c r="E1431" s="192" t="s">
        <v>669</v>
      </c>
      <c r="F1431" s="192" t="s">
        <v>677</v>
      </c>
      <c r="G1431" s="192" t="s">
        <v>678</v>
      </c>
      <c r="H1431" s="210" t="s">
        <v>1440</v>
      </c>
      <c r="I1431" s="167">
        <v>19210000</v>
      </c>
      <c r="J1431" s="166"/>
      <c r="K1431" s="166"/>
      <c r="L1431" s="168">
        <v>19210000</v>
      </c>
      <c r="M1431" s="168">
        <f t="shared" ref="M1431:M1494" si="142">I1431-N1431</f>
        <v>19210000</v>
      </c>
      <c r="N1431" s="168"/>
      <c r="O1431" s="167">
        <v>9922000</v>
      </c>
      <c r="P1431" s="167">
        <f t="shared" ref="P1431:P1494" si="143">O1431-Q1431</f>
        <v>9922000</v>
      </c>
      <c r="Q1431" s="167"/>
      <c r="S1431" s="201">
        <f t="shared" ref="S1431:S1494" si="144">I1431/1000000</f>
        <v>19.21</v>
      </c>
      <c r="T1431" s="201">
        <f t="shared" si="139"/>
        <v>19.21</v>
      </c>
      <c r="U1431" s="201">
        <f t="shared" si="139"/>
        <v>0</v>
      </c>
      <c r="V1431" s="201">
        <f t="shared" si="139"/>
        <v>9.9220000000000006</v>
      </c>
      <c r="W1431" s="201">
        <f t="shared" si="139"/>
        <v>9.9220000000000006</v>
      </c>
      <c r="X1431" s="201">
        <f t="shared" si="139"/>
        <v>0</v>
      </c>
    </row>
    <row r="1432" spans="1:24" s="169" customFormat="1" ht="13.8">
      <c r="A1432" s="192"/>
      <c r="B1432" s="164" t="s">
        <v>686</v>
      </c>
      <c r="C1432" s="183" t="str">
        <f t="shared" si="140"/>
        <v/>
      </c>
      <c r="D1432" s="182" t="str">
        <f t="shared" si="141"/>
        <v/>
      </c>
      <c r="E1432" s="206"/>
      <c r="F1432" s="207"/>
      <c r="G1432" s="207"/>
      <c r="H1432" s="205"/>
      <c r="I1432" s="167">
        <v>1305450000</v>
      </c>
      <c r="J1432" s="166"/>
      <c r="K1432" s="167">
        <v>859450000</v>
      </c>
      <c r="L1432" s="168">
        <v>446000000</v>
      </c>
      <c r="M1432" s="168">
        <f t="shared" si="142"/>
        <v>1305450000</v>
      </c>
      <c r="N1432" s="168"/>
      <c r="O1432" s="167">
        <v>886123602</v>
      </c>
      <c r="P1432" s="167">
        <f t="shared" si="143"/>
        <v>886123602</v>
      </c>
      <c r="Q1432" s="167"/>
      <c r="S1432" s="201">
        <f t="shared" si="144"/>
        <v>1305.45</v>
      </c>
      <c r="T1432" s="201">
        <f t="shared" si="139"/>
        <v>1305.45</v>
      </c>
      <c r="U1432" s="201">
        <f t="shared" si="139"/>
        <v>0</v>
      </c>
      <c r="V1432" s="201">
        <f t="shared" si="139"/>
        <v>886.12360200000001</v>
      </c>
      <c r="W1432" s="201">
        <f t="shared" si="139"/>
        <v>886.12360200000001</v>
      </c>
      <c r="X1432" s="201">
        <f t="shared" si="139"/>
        <v>0</v>
      </c>
    </row>
    <row r="1433" spans="1:24" s="169" customFormat="1" ht="13.8">
      <c r="A1433" s="193"/>
      <c r="B1433" s="187"/>
      <c r="C1433" s="183" t="str">
        <f t="shared" si="140"/>
        <v/>
      </c>
      <c r="D1433" s="182" t="str">
        <f t="shared" si="141"/>
        <v/>
      </c>
      <c r="E1433" s="192" t="s">
        <v>681</v>
      </c>
      <c r="F1433" s="192" t="s">
        <v>677</v>
      </c>
      <c r="G1433" s="192" t="s">
        <v>678</v>
      </c>
      <c r="H1433" s="210" t="s">
        <v>1440</v>
      </c>
      <c r="I1433" s="167">
        <v>467000000</v>
      </c>
      <c r="J1433" s="166"/>
      <c r="K1433" s="167">
        <v>467000000</v>
      </c>
      <c r="L1433" s="171"/>
      <c r="M1433" s="168">
        <f t="shared" si="142"/>
        <v>467000000</v>
      </c>
      <c r="N1433" s="171"/>
      <c r="O1433" s="167">
        <v>464893602</v>
      </c>
      <c r="P1433" s="167">
        <f t="shared" si="143"/>
        <v>464893602</v>
      </c>
      <c r="Q1433" s="167"/>
      <c r="S1433" s="201">
        <f t="shared" si="144"/>
        <v>467</v>
      </c>
      <c r="T1433" s="201">
        <f t="shared" si="139"/>
        <v>467</v>
      </c>
      <c r="U1433" s="201">
        <f t="shared" si="139"/>
        <v>0</v>
      </c>
      <c r="V1433" s="201">
        <f t="shared" si="139"/>
        <v>464.89360199999999</v>
      </c>
      <c r="W1433" s="201">
        <f t="shared" si="139"/>
        <v>464.89360199999999</v>
      </c>
      <c r="X1433" s="201">
        <f t="shared" si="139"/>
        <v>0</v>
      </c>
    </row>
    <row r="1434" spans="1:24" s="169" customFormat="1" ht="13.8">
      <c r="A1434" s="194"/>
      <c r="B1434" s="184"/>
      <c r="C1434" s="183" t="str">
        <f t="shared" si="140"/>
        <v/>
      </c>
      <c r="D1434" s="182" t="str">
        <f t="shared" si="141"/>
        <v/>
      </c>
      <c r="E1434" s="192" t="s">
        <v>667</v>
      </c>
      <c r="F1434" s="192" t="s">
        <v>677</v>
      </c>
      <c r="G1434" s="192" t="s">
        <v>678</v>
      </c>
      <c r="H1434" s="210" t="s">
        <v>1440</v>
      </c>
      <c r="I1434" s="167">
        <v>400000000</v>
      </c>
      <c r="J1434" s="166"/>
      <c r="K1434" s="166"/>
      <c r="L1434" s="168">
        <v>400000000</v>
      </c>
      <c r="M1434" s="168">
        <f t="shared" si="142"/>
        <v>400000000</v>
      </c>
      <c r="N1434" s="168"/>
      <c r="O1434" s="166"/>
      <c r="P1434" s="167">
        <f t="shared" si="143"/>
        <v>0</v>
      </c>
      <c r="Q1434" s="166"/>
      <c r="S1434" s="201">
        <f t="shared" si="144"/>
        <v>400</v>
      </c>
      <c r="T1434" s="201">
        <f t="shared" si="139"/>
        <v>400</v>
      </c>
      <c r="U1434" s="201">
        <f t="shared" si="139"/>
        <v>0</v>
      </c>
      <c r="V1434" s="201">
        <f t="shared" si="139"/>
        <v>0</v>
      </c>
      <c r="W1434" s="201">
        <f t="shared" si="139"/>
        <v>0</v>
      </c>
      <c r="X1434" s="201">
        <f t="shared" si="139"/>
        <v>0</v>
      </c>
    </row>
    <row r="1435" spans="1:24" s="169" customFormat="1" ht="13.8">
      <c r="A1435" s="195"/>
      <c r="B1435" s="188"/>
      <c r="C1435" s="183" t="str">
        <f t="shared" si="140"/>
        <v/>
      </c>
      <c r="D1435" s="182" t="str">
        <f t="shared" si="141"/>
        <v/>
      </c>
      <c r="E1435" s="192" t="s">
        <v>669</v>
      </c>
      <c r="F1435" s="192" t="s">
        <v>677</v>
      </c>
      <c r="G1435" s="192" t="s">
        <v>678</v>
      </c>
      <c r="H1435" s="210" t="s">
        <v>1440</v>
      </c>
      <c r="I1435" s="167">
        <v>438450000</v>
      </c>
      <c r="J1435" s="166"/>
      <c r="K1435" s="167">
        <v>392450000</v>
      </c>
      <c r="L1435" s="168">
        <v>46000000</v>
      </c>
      <c r="M1435" s="168">
        <f t="shared" si="142"/>
        <v>438450000</v>
      </c>
      <c r="N1435" s="168"/>
      <c r="O1435" s="167">
        <v>421230000</v>
      </c>
      <c r="P1435" s="167">
        <f t="shared" si="143"/>
        <v>421230000</v>
      </c>
      <c r="Q1435" s="167"/>
      <c r="S1435" s="201">
        <f t="shared" si="144"/>
        <v>438.45</v>
      </c>
      <c r="T1435" s="201">
        <f t="shared" si="139"/>
        <v>438.45</v>
      </c>
      <c r="U1435" s="201">
        <f t="shared" si="139"/>
        <v>0</v>
      </c>
      <c r="V1435" s="201">
        <f t="shared" si="139"/>
        <v>421.23</v>
      </c>
      <c r="W1435" s="201">
        <f t="shared" si="139"/>
        <v>421.23</v>
      </c>
      <c r="X1435" s="201">
        <f t="shared" si="139"/>
        <v>0</v>
      </c>
    </row>
    <row r="1436" spans="1:24" s="169" customFormat="1" ht="39.6">
      <c r="A1436" s="192" t="s">
        <v>1313</v>
      </c>
      <c r="B1436" s="176" t="s">
        <v>1314</v>
      </c>
      <c r="C1436" s="183" t="str">
        <f t="shared" si="140"/>
        <v>1107173</v>
      </c>
      <c r="D1436" s="182" t="str">
        <f t="shared" si="141"/>
        <v>-Hội Hữu nghị Việt Nam -Campuchia và Hội hữu Nghị Việt Nam Lào</v>
      </c>
      <c r="E1436" s="206"/>
      <c r="F1436" s="207"/>
      <c r="G1436" s="207"/>
      <c r="H1436" s="205"/>
      <c r="I1436" s="167">
        <v>202000000</v>
      </c>
      <c r="J1436" s="166"/>
      <c r="K1436" s="167">
        <v>202000000</v>
      </c>
      <c r="L1436" s="171"/>
      <c r="M1436" s="168">
        <f t="shared" si="142"/>
        <v>202000000</v>
      </c>
      <c r="N1436" s="171"/>
      <c r="O1436" s="167">
        <v>201996206</v>
      </c>
      <c r="P1436" s="167">
        <f t="shared" si="143"/>
        <v>201996206</v>
      </c>
      <c r="Q1436" s="167"/>
      <c r="S1436" s="201">
        <f t="shared" si="144"/>
        <v>202</v>
      </c>
      <c r="T1436" s="201">
        <f t="shared" si="139"/>
        <v>202</v>
      </c>
      <c r="U1436" s="201">
        <f t="shared" si="139"/>
        <v>0</v>
      </c>
      <c r="V1436" s="201">
        <f t="shared" si="139"/>
        <v>201.996206</v>
      </c>
      <c r="W1436" s="201">
        <f t="shared" si="139"/>
        <v>201.996206</v>
      </c>
      <c r="X1436" s="201">
        <f t="shared" si="139"/>
        <v>0</v>
      </c>
    </row>
    <row r="1437" spans="1:24" s="169" customFormat="1" ht="13.8">
      <c r="A1437" s="192" t="s">
        <v>1315</v>
      </c>
      <c r="B1437" s="164" t="s">
        <v>689</v>
      </c>
      <c r="C1437" s="183" t="str">
        <f t="shared" si="140"/>
        <v/>
      </c>
      <c r="D1437" s="182" t="str">
        <f t="shared" si="141"/>
        <v/>
      </c>
      <c r="E1437" s="206"/>
      <c r="F1437" s="207"/>
      <c r="G1437" s="207"/>
      <c r="H1437" s="205"/>
      <c r="I1437" s="167">
        <v>202000000</v>
      </c>
      <c r="J1437" s="166"/>
      <c r="K1437" s="167">
        <v>202000000</v>
      </c>
      <c r="L1437" s="171"/>
      <c r="M1437" s="168">
        <f t="shared" si="142"/>
        <v>202000000</v>
      </c>
      <c r="N1437" s="171"/>
      <c r="O1437" s="167">
        <v>201996206</v>
      </c>
      <c r="P1437" s="167">
        <f t="shared" si="143"/>
        <v>201996206</v>
      </c>
      <c r="Q1437" s="167"/>
      <c r="S1437" s="201">
        <f t="shared" si="144"/>
        <v>202</v>
      </c>
      <c r="T1437" s="201">
        <f t="shared" si="139"/>
        <v>202</v>
      </c>
      <c r="U1437" s="201">
        <f t="shared" si="139"/>
        <v>0</v>
      </c>
      <c r="V1437" s="201">
        <f t="shared" si="139"/>
        <v>201.996206</v>
      </c>
      <c r="W1437" s="201">
        <f t="shared" si="139"/>
        <v>201.996206</v>
      </c>
      <c r="X1437" s="201">
        <f t="shared" si="139"/>
        <v>0</v>
      </c>
    </row>
    <row r="1438" spans="1:24" s="169" customFormat="1" ht="13.8">
      <c r="A1438" s="192"/>
      <c r="B1438" s="164" t="s">
        <v>686</v>
      </c>
      <c r="C1438" s="183" t="str">
        <f t="shared" si="140"/>
        <v/>
      </c>
      <c r="D1438" s="182" t="str">
        <f t="shared" si="141"/>
        <v/>
      </c>
      <c r="E1438" s="206"/>
      <c r="F1438" s="207"/>
      <c r="G1438" s="207"/>
      <c r="H1438" s="205"/>
      <c r="I1438" s="167">
        <v>202000000</v>
      </c>
      <c r="J1438" s="166"/>
      <c r="K1438" s="167">
        <v>202000000</v>
      </c>
      <c r="L1438" s="171"/>
      <c r="M1438" s="168">
        <f t="shared" si="142"/>
        <v>202000000</v>
      </c>
      <c r="N1438" s="171"/>
      <c r="O1438" s="167">
        <v>201996206</v>
      </c>
      <c r="P1438" s="167">
        <f t="shared" si="143"/>
        <v>201996206</v>
      </c>
      <c r="Q1438" s="167"/>
      <c r="S1438" s="201">
        <f t="shared" si="144"/>
        <v>202</v>
      </c>
      <c r="T1438" s="201">
        <f t="shared" si="139"/>
        <v>202</v>
      </c>
      <c r="U1438" s="201">
        <f t="shared" si="139"/>
        <v>0</v>
      </c>
      <c r="V1438" s="201">
        <f t="shared" si="139"/>
        <v>201.996206</v>
      </c>
      <c r="W1438" s="201">
        <f t="shared" si="139"/>
        <v>201.996206</v>
      </c>
      <c r="X1438" s="201">
        <f t="shared" si="139"/>
        <v>0</v>
      </c>
    </row>
    <row r="1439" spans="1:24" s="169" customFormat="1" ht="13.8">
      <c r="A1439" s="192"/>
      <c r="B1439" s="164"/>
      <c r="C1439" s="183" t="str">
        <f t="shared" si="140"/>
        <v/>
      </c>
      <c r="D1439" s="182" t="str">
        <f t="shared" si="141"/>
        <v/>
      </c>
      <c r="E1439" s="192" t="s">
        <v>681</v>
      </c>
      <c r="F1439" s="192" t="s">
        <v>1316</v>
      </c>
      <c r="G1439" s="192" t="s">
        <v>786</v>
      </c>
      <c r="H1439" s="210" t="s">
        <v>1440</v>
      </c>
      <c r="I1439" s="167">
        <v>202000000</v>
      </c>
      <c r="J1439" s="166"/>
      <c r="K1439" s="167">
        <v>202000000</v>
      </c>
      <c r="L1439" s="171"/>
      <c r="M1439" s="168">
        <f t="shared" si="142"/>
        <v>202000000</v>
      </c>
      <c r="N1439" s="171"/>
      <c r="O1439" s="167">
        <v>201996206</v>
      </c>
      <c r="P1439" s="167">
        <f t="shared" si="143"/>
        <v>201996206</v>
      </c>
      <c r="Q1439" s="167"/>
      <c r="S1439" s="201">
        <f t="shared" si="144"/>
        <v>202</v>
      </c>
      <c r="T1439" s="201">
        <f t="shared" si="139"/>
        <v>202</v>
      </c>
      <c r="U1439" s="201">
        <f t="shared" si="139"/>
        <v>0</v>
      </c>
      <c r="V1439" s="201">
        <f t="shared" si="139"/>
        <v>201.996206</v>
      </c>
      <c r="W1439" s="201">
        <f t="shared" si="139"/>
        <v>201.996206</v>
      </c>
      <c r="X1439" s="201">
        <f t="shared" si="139"/>
        <v>0</v>
      </c>
    </row>
    <row r="1440" spans="1:24" s="169" customFormat="1" ht="26.4">
      <c r="A1440" s="192" t="s">
        <v>1317</v>
      </c>
      <c r="B1440" s="176" t="s">
        <v>1318</v>
      </c>
      <c r="C1440" s="183" t="str">
        <f t="shared" si="140"/>
        <v>1108872</v>
      </c>
      <c r="D1440" s="182" t="str">
        <f t="shared" si="141"/>
        <v>-Trung tâm phòng chổng HIV/AIDS tinh Kon Tum</v>
      </c>
      <c r="E1440" s="206"/>
      <c r="F1440" s="207"/>
      <c r="G1440" s="207"/>
      <c r="H1440" s="205"/>
      <c r="I1440" s="167">
        <v>3494539000</v>
      </c>
      <c r="J1440" s="166"/>
      <c r="K1440" s="167">
        <v>3286390000</v>
      </c>
      <c r="L1440" s="168">
        <v>208149000</v>
      </c>
      <c r="M1440" s="168">
        <f t="shared" si="142"/>
        <v>3494539000</v>
      </c>
      <c r="N1440" s="168"/>
      <c r="O1440" s="167">
        <v>3494539000</v>
      </c>
      <c r="P1440" s="167">
        <f t="shared" si="143"/>
        <v>3494539000</v>
      </c>
      <c r="Q1440" s="167"/>
      <c r="S1440" s="201">
        <f t="shared" si="144"/>
        <v>3494.5390000000002</v>
      </c>
      <c r="T1440" s="201">
        <f t="shared" si="139"/>
        <v>3494.5390000000002</v>
      </c>
      <c r="U1440" s="201">
        <f t="shared" si="139"/>
        <v>0</v>
      </c>
      <c r="V1440" s="201">
        <f t="shared" si="139"/>
        <v>3494.5390000000002</v>
      </c>
      <c r="W1440" s="201">
        <f t="shared" si="139"/>
        <v>3494.5390000000002</v>
      </c>
      <c r="X1440" s="201">
        <f t="shared" si="139"/>
        <v>0</v>
      </c>
    </row>
    <row r="1441" spans="1:24" s="169" customFormat="1" ht="13.8">
      <c r="A1441" s="192" t="s">
        <v>1319</v>
      </c>
      <c r="B1441" s="164" t="s">
        <v>689</v>
      </c>
      <c r="C1441" s="183" t="str">
        <f t="shared" si="140"/>
        <v/>
      </c>
      <c r="D1441" s="182" t="str">
        <f t="shared" si="141"/>
        <v/>
      </c>
      <c r="E1441" s="206"/>
      <c r="F1441" s="207"/>
      <c r="G1441" s="207"/>
      <c r="H1441" s="205"/>
      <c r="I1441" s="167">
        <v>3224539000</v>
      </c>
      <c r="J1441" s="166"/>
      <c r="K1441" s="167">
        <v>3286390000</v>
      </c>
      <c r="L1441" s="168">
        <v>-61851000</v>
      </c>
      <c r="M1441" s="168">
        <f t="shared" si="142"/>
        <v>3224539000</v>
      </c>
      <c r="N1441" s="168"/>
      <c r="O1441" s="167">
        <v>3224539000</v>
      </c>
      <c r="P1441" s="167">
        <f t="shared" si="143"/>
        <v>3224539000</v>
      </c>
      <c r="Q1441" s="167"/>
      <c r="S1441" s="201">
        <f t="shared" si="144"/>
        <v>3224.5390000000002</v>
      </c>
      <c r="T1441" s="201">
        <f t="shared" si="139"/>
        <v>3224.5390000000002</v>
      </c>
      <c r="U1441" s="201">
        <f t="shared" si="139"/>
        <v>0</v>
      </c>
      <c r="V1441" s="201">
        <f t="shared" si="139"/>
        <v>3224.5390000000002</v>
      </c>
      <c r="W1441" s="201">
        <f t="shared" si="139"/>
        <v>3224.5390000000002</v>
      </c>
      <c r="X1441" s="201">
        <f t="shared" si="139"/>
        <v>0</v>
      </c>
    </row>
    <row r="1442" spans="1:24" s="169" customFormat="1" ht="13.8">
      <c r="A1442" s="192"/>
      <c r="B1442" s="164" t="s">
        <v>690</v>
      </c>
      <c r="C1442" s="183" t="str">
        <f t="shared" si="140"/>
        <v/>
      </c>
      <c r="D1442" s="182" t="str">
        <f t="shared" si="141"/>
        <v/>
      </c>
      <c r="E1442" s="206"/>
      <c r="F1442" s="207"/>
      <c r="G1442" s="207"/>
      <c r="H1442" s="205"/>
      <c r="I1442" s="167">
        <v>1807610000</v>
      </c>
      <c r="J1442" s="166"/>
      <c r="K1442" s="167">
        <v>2015000000</v>
      </c>
      <c r="L1442" s="168">
        <v>-207390000</v>
      </c>
      <c r="M1442" s="168">
        <f t="shared" si="142"/>
        <v>1807610000</v>
      </c>
      <c r="N1442" s="168"/>
      <c r="O1442" s="167">
        <v>1807610000</v>
      </c>
      <c r="P1442" s="167">
        <f t="shared" si="143"/>
        <v>1807610000</v>
      </c>
      <c r="Q1442" s="167"/>
      <c r="S1442" s="201">
        <f t="shared" si="144"/>
        <v>1807.61</v>
      </c>
      <c r="T1442" s="201">
        <f t="shared" si="139"/>
        <v>1807.61</v>
      </c>
      <c r="U1442" s="201">
        <f t="shared" si="139"/>
        <v>0</v>
      </c>
      <c r="V1442" s="201">
        <f t="shared" si="139"/>
        <v>1807.61</v>
      </c>
      <c r="W1442" s="201">
        <f t="shared" si="139"/>
        <v>1807.61</v>
      </c>
      <c r="X1442" s="201">
        <f t="shared" si="139"/>
        <v>0</v>
      </c>
    </row>
    <row r="1443" spans="1:24" s="169" customFormat="1" ht="13.8">
      <c r="A1443" s="193"/>
      <c r="B1443" s="187"/>
      <c r="C1443" s="183" t="str">
        <f t="shared" si="140"/>
        <v/>
      </c>
      <c r="D1443" s="182" t="str">
        <f t="shared" si="141"/>
        <v/>
      </c>
      <c r="E1443" s="192" t="s">
        <v>666</v>
      </c>
      <c r="F1443" s="192" t="s">
        <v>705</v>
      </c>
      <c r="G1443" s="192" t="s">
        <v>775</v>
      </c>
      <c r="H1443" s="210" t="s">
        <v>1440</v>
      </c>
      <c r="I1443" s="167">
        <v>1756610000</v>
      </c>
      <c r="J1443" s="166"/>
      <c r="K1443" s="167">
        <v>2015000000</v>
      </c>
      <c r="L1443" s="168">
        <v>-258390000</v>
      </c>
      <c r="M1443" s="168">
        <f t="shared" si="142"/>
        <v>1756610000</v>
      </c>
      <c r="N1443" s="168"/>
      <c r="O1443" s="167">
        <v>1756610000</v>
      </c>
      <c r="P1443" s="167">
        <f t="shared" si="143"/>
        <v>1756610000</v>
      </c>
      <c r="Q1443" s="167"/>
      <c r="S1443" s="201">
        <f t="shared" si="144"/>
        <v>1756.61</v>
      </c>
      <c r="T1443" s="201">
        <f t="shared" si="139"/>
        <v>1756.61</v>
      </c>
      <c r="U1443" s="201">
        <f t="shared" si="139"/>
        <v>0</v>
      </c>
      <c r="V1443" s="201">
        <f t="shared" si="139"/>
        <v>1756.61</v>
      </c>
      <c r="W1443" s="201">
        <f t="shared" si="139"/>
        <v>1756.61</v>
      </c>
      <c r="X1443" s="201">
        <f t="shared" si="139"/>
        <v>0</v>
      </c>
    </row>
    <row r="1444" spans="1:24" s="169" customFormat="1" ht="13.8">
      <c r="A1444" s="195"/>
      <c r="B1444" s="188"/>
      <c r="C1444" s="183" t="str">
        <f t="shared" si="140"/>
        <v/>
      </c>
      <c r="D1444" s="182" t="str">
        <f t="shared" si="141"/>
        <v/>
      </c>
      <c r="E1444" s="192" t="s">
        <v>679</v>
      </c>
      <c r="F1444" s="192" t="s">
        <v>705</v>
      </c>
      <c r="G1444" s="192" t="s">
        <v>775</v>
      </c>
      <c r="H1444" s="210" t="s">
        <v>1440</v>
      </c>
      <c r="I1444" s="167">
        <v>51000000</v>
      </c>
      <c r="J1444" s="166"/>
      <c r="K1444" s="166"/>
      <c r="L1444" s="168">
        <v>51000000</v>
      </c>
      <c r="M1444" s="168">
        <f t="shared" si="142"/>
        <v>51000000</v>
      </c>
      <c r="N1444" s="168"/>
      <c r="O1444" s="167">
        <v>51000000</v>
      </c>
      <c r="P1444" s="167">
        <f t="shared" si="143"/>
        <v>51000000</v>
      </c>
      <c r="Q1444" s="167"/>
      <c r="S1444" s="201">
        <f t="shared" si="144"/>
        <v>51</v>
      </c>
      <c r="T1444" s="201">
        <f t="shared" si="139"/>
        <v>51</v>
      </c>
      <c r="U1444" s="201">
        <f t="shared" si="139"/>
        <v>0</v>
      </c>
      <c r="V1444" s="201">
        <f t="shared" si="139"/>
        <v>51</v>
      </c>
      <c r="W1444" s="201">
        <f t="shared" si="139"/>
        <v>51</v>
      </c>
      <c r="X1444" s="201">
        <f t="shared" si="139"/>
        <v>0</v>
      </c>
    </row>
    <row r="1445" spans="1:24" s="169" customFormat="1" ht="13.8">
      <c r="A1445" s="192"/>
      <c r="B1445" s="164" t="s">
        <v>686</v>
      </c>
      <c r="C1445" s="183" t="str">
        <f t="shared" si="140"/>
        <v/>
      </c>
      <c r="D1445" s="182" t="str">
        <f t="shared" si="141"/>
        <v/>
      </c>
      <c r="E1445" s="206"/>
      <c r="F1445" s="207"/>
      <c r="G1445" s="207"/>
      <c r="H1445" s="205"/>
      <c r="I1445" s="167">
        <v>1416929000</v>
      </c>
      <c r="J1445" s="166"/>
      <c r="K1445" s="167">
        <v>1271390000</v>
      </c>
      <c r="L1445" s="168">
        <v>145539000</v>
      </c>
      <c r="M1445" s="168">
        <f t="shared" si="142"/>
        <v>1416929000</v>
      </c>
      <c r="N1445" s="168"/>
      <c r="O1445" s="167">
        <v>1416929000</v>
      </c>
      <c r="P1445" s="167">
        <f t="shared" si="143"/>
        <v>1416929000</v>
      </c>
      <c r="Q1445" s="167"/>
      <c r="S1445" s="201">
        <f t="shared" si="144"/>
        <v>1416.9290000000001</v>
      </c>
      <c r="T1445" s="201">
        <f t="shared" si="139"/>
        <v>1416.9290000000001</v>
      </c>
      <c r="U1445" s="201">
        <f t="shared" si="139"/>
        <v>0</v>
      </c>
      <c r="V1445" s="201">
        <f t="shared" si="139"/>
        <v>1416.9290000000001</v>
      </c>
      <c r="W1445" s="201">
        <f t="shared" si="139"/>
        <v>1416.9290000000001</v>
      </c>
      <c r="X1445" s="201">
        <f t="shared" si="139"/>
        <v>0</v>
      </c>
    </row>
    <row r="1446" spans="1:24" s="169" customFormat="1" ht="13.8">
      <c r="A1446" s="192"/>
      <c r="B1446" s="164"/>
      <c r="C1446" s="183" t="str">
        <f t="shared" si="140"/>
        <v/>
      </c>
      <c r="D1446" s="182" t="str">
        <f t="shared" si="141"/>
        <v/>
      </c>
      <c r="E1446" s="192" t="s">
        <v>681</v>
      </c>
      <c r="F1446" s="192" t="s">
        <v>705</v>
      </c>
      <c r="G1446" s="192" t="s">
        <v>775</v>
      </c>
      <c r="H1446" s="210" t="s">
        <v>1440</v>
      </c>
      <c r="I1446" s="167">
        <v>1416929000</v>
      </c>
      <c r="J1446" s="166"/>
      <c r="K1446" s="167">
        <v>1271390000</v>
      </c>
      <c r="L1446" s="168">
        <v>145539000</v>
      </c>
      <c r="M1446" s="168">
        <f t="shared" si="142"/>
        <v>1416929000</v>
      </c>
      <c r="N1446" s="168"/>
      <c r="O1446" s="167">
        <v>1416929000</v>
      </c>
      <c r="P1446" s="167">
        <f t="shared" si="143"/>
        <v>1416929000</v>
      </c>
      <c r="Q1446" s="167"/>
      <c r="S1446" s="201">
        <f t="shared" si="144"/>
        <v>1416.9290000000001</v>
      </c>
      <c r="T1446" s="201">
        <f t="shared" si="139"/>
        <v>1416.9290000000001</v>
      </c>
      <c r="U1446" s="201">
        <f t="shared" si="139"/>
        <v>0</v>
      </c>
      <c r="V1446" s="201">
        <f t="shared" si="139"/>
        <v>1416.9290000000001</v>
      </c>
      <c r="W1446" s="201">
        <f t="shared" si="139"/>
        <v>1416.9290000000001</v>
      </c>
      <c r="X1446" s="201">
        <f t="shared" si="139"/>
        <v>0</v>
      </c>
    </row>
    <row r="1447" spans="1:24" s="169" customFormat="1" ht="13.8">
      <c r="A1447" s="192" t="s">
        <v>1320</v>
      </c>
      <c r="B1447" s="164" t="s">
        <v>701</v>
      </c>
      <c r="C1447" s="183" t="str">
        <f t="shared" si="140"/>
        <v/>
      </c>
      <c r="D1447" s="182" t="str">
        <f t="shared" si="141"/>
        <v/>
      </c>
      <c r="E1447" s="206"/>
      <c r="F1447" s="207"/>
      <c r="G1447" s="207"/>
      <c r="H1447" s="205"/>
      <c r="I1447" s="167">
        <v>270000000</v>
      </c>
      <c r="J1447" s="166"/>
      <c r="K1447" s="166"/>
      <c r="L1447" s="168">
        <v>270000000</v>
      </c>
      <c r="M1447" s="168">
        <f t="shared" si="142"/>
        <v>270000000</v>
      </c>
      <c r="N1447" s="168"/>
      <c r="O1447" s="167">
        <v>270000000</v>
      </c>
      <c r="P1447" s="167">
        <f t="shared" si="143"/>
        <v>270000000</v>
      </c>
      <c r="Q1447" s="167"/>
      <c r="S1447" s="201">
        <f t="shared" si="144"/>
        <v>270</v>
      </c>
      <c r="T1447" s="201">
        <f t="shared" si="139"/>
        <v>270</v>
      </c>
      <c r="U1447" s="201">
        <f t="shared" si="139"/>
        <v>0</v>
      </c>
      <c r="V1447" s="201">
        <f t="shared" si="139"/>
        <v>270</v>
      </c>
      <c r="W1447" s="201">
        <f t="shared" si="139"/>
        <v>270</v>
      </c>
      <c r="X1447" s="201">
        <f t="shared" si="139"/>
        <v>0</v>
      </c>
    </row>
    <row r="1448" spans="1:24" s="169" customFormat="1" ht="13.8">
      <c r="A1448" s="192"/>
      <c r="B1448" s="164"/>
      <c r="C1448" s="183" t="str">
        <f t="shared" si="140"/>
        <v/>
      </c>
      <c r="D1448" s="182" t="str">
        <f t="shared" si="141"/>
        <v/>
      </c>
      <c r="E1448" s="192" t="s">
        <v>667</v>
      </c>
      <c r="F1448" s="192" t="s">
        <v>705</v>
      </c>
      <c r="G1448" s="192" t="s">
        <v>775</v>
      </c>
      <c r="H1448" s="210" t="s">
        <v>1455</v>
      </c>
      <c r="I1448" s="167">
        <v>270000000</v>
      </c>
      <c r="J1448" s="166"/>
      <c r="K1448" s="166"/>
      <c r="L1448" s="168">
        <v>270000000</v>
      </c>
      <c r="M1448" s="168">
        <f t="shared" si="142"/>
        <v>270000000</v>
      </c>
      <c r="N1448" s="168"/>
      <c r="O1448" s="167">
        <v>270000000</v>
      </c>
      <c r="P1448" s="167">
        <f t="shared" si="143"/>
        <v>270000000</v>
      </c>
      <c r="Q1448" s="167"/>
      <c r="S1448" s="201">
        <f t="shared" si="144"/>
        <v>270</v>
      </c>
      <c r="T1448" s="201">
        <f t="shared" si="139"/>
        <v>270</v>
      </c>
      <c r="U1448" s="201">
        <f t="shared" si="139"/>
        <v>0</v>
      </c>
      <c r="V1448" s="201">
        <f t="shared" si="139"/>
        <v>270</v>
      </c>
      <c r="W1448" s="201">
        <f t="shared" si="139"/>
        <v>270</v>
      </c>
      <c r="X1448" s="201">
        <f t="shared" si="139"/>
        <v>0</v>
      </c>
    </row>
    <row r="1449" spans="1:24" s="169" customFormat="1" ht="39.6">
      <c r="A1449" s="192" t="s">
        <v>1321</v>
      </c>
      <c r="B1449" s="165" t="s">
        <v>1322</v>
      </c>
      <c r="C1449" s="183" t="str">
        <f t="shared" si="140"/>
        <v>1109490</v>
      </c>
      <c r="D1449" s="182" t="str">
        <f t="shared" si="141"/>
        <v>-Trung tâm Kỹ thuật Tiêu chuẫn Đo lường Chăt lượng tỉnh -Kontum</v>
      </c>
      <c r="E1449" s="206"/>
      <c r="F1449" s="207"/>
      <c r="G1449" s="207"/>
      <c r="H1449" s="205"/>
      <c r="I1449" s="167">
        <v>741076918</v>
      </c>
      <c r="J1449" s="167">
        <v>76918</v>
      </c>
      <c r="K1449" s="167">
        <v>732700000</v>
      </c>
      <c r="L1449" s="168">
        <v>8300000</v>
      </c>
      <c r="M1449" s="168">
        <f t="shared" si="142"/>
        <v>741076918</v>
      </c>
      <c r="N1449" s="168"/>
      <c r="O1449" s="167">
        <v>719092918</v>
      </c>
      <c r="P1449" s="167">
        <f t="shared" si="143"/>
        <v>719092918</v>
      </c>
      <c r="Q1449" s="167"/>
      <c r="S1449" s="201">
        <f t="shared" si="144"/>
        <v>741.07691799999998</v>
      </c>
      <c r="T1449" s="201">
        <f t="shared" si="139"/>
        <v>741.07691799999998</v>
      </c>
      <c r="U1449" s="201">
        <f t="shared" si="139"/>
        <v>0</v>
      </c>
      <c r="V1449" s="201">
        <f t="shared" si="139"/>
        <v>719.09291800000005</v>
      </c>
      <c r="W1449" s="201">
        <f t="shared" si="139"/>
        <v>719.09291800000005</v>
      </c>
      <c r="X1449" s="201">
        <f t="shared" si="139"/>
        <v>0</v>
      </c>
    </row>
    <row r="1450" spans="1:24" s="169" customFormat="1" ht="13.8">
      <c r="A1450" s="192" t="s">
        <v>1323</v>
      </c>
      <c r="B1450" s="164" t="s">
        <v>689</v>
      </c>
      <c r="C1450" s="183" t="str">
        <f t="shared" si="140"/>
        <v/>
      </c>
      <c r="D1450" s="182" t="str">
        <f t="shared" si="141"/>
        <v/>
      </c>
      <c r="E1450" s="206"/>
      <c r="F1450" s="207"/>
      <c r="G1450" s="207"/>
      <c r="H1450" s="205"/>
      <c r="I1450" s="167">
        <v>741076918</v>
      </c>
      <c r="J1450" s="167">
        <v>76918</v>
      </c>
      <c r="K1450" s="167">
        <v>732700000</v>
      </c>
      <c r="L1450" s="168">
        <v>8300000</v>
      </c>
      <c r="M1450" s="168">
        <f t="shared" si="142"/>
        <v>741076918</v>
      </c>
      <c r="N1450" s="168"/>
      <c r="O1450" s="167">
        <v>719092918</v>
      </c>
      <c r="P1450" s="167">
        <f t="shared" si="143"/>
        <v>719092918</v>
      </c>
      <c r="Q1450" s="167"/>
      <c r="S1450" s="201">
        <f t="shared" si="144"/>
        <v>741.07691799999998</v>
      </c>
      <c r="T1450" s="201">
        <f t="shared" si="139"/>
        <v>741.07691799999998</v>
      </c>
      <c r="U1450" s="201">
        <f t="shared" si="139"/>
        <v>0</v>
      </c>
      <c r="V1450" s="201">
        <f t="shared" si="139"/>
        <v>719.09291800000005</v>
      </c>
      <c r="W1450" s="201">
        <f t="shared" si="139"/>
        <v>719.09291800000005</v>
      </c>
      <c r="X1450" s="201">
        <f t="shared" si="139"/>
        <v>0</v>
      </c>
    </row>
    <row r="1451" spans="1:24" s="169" customFormat="1" ht="13.8">
      <c r="A1451" s="192"/>
      <c r="B1451" s="164" t="s">
        <v>690</v>
      </c>
      <c r="C1451" s="183" t="str">
        <f t="shared" si="140"/>
        <v/>
      </c>
      <c r="D1451" s="182" t="str">
        <f t="shared" si="141"/>
        <v/>
      </c>
      <c r="E1451" s="206"/>
      <c r="F1451" s="207"/>
      <c r="G1451" s="207"/>
      <c r="H1451" s="205"/>
      <c r="I1451" s="167">
        <v>541076918</v>
      </c>
      <c r="J1451" s="167">
        <v>76918</v>
      </c>
      <c r="K1451" s="167">
        <v>532700000</v>
      </c>
      <c r="L1451" s="168">
        <v>8300000</v>
      </c>
      <c r="M1451" s="168">
        <f t="shared" si="142"/>
        <v>541076918</v>
      </c>
      <c r="N1451" s="168"/>
      <c r="O1451" s="167">
        <v>541076918</v>
      </c>
      <c r="P1451" s="167">
        <f t="shared" si="143"/>
        <v>541076918</v>
      </c>
      <c r="Q1451" s="167"/>
      <c r="S1451" s="201">
        <f t="shared" si="144"/>
        <v>541.07691799999998</v>
      </c>
      <c r="T1451" s="201">
        <f t="shared" si="139"/>
        <v>541.07691799999998</v>
      </c>
      <c r="U1451" s="201">
        <f t="shared" si="139"/>
        <v>0</v>
      </c>
      <c r="V1451" s="201">
        <f t="shared" si="139"/>
        <v>541.07691799999998</v>
      </c>
      <c r="W1451" s="201">
        <f t="shared" si="139"/>
        <v>541.07691799999998</v>
      </c>
      <c r="X1451" s="201">
        <f t="shared" si="139"/>
        <v>0</v>
      </c>
    </row>
    <row r="1452" spans="1:24" s="169" customFormat="1" ht="13.8">
      <c r="A1452" s="193"/>
      <c r="B1452" s="187"/>
      <c r="C1452" s="183" t="str">
        <f t="shared" si="140"/>
        <v/>
      </c>
      <c r="D1452" s="182" t="str">
        <f t="shared" si="141"/>
        <v/>
      </c>
      <c r="E1452" s="192" t="s">
        <v>666</v>
      </c>
      <c r="F1452" s="192" t="s">
        <v>1122</v>
      </c>
      <c r="G1452" s="192" t="s">
        <v>785</v>
      </c>
      <c r="H1452" s="210" t="s">
        <v>1440</v>
      </c>
      <c r="I1452" s="167">
        <v>532700000</v>
      </c>
      <c r="J1452" s="166"/>
      <c r="K1452" s="167">
        <v>532700000</v>
      </c>
      <c r="L1452" s="171"/>
      <c r="M1452" s="168">
        <f t="shared" si="142"/>
        <v>532700000</v>
      </c>
      <c r="N1452" s="171"/>
      <c r="O1452" s="167">
        <v>532700000</v>
      </c>
      <c r="P1452" s="167">
        <f t="shared" si="143"/>
        <v>532700000</v>
      </c>
      <c r="Q1452" s="167"/>
      <c r="S1452" s="201">
        <f t="shared" si="144"/>
        <v>532.70000000000005</v>
      </c>
      <c r="T1452" s="201">
        <f t="shared" si="139"/>
        <v>532.70000000000005</v>
      </c>
      <c r="U1452" s="201">
        <f t="shared" si="139"/>
        <v>0</v>
      </c>
      <c r="V1452" s="201">
        <f t="shared" si="139"/>
        <v>532.70000000000005</v>
      </c>
      <c r="W1452" s="201">
        <f t="shared" si="139"/>
        <v>532.70000000000005</v>
      </c>
      <c r="X1452" s="201">
        <f t="shared" si="139"/>
        <v>0</v>
      </c>
    </row>
    <row r="1453" spans="1:24" s="169" customFormat="1" ht="13.8">
      <c r="A1453" s="195"/>
      <c r="B1453" s="188"/>
      <c r="C1453" s="183" t="str">
        <f t="shared" si="140"/>
        <v/>
      </c>
      <c r="D1453" s="182" t="str">
        <f t="shared" si="141"/>
        <v/>
      </c>
      <c r="E1453" s="192" t="s">
        <v>679</v>
      </c>
      <c r="F1453" s="192" t="s">
        <v>1122</v>
      </c>
      <c r="G1453" s="192" t="s">
        <v>785</v>
      </c>
      <c r="H1453" s="210" t="s">
        <v>1440</v>
      </c>
      <c r="I1453" s="167">
        <v>8376918</v>
      </c>
      <c r="J1453" s="167">
        <v>76918</v>
      </c>
      <c r="K1453" s="166"/>
      <c r="L1453" s="168">
        <v>8300000</v>
      </c>
      <c r="M1453" s="168">
        <f t="shared" si="142"/>
        <v>8376918</v>
      </c>
      <c r="N1453" s="168"/>
      <c r="O1453" s="167">
        <v>8376918</v>
      </c>
      <c r="P1453" s="167">
        <f t="shared" si="143"/>
        <v>8376918</v>
      </c>
      <c r="Q1453" s="167"/>
      <c r="S1453" s="201">
        <f t="shared" si="144"/>
        <v>8.3769179999999999</v>
      </c>
      <c r="T1453" s="201">
        <f t="shared" si="139"/>
        <v>8.3769179999999999</v>
      </c>
      <c r="U1453" s="201">
        <f t="shared" si="139"/>
        <v>0</v>
      </c>
      <c r="V1453" s="201">
        <f t="shared" si="139"/>
        <v>8.3769179999999999</v>
      </c>
      <c r="W1453" s="201">
        <f t="shared" si="139"/>
        <v>8.3769179999999999</v>
      </c>
      <c r="X1453" s="201">
        <f t="shared" si="139"/>
        <v>0</v>
      </c>
    </row>
    <row r="1454" spans="1:24" s="169" customFormat="1" ht="13.8">
      <c r="A1454" s="192"/>
      <c r="B1454" s="164" t="s">
        <v>686</v>
      </c>
      <c r="C1454" s="183" t="str">
        <f t="shared" si="140"/>
        <v/>
      </c>
      <c r="D1454" s="182" t="str">
        <f t="shared" si="141"/>
        <v/>
      </c>
      <c r="E1454" s="206"/>
      <c r="F1454" s="207"/>
      <c r="G1454" s="207"/>
      <c r="H1454" s="205"/>
      <c r="I1454" s="167">
        <v>200000000</v>
      </c>
      <c r="J1454" s="166"/>
      <c r="K1454" s="167">
        <v>200000000</v>
      </c>
      <c r="L1454" s="171"/>
      <c r="M1454" s="168">
        <f t="shared" si="142"/>
        <v>200000000</v>
      </c>
      <c r="N1454" s="171"/>
      <c r="O1454" s="167">
        <v>178016000</v>
      </c>
      <c r="P1454" s="167">
        <f t="shared" si="143"/>
        <v>178016000</v>
      </c>
      <c r="Q1454" s="167"/>
      <c r="S1454" s="201">
        <f t="shared" si="144"/>
        <v>200</v>
      </c>
      <c r="T1454" s="201">
        <f t="shared" si="139"/>
        <v>200</v>
      </c>
      <c r="U1454" s="201">
        <f t="shared" si="139"/>
        <v>0</v>
      </c>
      <c r="V1454" s="201">
        <f t="shared" si="139"/>
        <v>178.01599999999999</v>
      </c>
      <c r="W1454" s="201">
        <f t="shared" si="139"/>
        <v>178.01599999999999</v>
      </c>
      <c r="X1454" s="201">
        <f t="shared" si="139"/>
        <v>0</v>
      </c>
    </row>
    <row r="1455" spans="1:24" s="169" customFormat="1" ht="13.8">
      <c r="A1455" s="192"/>
      <c r="B1455" s="164"/>
      <c r="C1455" s="183" t="str">
        <f t="shared" si="140"/>
        <v/>
      </c>
      <c r="D1455" s="182" t="str">
        <f t="shared" si="141"/>
        <v/>
      </c>
      <c r="E1455" s="192" t="s">
        <v>681</v>
      </c>
      <c r="F1455" s="192" t="s">
        <v>1122</v>
      </c>
      <c r="G1455" s="192" t="s">
        <v>785</v>
      </c>
      <c r="H1455" s="210" t="s">
        <v>1440</v>
      </c>
      <c r="I1455" s="167">
        <v>200000000</v>
      </c>
      <c r="J1455" s="166"/>
      <c r="K1455" s="167">
        <v>200000000</v>
      </c>
      <c r="L1455" s="171"/>
      <c r="M1455" s="168">
        <f t="shared" si="142"/>
        <v>200000000</v>
      </c>
      <c r="N1455" s="171"/>
      <c r="O1455" s="167">
        <v>178016000</v>
      </c>
      <c r="P1455" s="167">
        <f t="shared" si="143"/>
        <v>178016000</v>
      </c>
      <c r="Q1455" s="167"/>
      <c r="S1455" s="201">
        <f t="shared" si="144"/>
        <v>200</v>
      </c>
      <c r="T1455" s="201">
        <f t="shared" si="139"/>
        <v>200</v>
      </c>
      <c r="U1455" s="201">
        <f t="shared" si="139"/>
        <v>0</v>
      </c>
      <c r="V1455" s="201">
        <f t="shared" si="139"/>
        <v>178.01599999999999</v>
      </c>
      <c r="W1455" s="201">
        <f t="shared" si="139"/>
        <v>178.01599999999999</v>
      </c>
      <c r="X1455" s="201">
        <f t="shared" si="139"/>
        <v>0</v>
      </c>
    </row>
    <row r="1456" spans="1:24" s="169" customFormat="1" ht="27.6">
      <c r="A1456" s="192" t="s">
        <v>1324</v>
      </c>
      <c r="B1456" s="176" t="s">
        <v>1325</v>
      </c>
      <c r="C1456" s="183" t="str">
        <f t="shared" si="140"/>
        <v>1112480</v>
      </c>
      <c r="D1456" s="182" t="str">
        <f t="shared" si="141"/>
        <v>-Ban quản lý Khai thác các công trinh thủy lợi tỉnh Kontum</v>
      </c>
      <c r="E1456" s="206"/>
      <c r="F1456" s="207"/>
      <c r="G1456" s="207"/>
      <c r="H1456" s="205"/>
      <c r="I1456" s="167">
        <v>32864412505</v>
      </c>
      <c r="J1456" s="167">
        <v>320412505</v>
      </c>
      <c r="K1456" s="167">
        <v>21947000000</v>
      </c>
      <c r="L1456" s="168">
        <v>10597000000</v>
      </c>
      <c r="M1456" s="168">
        <f t="shared" si="142"/>
        <v>32864412505</v>
      </c>
      <c r="N1456" s="168"/>
      <c r="O1456" s="167">
        <v>31124412502</v>
      </c>
      <c r="P1456" s="167">
        <f t="shared" si="143"/>
        <v>31124412502</v>
      </c>
      <c r="Q1456" s="167"/>
      <c r="S1456" s="201">
        <f t="shared" si="144"/>
        <v>32864.412505</v>
      </c>
      <c r="T1456" s="201">
        <f t="shared" si="139"/>
        <v>32864.412505</v>
      </c>
      <c r="U1456" s="201">
        <f t="shared" si="139"/>
        <v>0</v>
      </c>
      <c r="V1456" s="201">
        <f t="shared" si="139"/>
        <v>31124.412501999999</v>
      </c>
      <c r="W1456" s="201">
        <f t="shared" si="139"/>
        <v>31124.412501999999</v>
      </c>
      <c r="X1456" s="201">
        <f t="shared" si="139"/>
        <v>0</v>
      </c>
    </row>
    <row r="1457" spans="1:24" s="169" customFormat="1" ht="13.8">
      <c r="A1457" s="192"/>
      <c r="B1457" s="173"/>
      <c r="C1457" s="183" t="str">
        <f t="shared" si="140"/>
        <v/>
      </c>
      <c r="D1457" s="182" t="str">
        <f t="shared" si="141"/>
        <v/>
      </c>
      <c r="E1457" s="192"/>
      <c r="F1457" s="192"/>
      <c r="G1457" s="192"/>
      <c r="H1457" s="210"/>
      <c r="I1457" s="174"/>
      <c r="J1457" s="174"/>
      <c r="K1457" s="174"/>
      <c r="L1457" s="175"/>
      <c r="M1457" s="168">
        <f t="shared" si="142"/>
        <v>0</v>
      </c>
      <c r="N1457" s="175"/>
      <c r="O1457" s="174"/>
      <c r="P1457" s="167">
        <f t="shared" si="143"/>
        <v>0</v>
      </c>
      <c r="Q1457" s="174"/>
      <c r="S1457" s="201">
        <f t="shared" si="144"/>
        <v>0</v>
      </c>
      <c r="T1457" s="201">
        <f t="shared" ref="T1457:X1507" si="145">M1457/1000000</f>
        <v>0</v>
      </c>
      <c r="U1457" s="201">
        <f t="shared" si="145"/>
        <v>0</v>
      </c>
      <c r="V1457" s="201">
        <f t="shared" si="145"/>
        <v>0</v>
      </c>
      <c r="W1457" s="201">
        <f t="shared" si="145"/>
        <v>0</v>
      </c>
      <c r="X1457" s="201">
        <f t="shared" si="145"/>
        <v>0</v>
      </c>
    </row>
    <row r="1458" spans="1:24" s="169" customFormat="1" ht="13.8">
      <c r="A1458" s="192" t="s">
        <v>1326</v>
      </c>
      <c r="B1458" s="170" t="s">
        <v>689</v>
      </c>
      <c r="C1458" s="183" t="str">
        <f t="shared" si="140"/>
        <v/>
      </c>
      <c r="D1458" s="182" t="str">
        <f t="shared" si="141"/>
        <v/>
      </c>
      <c r="E1458" s="206"/>
      <c r="F1458" s="207"/>
      <c r="G1458" s="207"/>
      <c r="H1458" s="205"/>
      <c r="I1458" s="167">
        <v>32864412505</v>
      </c>
      <c r="J1458" s="167">
        <v>320412505</v>
      </c>
      <c r="K1458" s="167">
        <v>21947000000</v>
      </c>
      <c r="L1458" s="168">
        <v>10597000000</v>
      </c>
      <c r="M1458" s="168">
        <f t="shared" si="142"/>
        <v>32864412505</v>
      </c>
      <c r="N1458" s="168"/>
      <c r="O1458" s="167">
        <v>31124412502</v>
      </c>
      <c r="P1458" s="167">
        <f t="shared" si="143"/>
        <v>31124412502</v>
      </c>
      <c r="Q1458" s="167"/>
      <c r="S1458" s="201">
        <f t="shared" si="144"/>
        <v>32864.412505</v>
      </c>
      <c r="T1458" s="201">
        <f t="shared" si="145"/>
        <v>32864.412505</v>
      </c>
      <c r="U1458" s="201">
        <f t="shared" si="145"/>
        <v>0</v>
      </c>
      <c r="V1458" s="201">
        <f t="shared" si="145"/>
        <v>31124.412501999999</v>
      </c>
      <c r="W1458" s="201">
        <f t="shared" si="145"/>
        <v>31124.412501999999</v>
      </c>
      <c r="X1458" s="201">
        <f t="shared" si="145"/>
        <v>0</v>
      </c>
    </row>
    <row r="1459" spans="1:24" s="169" customFormat="1" ht="13.8">
      <c r="A1459" s="192"/>
      <c r="B1459" s="170" t="s">
        <v>690</v>
      </c>
      <c r="C1459" s="183" t="str">
        <f t="shared" si="140"/>
        <v/>
      </c>
      <c r="D1459" s="182" t="str">
        <f t="shared" si="141"/>
        <v/>
      </c>
      <c r="E1459" s="206"/>
      <c r="F1459" s="207"/>
      <c r="G1459" s="207"/>
      <c r="H1459" s="205"/>
      <c r="I1459" s="167">
        <v>10435412505</v>
      </c>
      <c r="J1459" s="167">
        <v>320412505</v>
      </c>
      <c r="K1459" s="167">
        <v>10115000000</v>
      </c>
      <c r="L1459" s="171"/>
      <c r="M1459" s="168">
        <f t="shared" si="142"/>
        <v>10435412505</v>
      </c>
      <c r="N1459" s="171"/>
      <c r="O1459" s="167">
        <v>10435412505</v>
      </c>
      <c r="P1459" s="167">
        <f t="shared" si="143"/>
        <v>10435412505</v>
      </c>
      <c r="Q1459" s="167"/>
      <c r="S1459" s="201">
        <f t="shared" si="144"/>
        <v>10435.412505</v>
      </c>
      <c r="T1459" s="201">
        <f t="shared" si="145"/>
        <v>10435.412505</v>
      </c>
      <c r="U1459" s="201">
        <f t="shared" si="145"/>
        <v>0</v>
      </c>
      <c r="V1459" s="201">
        <f t="shared" si="145"/>
        <v>10435.412505</v>
      </c>
      <c r="W1459" s="201">
        <f t="shared" si="145"/>
        <v>10435.412505</v>
      </c>
      <c r="X1459" s="201">
        <f t="shared" si="145"/>
        <v>0</v>
      </c>
    </row>
    <row r="1460" spans="1:24" s="169" customFormat="1" ht="13.8">
      <c r="A1460" s="192"/>
      <c r="B1460" s="164"/>
      <c r="C1460" s="183" t="str">
        <f t="shared" si="140"/>
        <v/>
      </c>
      <c r="D1460" s="182" t="str">
        <f t="shared" si="141"/>
        <v/>
      </c>
      <c r="E1460" s="192" t="s">
        <v>666</v>
      </c>
      <c r="F1460" s="192" t="s">
        <v>760</v>
      </c>
      <c r="G1460" s="192" t="s">
        <v>745</v>
      </c>
      <c r="H1460" s="210" t="s">
        <v>1440</v>
      </c>
      <c r="I1460" s="167">
        <v>10435412505</v>
      </c>
      <c r="J1460" s="167">
        <v>320412505</v>
      </c>
      <c r="K1460" s="167">
        <v>10115000000</v>
      </c>
      <c r="L1460" s="171"/>
      <c r="M1460" s="168">
        <f t="shared" si="142"/>
        <v>10435412505</v>
      </c>
      <c r="N1460" s="171"/>
      <c r="O1460" s="167">
        <v>10435412505</v>
      </c>
      <c r="P1460" s="167">
        <f t="shared" si="143"/>
        <v>10435412505</v>
      </c>
      <c r="Q1460" s="167"/>
      <c r="S1460" s="201">
        <f t="shared" si="144"/>
        <v>10435.412505</v>
      </c>
      <c r="T1460" s="201">
        <f t="shared" si="145"/>
        <v>10435.412505</v>
      </c>
      <c r="U1460" s="201">
        <f t="shared" si="145"/>
        <v>0</v>
      </c>
      <c r="V1460" s="201">
        <f t="shared" si="145"/>
        <v>10435.412505</v>
      </c>
      <c r="W1460" s="201">
        <f t="shared" si="145"/>
        <v>10435.412505</v>
      </c>
      <c r="X1460" s="201">
        <f t="shared" si="145"/>
        <v>0</v>
      </c>
    </row>
    <row r="1461" spans="1:24" s="169" customFormat="1" ht="13.8">
      <c r="A1461" s="192"/>
      <c r="B1461" s="170" t="s">
        <v>686</v>
      </c>
      <c r="C1461" s="183" t="str">
        <f t="shared" si="140"/>
        <v/>
      </c>
      <c r="D1461" s="182" t="str">
        <f t="shared" si="141"/>
        <v/>
      </c>
      <c r="E1461" s="206"/>
      <c r="F1461" s="207"/>
      <c r="G1461" s="207"/>
      <c r="H1461" s="205"/>
      <c r="I1461" s="167">
        <v>22429000000</v>
      </c>
      <c r="J1461" s="166"/>
      <c r="K1461" s="167">
        <v>11832000000</v>
      </c>
      <c r="L1461" s="168">
        <v>10597000000</v>
      </c>
      <c r="M1461" s="168">
        <f t="shared" si="142"/>
        <v>22429000000</v>
      </c>
      <c r="N1461" s="168"/>
      <c r="O1461" s="167">
        <v>20688999997</v>
      </c>
      <c r="P1461" s="167">
        <f t="shared" si="143"/>
        <v>20688999997</v>
      </c>
      <c r="Q1461" s="167"/>
      <c r="S1461" s="201">
        <f t="shared" si="144"/>
        <v>22429</v>
      </c>
      <c r="T1461" s="201">
        <f t="shared" si="145"/>
        <v>22429</v>
      </c>
      <c r="U1461" s="201">
        <f t="shared" si="145"/>
        <v>0</v>
      </c>
      <c r="V1461" s="201">
        <f t="shared" si="145"/>
        <v>20688.999996999999</v>
      </c>
      <c r="W1461" s="201">
        <f t="shared" si="145"/>
        <v>20688.999996999999</v>
      </c>
      <c r="X1461" s="201">
        <f t="shared" si="145"/>
        <v>0</v>
      </c>
    </row>
    <row r="1462" spans="1:24" s="169" customFormat="1" ht="13.8">
      <c r="A1462" s="193"/>
      <c r="B1462" s="187"/>
      <c r="C1462" s="183" t="str">
        <f t="shared" si="140"/>
        <v/>
      </c>
      <c r="D1462" s="182" t="str">
        <f t="shared" si="141"/>
        <v/>
      </c>
      <c r="E1462" s="192" t="s">
        <v>681</v>
      </c>
      <c r="F1462" s="192" t="s">
        <v>760</v>
      </c>
      <c r="G1462" s="192" t="s">
        <v>745</v>
      </c>
      <c r="H1462" s="210" t="s">
        <v>1440</v>
      </c>
      <c r="I1462" s="167">
        <v>20929000000</v>
      </c>
      <c r="J1462" s="166"/>
      <c r="K1462" s="167">
        <v>11832000000</v>
      </c>
      <c r="L1462" s="168">
        <v>9097000000</v>
      </c>
      <c r="M1462" s="168">
        <f t="shared" si="142"/>
        <v>20929000000</v>
      </c>
      <c r="N1462" s="168"/>
      <c r="O1462" s="167">
        <v>20688999997</v>
      </c>
      <c r="P1462" s="167">
        <f t="shared" si="143"/>
        <v>20688999997</v>
      </c>
      <c r="Q1462" s="167"/>
      <c r="S1462" s="201">
        <f t="shared" si="144"/>
        <v>20929</v>
      </c>
      <c r="T1462" s="201">
        <f t="shared" si="145"/>
        <v>20929</v>
      </c>
      <c r="U1462" s="201">
        <f t="shared" si="145"/>
        <v>0</v>
      </c>
      <c r="V1462" s="201">
        <f t="shared" si="145"/>
        <v>20688.999996999999</v>
      </c>
      <c r="W1462" s="201">
        <f t="shared" si="145"/>
        <v>20688.999996999999</v>
      </c>
      <c r="X1462" s="201">
        <f t="shared" si="145"/>
        <v>0</v>
      </c>
    </row>
    <row r="1463" spans="1:24" s="169" customFormat="1" ht="13.8">
      <c r="A1463" s="195"/>
      <c r="B1463" s="188"/>
      <c r="C1463" s="183" t="str">
        <f t="shared" si="140"/>
        <v/>
      </c>
      <c r="D1463" s="182" t="str">
        <f t="shared" si="141"/>
        <v/>
      </c>
      <c r="E1463" s="192" t="s">
        <v>667</v>
      </c>
      <c r="F1463" s="192" t="s">
        <v>760</v>
      </c>
      <c r="G1463" s="192" t="s">
        <v>745</v>
      </c>
      <c r="H1463" s="210" t="s">
        <v>1440</v>
      </c>
      <c r="I1463" s="167">
        <v>1500000000</v>
      </c>
      <c r="J1463" s="166"/>
      <c r="K1463" s="166"/>
      <c r="L1463" s="168">
        <v>1500000000</v>
      </c>
      <c r="M1463" s="168">
        <f t="shared" si="142"/>
        <v>1500000000</v>
      </c>
      <c r="N1463" s="168"/>
      <c r="O1463" s="166"/>
      <c r="P1463" s="167">
        <f t="shared" si="143"/>
        <v>0</v>
      </c>
      <c r="Q1463" s="166"/>
      <c r="S1463" s="201">
        <f t="shared" si="144"/>
        <v>1500</v>
      </c>
      <c r="T1463" s="201">
        <f t="shared" si="145"/>
        <v>1500</v>
      </c>
      <c r="U1463" s="201">
        <f t="shared" si="145"/>
        <v>0</v>
      </c>
      <c r="V1463" s="201">
        <f t="shared" si="145"/>
        <v>0</v>
      </c>
      <c r="W1463" s="201">
        <f t="shared" si="145"/>
        <v>0</v>
      </c>
      <c r="X1463" s="201">
        <f t="shared" si="145"/>
        <v>0</v>
      </c>
    </row>
    <row r="1464" spans="1:24" s="169" customFormat="1" ht="26.4">
      <c r="A1464" s="192" t="s">
        <v>1327</v>
      </c>
      <c r="B1464" s="165" t="s">
        <v>1328</v>
      </c>
      <c r="C1464" s="183" t="str">
        <f t="shared" si="140"/>
        <v>1113386</v>
      </c>
      <c r="D1464" s="182" t="str">
        <f t="shared" si="141"/>
        <v>-Chi cục Văn thư Lưu trữ, sờ Nội vụ tỉnh Kontum</v>
      </c>
      <c r="E1464" s="206"/>
      <c r="F1464" s="207"/>
      <c r="G1464" s="207"/>
      <c r="H1464" s="205"/>
      <c r="I1464" s="167">
        <v>1396200000</v>
      </c>
      <c r="J1464" s="166"/>
      <c r="K1464" s="167">
        <v>1262000000</v>
      </c>
      <c r="L1464" s="168">
        <v>134200000</v>
      </c>
      <c r="M1464" s="168">
        <f t="shared" si="142"/>
        <v>1396200000</v>
      </c>
      <c r="N1464" s="168"/>
      <c r="O1464" s="167">
        <v>1396200000</v>
      </c>
      <c r="P1464" s="167">
        <f t="shared" si="143"/>
        <v>1396200000</v>
      </c>
      <c r="Q1464" s="167"/>
      <c r="S1464" s="201">
        <f t="shared" si="144"/>
        <v>1396.2</v>
      </c>
      <c r="T1464" s="201">
        <f t="shared" si="145"/>
        <v>1396.2</v>
      </c>
      <c r="U1464" s="201">
        <f t="shared" si="145"/>
        <v>0</v>
      </c>
      <c r="V1464" s="201">
        <f t="shared" si="145"/>
        <v>1396.2</v>
      </c>
      <c r="W1464" s="201">
        <f t="shared" si="145"/>
        <v>1396.2</v>
      </c>
      <c r="X1464" s="201">
        <f t="shared" si="145"/>
        <v>0</v>
      </c>
    </row>
    <row r="1465" spans="1:24" s="169" customFormat="1" ht="13.8">
      <c r="A1465" s="192" t="s">
        <v>1329</v>
      </c>
      <c r="B1465" s="170" t="s">
        <v>689</v>
      </c>
      <c r="C1465" s="183" t="str">
        <f t="shared" si="140"/>
        <v/>
      </c>
      <c r="D1465" s="182" t="str">
        <f t="shared" si="141"/>
        <v/>
      </c>
      <c r="E1465" s="206"/>
      <c r="F1465" s="207"/>
      <c r="G1465" s="207"/>
      <c r="H1465" s="205"/>
      <c r="I1465" s="167">
        <v>1396200000</v>
      </c>
      <c r="J1465" s="166"/>
      <c r="K1465" s="167">
        <v>1262000000</v>
      </c>
      <c r="L1465" s="168">
        <v>134200000</v>
      </c>
      <c r="M1465" s="168">
        <f t="shared" si="142"/>
        <v>1396200000</v>
      </c>
      <c r="N1465" s="168"/>
      <c r="O1465" s="167">
        <v>1396200000</v>
      </c>
      <c r="P1465" s="167">
        <f t="shared" si="143"/>
        <v>1396200000</v>
      </c>
      <c r="Q1465" s="167"/>
      <c r="S1465" s="201">
        <f t="shared" si="144"/>
        <v>1396.2</v>
      </c>
      <c r="T1465" s="201">
        <f t="shared" si="145"/>
        <v>1396.2</v>
      </c>
      <c r="U1465" s="201">
        <f t="shared" si="145"/>
        <v>0</v>
      </c>
      <c r="V1465" s="201">
        <f t="shared" si="145"/>
        <v>1396.2</v>
      </c>
      <c r="W1465" s="201">
        <f t="shared" si="145"/>
        <v>1396.2</v>
      </c>
      <c r="X1465" s="201">
        <f t="shared" si="145"/>
        <v>0</v>
      </c>
    </row>
    <row r="1466" spans="1:24" s="169" customFormat="1" ht="13.8">
      <c r="A1466" s="192"/>
      <c r="B1466" s="170" t="s">
        <v>690</v>
      </c>
      <c r="C1466" s="183" t="str">
        <f t="shared" si="140"/>
        <v/>
      </c>
      <c r="D1466" s="182" t="str">
        <f t="shared" si="141"/>
        <v/>
      </c>
      <c r="E1466" s="206"/>
      <c r="F1466" s="207"/>
      <c r="G1466" s="207"/>
      <c r="H1466" s="205"/>
      <c r="I1466" s="167">
        <v>1138200000</v>
      </c>
      <c r="J1466" s="166"/>
      <c r="K1466" s="167">
        <v>1113000000</v>
      </c>
      <c r="L1466" s="168">
        <v>25200000</v>
      </c>
      <c r="M1466" s="168">
        <f t="shared" si="142"/>
        <v>1138200000</v>
      </c>
      <c r="N1466" s="168"/>
      <c r="O1466" s="167">
        <v>1138200000</v>
      </c>
      <c r="P1466" s="167">
        <f t="shared" si="143"/>
        <v>1138200000</v>
      </c>
      <c r="Q1466" s="167"/>
      <c r="S1466" s="201">
        <f t="shared" si="144"/>
        <v>1138.2</v>
      </c>
      <c r="T1466" s="201">
        <f t="shared" si="145"/>
        <v>1138.2</v>
      </c>
      <c r="U1466" s="201">
        <f t="shared" si="145"/>
        <v>0</v>
      </c>
      <c r="V1466" s="201">
        <f t="shared" si="145"/>
        <v>1138.2</v>
      </c>
      <c r="W1466" s="201">
        <f t="shared" si="145"/>
        <v>1138.2</v>
      </c>
      <c r="X1466" s="201">
        <f t="shared" si="145"/>
        <v>0</v>
      </c>
    </row>
    <row r="1467" spans="1:24" s="169" customFormat="1" ht="13.8">
      <c r="A1467" s="193"/>
      <c r="B1467" s="187"/>
      <c r="C1467" s="183" t="str">
        <f t="shared" si="140"/>
        <v/>
      </c>
      <c r="D1467" s="182" t="str">
        <f t="shared" si="141"/>
        <v/>
      </c>
      <c r="E1467" s="192" t="s">
        <v>666</v>
      </c>
      <c r="F1467" s="192" t="s">
        <v>939</v>
      </c>
      <c r="G1467" s="192" t="s">
        <v>695</v>
      </c>
      <c r="H1467" s="210" t="s">
        <v>1440</v>
      </c>
      <c r="I1467" s="167">
        <v>1113000000</v>
      </c>
      <c r="J1467" s="166"/>
      <c r="K1467" s="167">
        <v>1113000000</v>
      </c>
      <c r="L1467" s="171"/>
      <c r="M1467" s="168">
        <f t="shared" si="142"/>
        <v>1113000000</v>
      </c>
      <c r="N1467" s="171"/>
      <c r="O1467" s="167">
        <v>1113000000</v>
      </c>
      <c r="P1467" s="167">
        <f t="shared" si="143"/>
        <v>1113000000</v>
      </c>
      <c r="Q1467" s="167"/>
      <c r="S1467" s="201">
        <f t="shared" si="144"/>
        <v>1113</v>
      </c>
      <c r="T1467" s="201">
        <f t="shared" si="145"/>
        <v>1113</v>
      </c>
      <c r="U1467" s="201">
        <f t="shared" si="145"/>
        <v>0</v>
      </c>
      <c r="V1467" s="201">
        <f t="shared" si="145"/>
        <v>1113</v>
      </c>
      <c r="W1467" s="201">
        <f t="shared" si="145"/>
        <v>1113</v>
      </c>
      <c r="X1467" s="201">
        <f t="shared" si="145"/>
        <v>0</v>
      </c>
    </row>
    <row r="1468" spans="1:24" s="169" customFormat="1" ht="13.8">
      <c r="A1468" s="195"/>
      <c r="B1468" s="188"/>
      <c r="C1468" s="183" t="str">
        <f t="shared" si="140"/>
        <v/>
      </c>
      <c r="D1468" s="182" t="str">
        <f t="shared" si="141"/>
        <v/>
      </c>
      <c r="E1468" s="192" t="s">
        <v>679</v>
      </c>
      <c r="F1468" s="192" t="s">
        <v>939</v>
      </c>
      <c r="G1468" s="192" t="s">
        <v>695</v>
      </c>
      <c r="H1468" s="210" t="s">
        <v>1440</v>
      </c>
      <c r="I1468" s="167">
        <v>25200000</v>
      </c>
      <c r="J1468" s="166"/>
      <c r="K1468" s="166"/>
      <c r="L1468" s="168">
        <v>25200000</v>
      </c>
      <c r="M1468" s="168">
        <f t="shared" si="142"/>
        <v>25200000</v>
      </c>
      <c r="N1468" s="168"/>
      <c r="O1468" s="167">
        <v>25200000</v>
      </c>
      <c r="P1468" s="167">
        <f t="shared" si="143"/>
        <v>25200000</v>
      </c>
      <c r="Q1468" s="167"/>
      <c r="S1468" s="201">
        <f t="shared" si="144"/>
        <v>25.2</v>
      </c>
      <c r="T1468" s="201">
        <f t="shared" si="145"/>
        <v>25.2</v>
      </c>
      <c r="U1468" s="201">
        <f t="shared" si="145"/>
        <v>0</v>
      </c>
      <c r="V1468" s="201">
        <f t="shared" si="145"/>
        <v>25.2</v>
      </c>
      <c r="W1468" s="201">
        <f t="shared" si="145"/>
        <v>25.2</v>
      </c>
      <c r="X1468" s="201">
        <f t="shared" si="145"/>
        <v>0</v>
      </c>
    </row>
    <row r="1469" spans="1:24" s="169" customFormat="1" ht="13.8">
      <c r="A1469" s="192"/>
      <c r="B1469" s="170" t="s">
        <v>686</v>
      </c>
      <c r="C1469" s="183" t="str">
        <f t="shared" si="140"/>
        <v/>
      </c>
      <c r="D1469" s="182" t="str">
        <f t="shared" si="141"/>
        <v/>
      </c>
      <c r="E1469" s="206"/>
      <c r="F1469" s="207"/>
      <c r="G1469" s="207"/>
      <c r="H1469" s="205"/>
      <c r="I1469" s="167">
        <v>258000000</v>
      </c>
      <c r="J1469" s="166"/>
      <c r="K1469" s="167">
        <v>149000000</v>
      </c>
      <c r="L1469" s="168">
        <v>109000000</v>
      </c>
      <c r="M1469" s="168">
        <f t="shared" si="142"/>
        <v>258000000</v>
      </c>
      <c r="N1469" s="168"/>
      <c r="O1469" s="167">
        <v>258000000</v>
      </c>
      <c r="P1469" s="167">
        <f t="shared" si="143"/>
        <v>258000000</v>
      </c>
      <c r="Q1469" s="167"/>
      <c r="S1469" s="201">
        <f t="shared" si="144"/>
        <v>258</v>
      </c>
      <c r="T1469" s="201">
        <f t="shared" si="145"/>
        <v>258</v>
      </c>
      <c r="U1469" s="201">
        <f t="shared" si="145"/>
        <v>0</v>
      </c>
      <c r="V1469" s="201">
        <f t="shared" si="145"/>
        <v>258</v>
      </c>
      <c r="W1469" s="201">
        <f t="shared" si="145"/>
        <v>258</v>
      </c>
      <c r="X1469" s="201">
        <f t="shared" si="145"/>
        <v>0</v>
      </c>
    </row>
    <row r="1470" spans="1:24" s="169" customFormat="1" ht="13.8">
      <c r="A1470" s="192"/>
      <c r="B1470" s="164"/>
      <c r="C1470" s="183" t="str">
        <f t="shared" si="140"/>
        <v/>
      </c>
      <c r="D1470" s="182" t="str">
        <f t="shared" si="141"/>
        <v/>
      </c>
      <c r="E1470" s="192" t="s">
        <v>681</v>
      </c>
      <c r="F1470" s="192" t="s">
        <v>939</v>
      </c>
      <c r="G1470" s="192" t="s">
        <v>695</v>
      </c>
      <c r="H1470" s="210" t="s">
        <v>1440</v>
      </c>
      <c r="I1470" s="167">
        <v>258000000</v>
      </c>
      <c r="J1470" s="166"/>
      <c r="K1470" s="167">
        <v>149000000</v>
      </c>
      <c r="L1470" s="168">
        <v>109000000</v>
      </c>
      <c r="M1470" s="168">
        <f t="shared" si="142"/>
        <v>258000000</v>
      </c>
      <c r="N1470" s="168"/>
      <c r="O1470" s="167">
        <v>258000000</v>
      </c>
      <c r="P1470" s="167">
        <f t="shared" si="143"/>
        <v>258000000</v>
      </c>
      <c r="Q1470" s="167"/>
      <c r="S1470" s="201">
        <f t="shared" si="144"/>
        <v>258</v>
      </c>
      <c r="T1470" s="201">
        <f t="shared" si="145"/>
        <v>258</v>
      </c>
      <c r="U1470" s="201">
        <f t="shared" si="145"/>
        <v>0</v>
      </c>
      <c r="V1470" s="201">
        <f t="shared" si="145"/>
        <v>258</v>
      </c>
      <c r="W1470" s="201">
        <f t="shared" si="145"/>
        <v>258</v>
      </c>
      <c r="X1470" s="201">
        <f t="shared" si="145"/>
        <v>0</v>
      </c>
    </row>
    <row r="1471" spans="1:24" s="169" customFormat="1" ht="39.6">
      <c r="A1471" s="192" t="s">
        <v>1330</v>
      </c>
      <c r="B1471" s="165" t="s">
        <v>1331</v>
      </c>
      <c r="C1471" s="183" t="str">
        <f t="shared" si="140"/>
        <v>1114113</v>
      </c>
      <c r="D1471" s="182" t="str">
        <f t="shared" si="141"/>
        <v>-Ban chỉ đạo phân giới, cắm mổc tỉnh Kontum (Viêt nam - Cam Pu Chia)</v>
      </c>
      <c r="E1471" s="206"/>
      <c r="F1471" s="207"/>
      <c r="G1471" s="207"/>
      <c r="H1471" s="205"/>
      <c r="I1471" s="167">
        <v>33874205973</v>
      </c>
      <c r="J1471" s="167">
        <v>18819205973</v>
      </c>
      <c r="K1471" s="167">
        <v>15055000000</v>
      </c>
      <c r="L1471" s="171"/>
      <c r="M1471" s="168">
        <f t="shared" si="142"/>
        <v>33874205973</v>
      </c>
      <c r="N1471" s="171"/>
      <c r="O1471" s="167">
        <v>33874205973</v>
      </c>
      <c r="P1471" s="167">
        <f t="shared" si="143"/>
        <v>33874205973</v>
      </c>
      <c r="Q1471" s="167"/>
      <c r="S1471" s="201">
        <f t="shared" si="144"/>
        <v>33874.205972999996</v>
      </c>
      <c r="T1471" s="201">
        <f t="shared" si="145"/>
        <v>33874.205972999996</v>
      </c>
      <c r="U1471" s="201">
        <f t="shared" si="145"/>
        <v>0</v>
      </c>
      <c r="V1471" s="201">
        <f t="shared" si="145"/>
        <v>33874.205972999996</v>
      </c>
      <c r="W1471" s="201">
        <f t="shared" si="145"/>
        <v>33874.205972999996</v>
      </c>
      <c r="X1471" s="201">
        <f t="shared" si="145"/>
        <v>0</v>
      </c>
    </row>
    <row r="1472" spans="1:24" s="169" customFormat="1" ht="13.8">
      <c r="A1472" s="192" t="s">
        <v>1332</v>
      </c>
      <c r="B1472" s="170" t="s">
        <v>689</v>
      </c>
      <c r="C1472" s="183" t="str">
        <f t="shared" si="140"/>
        <v/>
      </c>
      <c r="D1472" s="182" t="str">
        <f t="shared" si="141"/>
        <v/>
      </c>
      <c r="E1472" s="206"/>
      <c r="F1472" s="207"/>
      <c r="G1472" s="207"/>
      <c r="H1472" s="205"/>
      <c r="I1472" s="167">
        <v>33874205973</v>
      </c>
      <c r="J1472" s="167">
        <v>18819205973</v>
      </c>
      <c r="K1472" s="167">
        <v>15055000000</v>
      </c>
      <c r="L1472" s="171"/>
      <c r="M1472" s="168">
        <f t="shared" si="142"/>
        <v>33874205973</v>
      </c>
      <c r="N1472" s="171"/>
      <c r="O1472" s="167">
        <v>33874205973</v>
      </c>
      <c r="P1472" s="167">
        <f t="shared" si="143"/>
        <v>33874205973</v>
      </c>
      <c r="Q1472" s="167"/>
      <c r="S1472" s="201">
        <f t="shared" si="144"/>
        <v>33874.205972999996</v>
      </c>
      <c r="T1472" s="201">
        <f t="shared" si="145"/>
        <v>33874.205972999996</v>
      </c>
      <c r="U1472" s="201">
        <f t="shared" si="145"/>
        <v>0</v>
      </c>
      <c r="V1472" s="201">
        <f t="shared" si="145"/>
        <v>33874.205972999996</v>
      </c>
      <c r="W1472" s="201">
        <f t="shared" si="145"/>
        <v>33874.205972999996</v>
      </c>
      <c r="X1472" s="201">
        <f t="shared" si="145"/>
        <v>0</v>
      </c>
    </row>
    <row r="1473" spans="1:24" s="169" customFormat="1" ht="13.8">
      <c r="A1473" s="192"/>
      <c r="B1473" s="170" t="s">
        <v>686</v>
      </c>
      <c r="C1473" s="183" t="str">
        <f t="shared" si="140"/>
        <v/>
      </c>
      <c r="D1473" s="182" t="str">
        <f t="shared" si="141"/>
        <v/>
      </c>
      <c r="E1473" s="206"/>
      <c r="F1473" s="207"/>
      <c r="G1473" s="207"/>
      <c r="H1473" s="205"/>
      <c r="I1473" s="167">
        <v>33874205973</v>
      </c>
      <c r="J1473" s="167">
        <v>18819205973</v>
      </c>
      <c r="K1473" s="167">
        <v>15055000000</v>
      </c>
      <c r="L1473" s="171"/>
      <c r="M1473" s="168">
        <f t="shared" si="142"/>
        <v>33874205973</v>
      </c>
      <c r="N1473" s="171"/>
      <c r="O1473" s="167">
        <v>33874205973</v>
      </c>
      <c r="P1473" s="167">
        <f t="shared" si="143"/>
        <v>33874205973</v>
      </c>
      <c r="Q1473" s="167"/>
      <c r="S1473" s="201">
        <f t="shared" si="144"/>
        <v>33874.205972999996</v>
      </c>
      <c r="T1473" s="201">
        <f t="shared" si="145"/>
        <v>33874.205972999996</v>
      </c>
      <c r="U1473" s="201">
        <f t="shared" si="145"/>
        <v>0</v>
      </c>
      <c r="V1473" s="201">
        <f t="shared" si="145"/>
        <v>33874.205972999996</v>
      </c>
      <c r="W1473" s="201">
        <f t="shared" si="145"/>
        <v>33874.205972999996</v>
      </c>
      <c r="X1473" s="201">
        <f t="shared" si="145"/>
        <v>0</v>
      </c>
    </row>
    <row r="1474" spans="1:24" s="169" customFormat="1" ht="13.8">
      <c r="A1474" s="192"/>
      <c r="B1474" s="164"/>
      <c r="C1474" s="183" t="str">
        <f t="shared" si="140"/>
        <v/>
      </c>
      <c r="D1474" s="182" t="str">
        <f t="shared" si="141"/>
        <v/>
      </c>
      <c r="E1474" s="192" t="s">
        <v>751</v>
      </c>
      <c r="F1474" s="192" t="s">
        <v>779</v>
      </c>
      <c r="G1474" s="192" t="s">
        <v>780</v>
      </c>
      <c r="H1474" s="210" t="s">
        <v>1440</v>
      </c>
      <c r="I1474" s="167">
        <v>33874205973</v>
      </c>
      <c r="J1474" s="167">
        <v>18819205973</v>
      </c>
      <c r="K1474" s="167">
        <v>15055000000</v>
      </c>
      <c r="L1474" s="171"/>
      <c r="M1474" s="168">
        <f t="shared" si="142"/>
        <v>33874205973</v>
      </c>
      <c r="N1474" s="171"/>
      <c r="O1474" s="167">
        <v>33874205973</v>
      </c>
      <c r="P1474" s="167">
        <f t="shared" si="143"/>
        <v>33874205973</v>
      </c>
      <c r="Q1474" s="167"/>
      <c r="S1474" s="201">
        <f t="shared" si="144"/>
        <v>33874.205972999996</v>
      </c>
      <c r="T1474" s="201">
        <f t="shared" si="145"/>
        <v>33874.205972999996</v>
      </c>
      <c r="U1474" s="201">
        <f t="shared" si="145"/>
        <v>0</v>
      </c>
      <c r="V1474" s="201">
        <f t="shared" si="145"/>
        <v>33874.205972999996</v>
      </c>
      <c r="W1474" s="201">
        <f t="shared" si="145"/>
        <v>33874.205972999996</v>
      </c>
      <c r="X1474" s="201">
        <f t="shared" si="145"/>
        <v>0</v>
      </c>
    </row>
    <row r="1475" spans="1:24" s="169" customFormat="1" ht="26.4">
      <c r="A1475" s="192" t="s">
        <v>1333</v>
      </c>
      <c r="B1475" s="165" t="s">
        <v>1334</v>
      </c>
      <c r="C1475" s="183" t="str">
        <f t="shared" si="140"/>
        <v>1114511</v>
      </c>
      <c r="D1475" s="182" t="str">
        <f t="shared" si="141"/>
        <v>-Bệnh viện Y dược cỗ truyỄn tỉnh Kontum</v>
      </c>
      <c r="E1475" s="206"/>
      <c r="F1475" s="207"/>
      <c r="G1475" s="207"/>
      <c r="H1475" s="205"/>
      <c r="I1475" s="167">
        <v>3210000000</v>
      </c>
      <c r="J1475" s="166"/>
      <c r="K1475" s="167">
        <v>3664950000</v>
      </c>
      <c r="L1475" s="168">
        <v>-454950000</v>
      </c>
      <c r="M1475" s="168">
        <f t="shared" si="142"/>
        <v>3210000000</v>
      </c>
      <c r="N1475" s="168"/>
      <c r="O1475" s="167">
        <v>3210000000</v>
      </c>
      <c r="P1475" s="167">
        <f t="shared" si="143"/>
        <v>3210000000</v>
      </c>
      <c r="Q1475" s="167"/>
      <c r="S1475" s="201">
        <f t="shared" si="144"/>
        <v>3210</v>
      </c>
      <c r="T1475" s="201">
        <f t="shared" si="145"/>
        <v>3210</v>
      </c>
      <c r="U1475" s="201">
        <f t="shared" si="145"/>
        <v>0</v>
      </c>
      <c r="V1475" s="201">
        <f t="shared" si="145"/>
        <v>3210</v>
      </c>
      <c r="W1475" s="201">
        <f t="shared" si="145"/>
        <v>3210</v>
      </c>
      <c r="X1475" s="201">
        <f t="shared" si="145"/>
        <v>0</v>
      </c>
    </row>
    <row r="1476" spans="1:24" s="169" customFormat="1" ht="13.8">
      <c r="A1476" s="192" t="s">
        <v>1335</v>
      </c>
      <c r="B1476" s="170" t="s">
        <v>689</v>
      </c>
      <c r="C1476" s="183" t="str">
        <f t="shared" si="140"/>
        <v/>
      </c>
      <c r="D1476" s="182" t="str">
        <f t="shared" si="141"/>
        <v/>
      </c>
      <c r="E1476" s="206"/>
      <c r="F1476" s="207"/>
      <c r="G1476" s="207"/>
      <c r="H1476" s="205"/>
      <c r="I1476" s="167">
        <v>3210000000</v>
      </c>
      <c r="J1476" s="166"/>
      <c r="K1476" s="167">
        <v>3664950000</v>
      </c>
      <c r="L1476" s="168">
        <v>-454950000</v>
      </c>
      <c r="M1476" s="168">
        <f t="shared" si="142"/>
        <v>3210000000</v>
      </c>
      <c r="N1476" s="168"/>
      <c r="O1476" s="167">
        <v>3210000000</v>
      </c>
      <c r="P1476" s="167">
        <f t="shared" si="143"/>
        <v>3210000000</v>
      </c>
      <c r="Q1476" s="167"/>
      <c r="S1476" s="201">
        <f t="shared" si="144"/>
        <v>3210</v>
      </c>
      <c r="T1476" s="201">
        <f t="shared" si="145"/>
        <v>3210</v>
      </c>
      <c r="U1476" s="201">
        <f t="shared" si="145"/>
        <v>0</v>
      </c>
      <c r="V1476" s="201">
        <f t="shared" si="145"/>
        <v>3210</v>
      </c>
      <c r="W1476" s="201">
        <f t="shared" si="145"/>
        <v>3210</v>
      </c>
      <c r="X1476" s="201">
        <f t="shared" si="145"/>
        <v>0</v>
      </c>
    </row>
    <row r="1477" spans="1:24" s="169" customFormat="1" ht="13.8">
      <c r="A1477" s="192"/>
      <c r="B1477" s="170" t="s">
        <v>690</v>
      </c>
      <c r="C1477" s="183" t="str">
        <f t="shared" si="140"/>
        <v/>
      </c>
      <c r="D1477" s="182" t="str">
        <f t="shared" si="141"/>
        <v/>
      </c>
      <c r="E1477" s="206"/>
      <c r="F1477" s="207"/>
      <c r="G1477" s="207"/>
      <c r="H1477" s="205"/>
      <c r="I1477" s="167">
        <v>2755050000</v>
      </c>
      <c r="J1477" s="166"/>
      <c r="K1477" s="167">
        <v>3210000000</v>
      </c>
      <c r="L1477" s="168">
        <v>-454950000</v>
      </c>
      <c r="M1477" s="168">
        <f t="shared" si="142"/>
        <v>2755050000</v>
      </c>
      <c r="N1477" s="168"/>
      <c r="O1477" s="167">
        <v>2755050000</v>
      </c>
      <c r="P1477" s="167">
        <f t="shared" si="143"/>
        <v>2755050000</v>
      </c>
      <c r="Q1477" s="167"/>
      <c r="S1477" s="201">
        <f t="shared" si="144"/>
        <v>2755.05</v>
      </c>
      <c r="T1477" s="201">
        <f t="shared" si="145"/>
        <v>2755.05</v>
      </c>
      <c r="U1477" s="201">
        <f t="shared" si="145"/>
        <v>0</v>
      </c>
      <c r="V1477" s="201">
        <f t="shared" si="145"/>
        <v>2755.05</v>
      </c>
      <c r="W1477" s="201">
        <f t="shared" si="145"/>
        <v>2755.05</v>
      </c>
      <c r="X1477" s="201">
        <f t="shared" si="145"/>
        <v>0</v>
      </c>
    </row>
    <row r="1478" spans="1:24" s="169" customFormat="1" ht="13.8">
      <c r="A1478" s="192"/>
      <c r="B1478" s="164"/>
      <c r="C1478" s="183" t="str">
        <f t="shared" si="140"/>
        <v/>
      </c>
      <c r="D1478" s="182" t="str">
        <f t="shared" si="141"/>
        <v/>
      </c>
      <c r="E1478" s="192" t="s">
        <v>666</v>
      </c>
      <c r="F1478" s="192" t="s">
        <v>705</v>
      </c>
      <c r="G1478" s="192" t="s">
        <v>976</v>
      </c>
      <c r="H1478" s="210" t="s">
        <v>1440</v>
      </c>
      <c r="I1478" s="167">
        <v>2755050000</v>
      </c>
      <c r="J1478" s="166"/>
      <c r="K1478" s="167">
        <v>3210000000</v>
      </c>
      <c r="L1478" s="168">
        <v>-454950000</v>
      </c>
      <c r="M1478" s="168">
        <f t="shared" si="142"/>
        <v>2755050000</v>
      </c>
      <c r="N1478" s="168"/>
      <c r="O1478" s="167">
        <v>2755050000</v>
      </c>
      <c r="P1478" s="167">
        <f t="shared" si="143"/>
        <v>2755050000</v>
      </c>
      <c r="Q1478" s="167"/>
      <c r="S1478" s="201">
        <f t="shared" si="144"/>
        <v>2755.05</v>
      </c>
      <c r="T1478" s="201">
        <f t="shared" si="145"/>
        <v>2755.05</v>
      </c>
      <c r="U1478" s="201">
        <f t="shared" si="145"/>
        <v>0</v>
      </c>
      <c r="V1478" s="201">
        <f t="shared" si="145"/>
        <v>2755.05</v>
      </c>
      <c r="W1478" s="201">
        <f t="shared" si="145"/>
        <v>2755.05</v>
      </c>
      <c r="X1478" s="201">
        <f t="shared" si="145"/>
        <v>0</v>
      </c>
    </row>
    <row r="1479" spans="1:24" s="169" customFormat="1" ht="13.8">
      <c r="A1479" s="192"/>
      <c r="B1479" s="170" t="s">
        <v>686</v>
      </c>
      <c r="C1479" s="183" t="str">
        <f t="shared" si="140"/>
        <v/>
      </c>
      <c r="D1479" s="182" t="str">
        <f t="shared" si="141"/>
        <v/>
      </c>
      <c r="E1479" s="206"/>
      <c r="F1479" s="207"/>
      <c r="G1479" s="207"/>
      <c r="H1479" s="205"/>
      <c r="I1479" s="167">
        <v>454950000</v>
      </c>
      <c r="J1479" s="166"/>
      <c r="K1479" s="167">
        <v>454950000</v>
      </c>
      <c r="L1479" s="171"/>
      <c r="M1479" s="168">
        <f t="shared" si="142"/>
        <v>454950000</v>
      </c>
      <c r="N1479" s="171"/>
      <c r="O1479" s="167">
        <v>454950000</v>
      </c>
      <c r="P1479" s="167">
        <f t="shared" si="143"/>
        <v>454950000</v>
      </c>
      <c r="Q1479" s="167"/>
      <c r="S1479" s="201">
        <f t="shared" si="144"/>
        <v>454.95</v>
      </c>
      <c r="T1479" s="201">
        <f t="shared" si="145"/>
        <v>454.95</v>
      </c>
      <c r="U1479" s="201">
        <f t="shared" si="145"/>
        <v>0</v>
      </c>
      <c r="V1479" s="201">
        <f t="shared" si="145"/>
        <v>454.95</v>
      </c>
      <c r="W1479" s="201">
        <f t="shared" si="145"/>
        <v>454.95</v>
      </c>
      <c r="X1479" s="201">
        <f t="shared" si="145"/>
        <v>0</v>
      </c>
    </row>
    <row r="1480" spans="1:24" s="169" customFormat="1" ht="13.8">
      <c r="A1480" s="192"/>
      <c r="B1480" s="164"/>
      <c r="C1480" s="183" t="str">
        <f t="shared" si="140"/>
        <v/>
      </c>
      <c r="D1480" s="182" t="str">
        <f t="shared" si="141"/>
        <v/>
      </c>
      <c r="E1480" s="192" t="s">
        <v>681</v>
      </c>
      <c r="F1480" s="192" t="s">
        <v>705</v>
      </c>
      <c r="G1480" s="192" t="s">
        <v>976</v>
      </c>
      <c r="H1480" s="210" t="s">
        <v>1440</v>
      </c>
      <c r="I1480" s="167">
        <v>454950000</v>
      </c>
      <c r="J1480" s="166"/>
      <c r="K1480" s="167">
        <v>454950000</v>
      </c>
      <c r="L1480" s="171"/>
      <c r="M1480" s="168">
        <f t="shared" si="142"/>
        <v>454950000</v>
      </c>
      <c r="N1480" s="171"/>
      <c r="O1480" s="167">
        <v>454950000</v>
      </c>
      <c r="P1480" s="167">
        <f t="shared" si="143"/>
        <v>454950000</v>
      </c>
      <c r="Q1480" s="167"/>
      <c r="S1480" s="201">
        <f t="shared" si="144"/>
        <v>454.95</v>
      </c>
      <c r="T1480" s="201">
        <f t="shared" si="145"/>
        <v>454.95</v>
      </c>
      <c r="U1480" s="201">
        <f t="shared" si="145"/>
        <v>0</v>
      </c>
      <c r="V1480" s="201">
        <f t="shared" si="145"/>
        <v>454.95</v>
      </c>
      <c r="W1480" s="201">
        <f t="shared" si="145"/>
        <v>454.95</v>
      </c>
      <c r="X1480" s="201">
        <f t="shared" si="145"/>
        <v>0</v>
      </c>
    </row>
    <row r="1481" spans="1:24" s="169" customFormat="1" ht="27.6">
      <c r="A1481" s="192" t="s">
        <v>1336</v>
      </c>
      <c r="B1481" s="165" t="s">
        <v>1337</v>
      </c>
      <c r="C1481" s="183" t="str">
        <f t="shared" si="140"/>
        <v>1115051</v>
      </c>
      <c r="D1481" s="182" t="str">
        <f t="shared" si="141"/>
        <v>-Hội liên lạc người Việt nam ờ nước ngoài tỉnh Kontum</v>
      </c>
      <c r="E1481" s="206"/>
      <c r="F1481" s="207"/>
      <c r="G1481" s="207"/>
      <c r="H1481" s="205"/>
      <c r="I1481" s="167">
        <v>96000000</v>
      </c>
      <c r="J1481" s="166"/>
      <c r="K1481" s="167">
        <v>96000000</v>
      </c>
      <c r="L1481" s="171"/>
      <c r="M1481" s="168">
        <f t="shared" si="142"/>
        <v>96000000</v>
      </c>
      <c r="N1481" s="171"/>
      <c r="O1481" s="167">
        <v>96000000</v>
      </c>
      <c r="P1481" s="167">
        <f t="shared" si="143"/>
        <v>96000000</v>
      </c>
      <c r="Q1481" s="167"/>
      <c r="S1481" s="201">
        <f t="shared" si="144"/>
        <v>96</v>
      </c>
      <c r="T1481" s="201">
        <f t="shared" si="145"/>
        <v>96</v>
      </c>
      <c r="U1481" s="201">
        <f t="shared" si="145"/>
        <v>0</v>
      </c>
      <c r="V1481" s="201">
        <f t="shared" si="145"/>
        <v>96</v>
      </c>
      <c r="W1481" s="201">
        <f t="shared" si="145"/>
        <v>96</v>
      </c>
      <c r="X1481" s="201">
        <f t="shared" si="145"/>
        <v>0</v>
      </c>
    </row>
    <row r="1482" spans="1:24" s="169" customFormat="1" ht="13.8">
      <c r="A1482" s="192" t="s">
        <v>1338</v>
      </c>
      <c r="B1482" s="170" t="s">
        <v>689</v>
      </c>
      <c r="C1482" s="183" t="str">
        <f t="shared" si="140"/>
        <v/>
      </c>
      <c r="D1482" s="182" t="str">
        <f t="shared" si="141"/>
        <v/>
      </c>
      <c r="E1482" s="206"/>
      <c r="F1482" s="207"/>
      <c r="G1482" s="207"/>
      <c r="H1482" s="205"/>
      <c r="I1482" s="167">
        <v>96000000</v>
      </c>
      <c r="J1482" s="166"/>
      <c r="K1482" s="167">
        <v>96000000</v>
      </c>
      <c r="L1482" s="171"/>
      <c r="M1482" s="168">
        <f t="shared" si="142"/>
        <v>96000000</v>
      </c>
      <c r="N1482" s="171"/>
      <c r="O1482" s="167">
        <v>96000000</v>
      </c>
      <c r="P1482" s="167">
        <f t="shared" si="143"/>
        <v>96000000</v>
      </c>
      <c r="Q1482" s="167"/>
      <c r="S1482" s="201">
        <f t="shared" si="144"/>
        <v>96</v>
      </c>
      <c r="T1482" s="201">
        <f t="shared" si="145"/>
        <v>96</v>
      </c>
      <c r="U1482" s="201">
        <f t="shared" si="145"/>
        <v>0</v>
      </c>
      <c r="V1482" s="201">
        <f t="shared" si="145"/>
        <v>96</v>
      </c>
      <c r="W1482" s="201">
        <f t="shared" si="145"/>
        <v>96</v>
      </c>
      <c r="X1482" s="201">
        <f t="shared" si="145"/>
        <v>0</v>
      </c>
    </row>
    <row r="1483" spans="1:24" s="169" customFormat="1" ht="13.8">
      <c r="A1483" s="192"/>
      <c r="B1483" s="170" t="s">
        <v>686</v>
      </c>
      <c r="C1483" s="183" t="str">
        <f t="shared" si="140"/>
        <v/>
      </c>
      <c r="D1483" s="182" t="str">
        <f t="shared" si="141"/>
        <v/>
      </c>
      <c r="E1483" s="206"/>
      <c r="F1483" s="207"/>
      <c r="G1483" s="207"/>
      <c r="H1483" s="205"/>
      <c r="I1483" s="167">
        <v>96000000</v>
      </c>
      <c r="J1483" s="166"/>
      <c r="K1483" s="167">
        <v>96000000</v>
      </c>
      <c r="L1483" s="171"/>
      <c r="M1483" s="168">
        <f t="shared" si="142"/>
        <v>96000000</v>
      </c>
      <c r="N1483" s="171"/>
      <c r="O1483" s="167">
        <v>96000000</v>
      </c>
      <c r="P1483" s="167">
        <f t="shared" si="143"/>
        <v>96000000</v>
      </c>
      <c r="Q1483" s="167"/>
      <c r="S1483" s="201">
        <f t="shared" si="144"/>
        <v>96</v>
      </c>
      <c r="T1483" s="201">
        <f t="shared" si="145"/>
        <v>96</v>
      </c>
      <c r="U1483" s="201">
        <f t="shared" si="145"/>
        <v>0</v>
      </c>
      <c r="V1483" s="201">
        <f t="shared" si="145"/>
        <v>96</v>
      </c>
      <c r="W1483" s="201">
        <f t="shared" si="145"/>
        <v>96</v>
      </c>
      <c r="X1483" s="201">
        <f t="shared" si="145"/>
        <v>0</v>
      </c>
    </row>
    <row r="1484" spans="1:24" s="169" customFormat="1" ht="13.8">
      <c r="A1484" s="192"/>
      <c r="B1484" s="164"/>
      <c r="C1484" s="183" t="str">
        <f t="shared" si="140"/>
        <v/>
      </c>
      <c r="D1484" s="182" t="str">
        <f t="shared" si="141"/>
        <v/>
      </c>
      <c r="E1484" s="192" t="s">
        <v>681</v>
      </c>
      <c r="F1484" s="192" t="s">
        <v>760</v>
      </c>
      <c r="G1484" s="192" t="s">
        <v>906</v>
      </c>
      <c r="H1484" s="210" t="s">
        <v>1440</v>
      </c>
      <c r="I1484" s="167">
        <v>96000000</v>
      </c>
      <c r="J1484" s="166"/>
      <c r="K1484" s="167">
        <v>96000000</v>
      </c>
      <c r="L1484" s="171"/>
      <c r="M1484" s="168">
        <f t="shared" si="142"/>
        <v>96000000</v>
      </c>
      <c r="N1484" s="171"/>
      <c r="O1484" s="167">
        <v>96000000</v>
      </c>
      <c r="P1484" s="167">
        <f t="shared" si="143"/>
        <v>96000000</v>
      </c>
      <c r="Q1484" s="167"/>
      <c r="S1484" s="201">
        <f t="shared" si="144"/>
        <v>96</v>
      </c>
      <c r="T1484" s="201">
        <f t="shared" si="145"/>
        <v>96</v>
      </c>
      <c r="U1484" s="201">
        <f t="shared" si="145"/>
        <v>0</v>
      </c>
      <c r="V1484" s="201">
        <f t="shared" si="145"/>
        <v>96</v>
      </c>
      <c r="W1484" s="201">
        <f t="shared" si="145"/>
        <v>96</v>
      </c>
      <c r="X1484" s="201">
        <f t="shared" si="145"/>
        <v>0</v>
      </c>
    </row>
    <row r="1485" spans="1:24" s="169" customFormat="1" ht="39.6">
      <c r="A1485" s="192" t="s">
        <v>1339</v>
      </c>
      <c r="B1485" s="165" t="s">
        <v>1340</v>
      </c>
      <c r="C1485" s="183" t="str">
        <f t="shared" si="140"/>
        <v>1115161</v>
      </c>
      <c r="D1485" s="182" t="str">
        <f t="shared" si="141"/>
        <v xml:space="preserve"> -Ban Quản lý mua sắm thiẽt b trường học sờ giáo dục đào tạo Kon Tum</v>
      </c>
      <c r="E1485" s="206"/>
      <c r="F1485" s="207"/>
      <c r="G1485" s="207"/>
      <c r="H1485" s="205"/>
      <c r="I1485" s="167">
        <v>25040000000</v>
      </c>
      <c r="J1485" s="166"/>
      <c r="K1485" s="167">
        <v>5775000000</v>
      </c>
      <c r="L1485" s="168">
        <v>19265000000</v>
      </c>
      <c r="M1485" s="168">
        <f t="shared" si="142"/>
        <v>25040000000</v>
      </c>
      <c r="N1485" s="168"/>
      <c r="O1485" s="167">
        <v>24072585000</v>
      </c>
      <c r="P1485" s="167">
        <f t="shared" si="143"/>
        <v>24072585000</v>
      </c>
      <c r="Q1485" s="167"/>
      <c r="S1485" s="201">
        <f t="shared" si="144"/>
        <v>25040</v>
      </c>
      <c r="T1485" s="201">
        <f t="shared" si="145"/>
        <v>25040</v>
      </c>
      <c r="U1485" s="201">
        <f t="shared" si="145"/>
        <v>0</v>
      </c>
      <c r="V1485" s="201">
        <f t="shared" si="145"/>
        <v>24072.584999999999</v>
      </c>
      <c r="W1485" s="201">
        <f t="shared" si="145"/>
        <v>24072.584999999999</v>
      </c>
      <c r="X1485" s="201">
        <f t="shared" si="145"/>
        <v>0</v>
      </c>
    </row>
    <row r="1486" spans="1:24" s="169" customFormat="1" ht="13.8">
      <c r="A1486" s="192" t="s">
        <v>1341</v>
      </c>
      <c r="B1486" s="170" t="s">
        <v>689</v>
      </c>
      <c r="C1486" s="183" t="str">
        <f t="shared" si="140"/>
        <v/>
      </c>
      <c r="D1486" s="182" t="str">
        <f t="shared" si="141"/>
        <v/>
      </c>
      <c r="E1486" s="206"/>
      <c r="F1486" s="207"/>
      <c r="G1486" s="207"/>
      <c r="H1486" s="205"/>
      <c r="I1486" s="167">
        <v>13965000000</v>
      </c>
      <c r="J1486" s="166"/>
      <c r="K1486" s="167">
        <v>5775000000</v>
      </c>
      <c r="L1486" s="168">
        <v>8190000000</v>
      </c>
      <c r="M1486" s="168">
        <f t="shared" si="142"/>
        <v>13965000000</v>
      </c>
      <c r="N1486" s="168"/>
      <c r="O1486" s="167">
        <v>13959254000</v>
      </c>
      <c r="P1486" s="167">
        <f t="shared" si="143"/>
        <v>13959254000</v>
      </c>
      <c r="Q1486" s="167"/>
      <c r="S1486" s="201">
        <f t="shared" si="144"/>
        <v>13965</v>
      </c>
      <c r="T1486" s="201">
        <f t="shared" si="145"/>
        <v>13965</v>
      </c>
      <c r="U1486" s="201">
        <f t="shared" si="145"/>
        <v>0</v>
      </c>
      <c r="V1486" s="201">
        <f t="shared" si="145"/>
        <v>13959.254000000001</v>
      </c>
      <c r="W1486" s="201">
        <f t="shared" si="145"/>
        <v>13959.254000000001</v>
      </c>
      <c r="X1486" s="201">
        <f t="shared" si="145"/>
        <v>0</v>
      </c>
    </row>
    <row r="1487" spans="1:24" s="169" customFormat="1" ht="13.8">
      <c r="A1487" s="192"/>
      <c r="B1487" s="173"/>
      <c r="C1487" s="183" t="str">
        <f t="shared" si="140"/>
        <v/>
      </c>
      <c r="D1487" s="182" t="str">
        <f t="shared" si="141"/>
        <v/>
      </c>
      <c r="E1487" s="192"/>
      <c r="F1487" s="192"/>
      <c r="G1487" s="192"/>
      <c r="H1487" s="210"/>
      <c r="I1487" s="174"/>
      <c r="J1487" s="174"/>
      <c r="K1487" s="174"/>
      <c r="L1487" s="175"/>
      <c r="M1487" s="168">
        <f t="shared" si="142"/>
        <v>0</v>
      </c>
      <c r="N1487" s="175"/>
      <c r="O1487" s="174"/>
      <c r="P1487" s="167">
        <f t="shared" si="143"/>
        <v>0</v>
      </c>
      <c r="Q1487" s="174"/>
      <c r="S1487" s="201">
        <f t="shared" si="144"/>
        <v>0</v>
      </c>
      <c r="T1487" s="201">
        <f t="shared" si="145"/>
        <v>0</v>
      </c>
      <c r="U1487" s="201">
        <f t="shared" si="145"/>
        <v>0</v>
      </c>
      <c r="V1487" s="201">
        <f t="shared" si="145"/>
        <v>0</v>
      </c>
      <c r="W1487" s="201">
        <f t="shared" si="145"/>
        <v>0</v>
      </c>
      <c r="X1487" s="201">
        <f t="shared" si="145"/>
        <v>0</v>
      </c>
    </row>
    <row r="1488" spans="1:24" s="169" customFormat="1" ht="13.8">
      <c r="A1488" s="192"/>
      <c r="B1488" s="170" t="s">
        <v>686</v>
      </c>
      <c r="C1488" s="183" t="str">
        <f t="shared" si="140"/>
        <v/>
      </c>
      <c r="D1488" s="182" t="str">
        <f t="shared" si="141"/>
        <v/>
      </c>
      <c r="E1488" s="206"/>
      <c r="F1488" s="207"/>
      <c r="G1488" s="207"/>
      <c r="H1488" s="205"/>
      <c r="I1488" s="167">
        <v>13965000000</v>
      </c>
      <c r="J1488" s="166"/>
      <c r="K1488" s="167">
        <v>5775000000</v>
      </c>
      <c r="L1488" s="168">
        <v>8190000000</v>
      </c>
      <c r="M1488" s="168">
        <f t="shared" si="142"/>
        <v>13965000000</v>
      </c>
      <c r="N1488" s="168"/>
      <c r="O1488" s="167">
        <v>13959254000</v>
      </c>
      <c r="P1488" s="167">
        <f t="shared" si="143"/>
        <v>13959254000</v>
      </c>
      <c r="Q1488" s="167"/>
      <c r="S1488" s="201">
        <f t="shared" si="144"/>
        <v>13965</v>
      </c>
      <c r="T1488" s="201">
        <f t="shared" si="145"/>
        <v>13965</v>
      </c>
      <c r="U1488" s="201">
        <f t="shared" si="145"/>
        <v>0</v>
      </c>
      <c r="V1488" s="201">
        <f t="shared" si="145"/>
        <v>13959.254000000001</v>
      </c>
      <c r="W1488" s="201">
        <f t="shared" si="145"/>
        <v>13959.254000000001</v>
      </c>
      <c r="X1488" s="201">
        <f t="shared" si="145"/>
        <v>0</v>
      </c>
    </row>
    <row r="1489" spans="1:24" s="169" customFormat="1" ht="13.8">
      <c r="A1489" s="193"/>
      <c r="B1489" s="187"/>
      <c r="C1489" s="183" t="str">
        <f t="shared" si="140"/>
        <v/>
      </c>
      <c r="D1489" s="182" t="str">
        <f t="shared" si="141"/>
        <v/>
      </c>
      <c r="E1489" s="192" t="s">
        <v>681</v>
      </c>
      <c r="F1489" s="192" t="s">
        <v>677</v>
      </c>
      <c r="G1489" s="192" t="s">
        <v>691</v>
      </c>
      <c r="H1489" s="210" t="s">
        <v>1440</v>
      </c>
      <c r="I1489" s="167">
        <v>275000000</v>
      </c>
      <c r="J1489" s="166"/>
      <c r="K1489" s="167">
        <v>275000000</v>
      </c>
      <c r="L1489" s="171"/>
      <c r="M1489" s="168">
        <f t="shared" si="142"/>
        <v>275000000</v>
      </c>
      <c r="N1489" s="171"/>
      <c r="O1489" s="167">
        <v>273020000</v>
      </c>
      <c r="P1489" s="167">
        <f t="shared" si="143"/>
        <v>273020000</v>
      </c>
      <c r="Q1489" s="167"/>
      <c r="S1489" s="201">
        <f t="shared" si="144"/>
        <v>275</v>
      </c>
      <c r="T1489" s="201">
        <f t="shared" si="145"/>
        <v>275</v>
      </c>
      <c r="U1489" s="201">
        <f t="shared" si="145"/>
        <v>0</v>
      </c>
      <c r="V1489" s="201">
        <f t="shared" si="145"/>
        <v>273.02</v>
      </c>
      <c r="W1489" s="201">
        <f t="shared" si="145"/>
        <v>273.02</v>
      </c>
      <c r="X1489" s="201">
        <f t="shared" si="145"/>
        <v>0</v>
      </c>
    </row>
    <row r="1490" spans="1:24" s="169" customFormat="1" ht="13.8">
      <c r="A1490" s="194"/>
      <c r="B1490" s="184"/>
      <c r="C1490" s="183" t="str">
        <f t="shared" si="140"/>
        <v/>
      </c>
      <c r="D1490" s="182" t="str">
        <f t="shared" si="141"/>
        <v/>
      </c>
      <c r="E1490" s="192" t="s">
        <v>681</v>
      </c>
      <c r="F1490" s="192" t="s">
        <v>677</v>
      </c>
      <c r="G1490" s="192" t="s">
        <v>890</v>
      </c>
      <c r="H1490" s="210" t="s">
        <v>1440</v>
      </c>
      <c r="I1490" s="167">
        <v>3361000000</v>
      </c>
      <c r="J1490" s="166"/>
      <c r="K1490" s="167">
        <v>1500000000</v>
      </c>
      <c r="L1490" s="168">
        <v>1861000000</v>
      </c>
      <c r="M1490" s="168">
        <f t="shared" si="142"/>
        <v>3361000000</v>
      </c>
      <c r="N1490" s="168"/>
      <c r="O1490" s="167">
        <v>3361000000</v>
      </c>
      <c r="P1490" s="167">
        <f t="shared" si="143"/>
        <v>3361000000</v>
      </c>
      <c r="Q1490" s="167"/>
      <c r="S1490" s="201">
        <f t="shared" si="144"/>
        <v>3361</v>
      </c>
      <c r="T1490" s="201">
        <f t="shared" si="145"/>
        <v>3361</v>
      </c>
      <c r="U1490" s="201">
        <f t="shared" si="145"/>
        <v>0</v>
      </c>
      <c r="V1490" s="201">
        <f t="shared" si="145"/>
        <v>3361</v>
      </c>
      <c r="W1490" s="201">
        <f t="shared" si="145"/>
        <v>3361</v>
      </c>
      <c r="X1490" s="201">
        <f t="shared" si="145"/>
        <v>0</v>
      </c>
    </row>
    <row r="1491" spans="1:24" s="169" customFormat="1" ht="13.8">
      <c r="A1491" s="194"/>
      <c r="B1491" s="184"/>
      <c r="C1491" s="183" t="str">
        <f t="shared" si="140"/>
        <v/>
      </c>
      <c r="D1491" s="182" t="str">
        <f t="shared" si="141"/>
        <v/>
      </c>
      <c r="E1491" s="192" t="s">
        <v>681</v>
      </c>
      <c r="F1491" s="192" t="s">
        <v>677</v>
      </c>
      <c r="G1491" s="192" t="s">
        <v>685</v>
      </c>
      <c r="H1491" s="210" t="s">
        <v>1440</v>
      </c>
      <c r="I1491" s="167">
        <v>4197000000</v>
      </c>
      <c r="J1491" s="166"/>
      <c r="K1491" s="167">
        <v>2000000000</v>
      </c>
      <c r="L1491" s="168">
        <v>2197000000</v>
      </c>
      <c r="M1491" s="168">
        <f t="shared" si="142"/>
        <v>4197000000</v>
      </c>
      <c r="N1491" s="168"/>
      <c r="O1491" s="167">
        <v>4197000000</v>
      </c>
      <c r="P1491" s="167">
        <f t="shared" si="143"/>
        <v>4197000000</v>
      </c>
      <c r="Q1491" s="167"/>
      <c r="S1491" s="201">
        <f t="shared" si="144"/>
        <v>4197</v>
      </c>
      <c r="T1491" s="201">
        <f t="shared" si="145"/>
        <v>4197</v>
      </c>
      <c r="U1491" s="201">
        <f t="shared" si="145"/>
        <v>0</v>
      </c>
      <c r="V1491" s="201">
        <f t="shared" si="145"/>
        <v>4197</v>
      </c>
      <c r="W1491" s="201">
        <f t="shared" si="145"/>
        <v>4197</v>
      </c>
      <c r="X1491" s="201">
        <f t="shared" si="145"/>
        <v>0</v>
      </c>
    </row>
    <row r="1492" spans="1:24" s="169" customFormat="1" ht="13.8">
      <c r="A1492" s="195"/>
      <c r="B1492" s="188"/>
      <c r="C1492" s="183" t="str">
        <f t="shared" si="140"/>
        <v/>
      </c>
      <c r="D1492" s="182" t="str">
        <f t="shared" si="141"/>
        <v/>
      </c>
      <c r="E1492" s="192" t="s">
        <v>681</v>
      </c>
      <c r="F1492" s="192" t="s">
        <v>677</v>
      </c>
      <c r="G1492" s="192" t="s">
        <v>678</v>
      </c>
      <c r="H1492" s="210" t="s">
        <v>1440</v>
      </c>
      <c r="I1492" s="167">
        <v>6132000000</v>
      </c>
      <c r="J1492" s="166"/>
      <c r="K1492" s="167">
        <v>2000000000</v>
      </c>
      <c r="L1492" s="168">
        <v>4132000000</v>
      </c>
      <c r="M1492" s="168">
        <f t="shared" si="142"/>
        <v>6132000000</v>
      </c>
      <c r="N1492" s="168"/>
      <c r="O1492" s="167">
        <v>6128234000</v>
      </c>
      <c r="P1492" s="167">
        <f t="shared" si="143"/>
        <v>6128234000</v>
      </c>
      <c r="Q1492" s="167"/>
      <c r="S1492" s="201">
        <f t="shared" si="144"/>
        <v>6132</v>
      </c>
      <c r="T1492" s="201">
        <f t="shared" si="145"/>
        <v>6132</v>
      </c>
      <c r="U1492" s="201">
        <f t="shared" si="145"/>
        <v>0</v>
      </c>
      <c r="V1492" s="201">
        <f t="shared" si="145"/>
        <v>6128.2340000000004</v>
      </c>
      <c r="W1492" s="201">
        <f t="shared" si="145"/>
        <v>6128.2340000000004</v>
      </c>
      <c r="X1492" s="201">
        <f t="shared" si="145"/>
        <v>0</v>
      </c>
    </row>
    <row r="1493" spans="1:24" s="169" customFormat="1" ht="13.8">
      <c r="A1493" s="192" t="s">
        <v>1342</v>
      </c>
      <c r="B1493" s="170" t="s">
        <v>701</v>
      </c>
      <c r="C1493" s="183" t="str">
        <f t="shared" si="140"/>
        <v/>
      </c>
      <c r="D1493" s="182" t="str">
        <f t="shared" si="141"/>
        <v/>
      </c>
      <c r="E1493" s="206"/>
      <c r="F1493" s="207"/>
      <c r="G1493" s="207"/>
      <c r="H1493" s="205"/>
      <c r="I1493" s="167">
        <v>11075000000</v>
      </c>
      <c r="J1493" s="166"/>
      <c r="K1493" s="166"/>
      <c r="L1493" s="168">
        <v>11075000000</v>
      </c>
      <c r="M1493" s="168">
        <f t="shared" si="142"/>
        <v>11075000000</v>
      </c>
      <c r="N1493" s="168"/>
      <c r="O1493" s="167">
        <v>10113331000</v>
      </c>
      <c r="P1493" s="167">
        <f t="shared" si="143"/>
        <v>10113331000</v>
      </c>
      <c r="Q1493" s="167"/>
      <c r="S1493" s="201">
        <f t="shared" si="144"/>
        <v>11075</v>
      </c>
      <c r="T1493" s="201">
        <f t="shared" si="145"/>
        <v>11075</v>
      </c>
      <c r="U1493" s="201">
        <f t="shared" si="145"/>
        <v>0</v>
      </c>
      <c r="V1493" s="201">
        <f t="shared" si="145"/>
        <v>10113.331</v>
      </c>
      <c r="W1493" s="201">
        <f t="shared" si="145"/>
        <v>10113.331</v>
      </c>
      <c r="X1493" s="201">
        <f t="shared" si="145"/>
        <v>0</v>
      </c>
    </row>
    <row r="1494" spans="1:24" s="169" customFormat="1" ht="13.8">
      <c r="A1494" s="192"/>
      <c r="B1494" s="164"/>
      <c r="C1494" s="183" t="str">
        <f t="shared" ref="C1494:C1557" si="146">IF(B1494&lt;&gt;"",IF(AND(LEFT(B1494,1)&gt;="0",LEFT(B1494,1)&lt;="9"),LEFT(B1494,7),""),"")</f>
        <v/>
      </c>
      <c r="D1494" s="182" t="str">
        <f t="shared" si="141"/>
        <v/>
      </c>
      <c r="E1494" s="192" t="s">
        <v>681</v>
      </c>
      <c r="F1494" s="192" t="s">
        <v>677</v>
      </c>
      <c r="G1494" s="192" t="s">
        <v>678</v>
      </c>
      <c r="H1494" s="210" t="s">
        <v>1458</v>
      </c>
      <c r="I1494" s="167">
        <v>11075000000</v>
      </c>
      <c r="J1494" s="166"/>
      <c r="K1494" s="166"/>
      <c r="L1494" s="168">
        <v>11075000000</v>
      </c>
      <c r="M1494" s="168">
        <f t="shared" si="142"/>
        <v>11075000000</v>
      </c>
      <c r="N1494" s="168"/>
      <c r="O1494" s="167">
        <v>10113331000</v>
      </c>
      <c r="P1494" s="167">
        <f t="shared" si="143"/>
        <v>10113331000</v>
      </c>
      <c r="Q1494" s="167"/>
      <c r="S1494" s="201">
        <f t="shared" si="144"/>
        <v>11075</v>
      </c>
      <c r="T1494" s="201">
        <f t="shared" si="145"/>
        <v>11075</v>
      </c>
      <c r="U1494" s="201">
        <f t="shared" si="145"/>
        <v>0</v>
      </c>
      <c r="V1494" s="201">
        <f t="shared" si="145"/>
        <v>10113.331</v>
      </c>
      <c r="W1494" s="201">
        <f t="shared" si="145"/>
        <v>10113.331</v>
      </c>
      <c r="X1494" s="201">
        <f t="shared" si="145"/>
        <v>0</v>
      </c>
    </row>
    <row r="1495" spans="1:24" s="169" customFormat="1" ht="26.4">
      <c r="A1495" s="192" t="s">
        <v>1343</v>
      </c>
      <c r="B1495" s="165" t="s">
        <v>1344</v>
      </c>
      <c r="C1495" s="183" t="str">
        <f t="shared" si="146"/>
        <v>1115609</v>
      </c>
      <c r="D1495" s="182" t="str">
        <f t="shared" ref="D1495:D1558" si="147">IF(C1495&lt;&gt;"",RIGHT(B1495,LEN(B1495)-7),"")</f>
        <v>-Dự ân Bạn hữu trè em tỉnh Kontum</v>
      </c>
      <c r="E1495" s="206"/>
      <c r="F1495" s="207"/>
      <c r="G1495" s="207"/>
      <c r="H1495" s="205"/>
      <c r="I1495" s="167">
        <v>382000000</v>
      </c>
      <c r="J1495" s="166"/>
      <c r="K1495" s="167">
        <v>382000000</v>
      </c>
      <c r="L1495" s="171"/>
      <c r="M1495" s="168">
        <f t="shared" ref="M1495:M1558" si="148">I1495-N1495</f>
        <v>382000000</v>
      </c>
      <c r="N1495" s="171"/>
      <c r="O1495" s="167">
        <v>375535674</v>
      </c>
      <c r="P1495" s="167">
        <f t="shared" ref="P1495:P1558" si="149">O1495-Q1495</f>
        <v>375535674</v>
      </c>
      <c r="Q1495" s="167"/>
      <c r="S1495" s="201">
        <f t="shared" ref="S1495:S1558" si="150">I1495/1000000</f>
        <v>382</v>
      </c>
      <c r="T1495" s="201">
        <f t="shared" si="145"/>
        <v>382</v>
      </c>
      <c r="U1495" s="201">
        <f t="shared" si="145"/>
        <v>0</v>
      </c>
      <c r="V1495" s="201">
        <f t="shared" si="145"/>
        <v>375.53567399999997</v>
      </c>
      <c r="W1495" s="201">
        <f t="shared" si="145"/>
        <v>375.53567399999997</v>
      </c>
      <c r="X1495" s="201">
        <f t="shared" si="145"/>
        <v>0</v>
      </c>
    </row>
    <row r="1496" spans="1:24" s="169" customFormat="1" ht="13.8">
      <c r="A1496" s="192" t="s">
        <v>1345</v>
      </c>
      <c r="B1496" s="170" t="s">
        <v>689</v>
      </c>
      <c r="C1496" s="183" t="str">
        <f t="shared" si="146"/>
        <v/>
      </c>
      <c r="D1496" s="182" t="str">
        <f t="shared" si="147"/>
        <v/>
      </c>
      <c r="E1496" s="206"/>
      <c r="F1496" s="207"/>
      <c r="G1496" s="207"/>
      <c r="H1496" s="205"/>
      <c r="I1496" s="167">
        <v>382000000</v>
      </c>
      <c r="J1496" s="166"/>
      <c r="K1496" s="167">
        <v>382000000</v>
      </c>
      <c r="L1496" s="171"/>
      <c r="M1496" s="168">
        <f t="shared" si="148"/>
        <v>382000000</v>
      </c>
      <c r="N1496" s="171"/>
      <c r="O1496" s="167">
        <v>375535674</v>
      </c>
      <c r="P1496" s="167">
        <f t="shared" si="149"/>
        <v>375535674</v>
      </c>
      <c r="Q1496" s="167"/>
      <c r="S1496" s="201">
        <f t="shared" si="150"/>
        <v>382</v>
      </c>
      <c r="T1496" s="201">
        <f t="shared" si="145"/>
        <v>382</v>
      </c>
      <c r="U1496" s="201">
        <f t="shared" si="145"/>
        <v>0</v>
      </c>
      <c r="V1496" s="201">
        <f t="shared" si="145"/>
        <v>375.53567399999997</v>
      </c>
      <c r="W1496" s="201">
        <f t="shared" si="145"/>
        <v>375.53567399999997</v>
      </c>
      <c r="X1496" s="201">
        <f t="shared" si="145"/>
        <v>0</v>
      </c>
    </row>
    <row r="1497" spans="1:24" s="169" customFormat="1" ht="13.8">
      <c r="A1497" s="192"/>
      <c r="B1497" s="170" t="s">
        <v>686</v>
      </c>
      <c r="C1497" s="183" t="str">
        <f t="shared" si="146"/>
        <v/>
      </c>
      <c r="D1497" s="182" t="str">
        <f t="shared" si="147"/>
        <v/>
      </c>
      <c r="E1497" s="206"/>
      <c r="F1497" s="207"/>
      <c r="G1497" s="207"/>
      <c r="H1497" s="205"/>
      <c r="I1497" s="167">
        <v>382000000</v>
      </c>
      <c r="J1497" s="166"/>
      <c r="K1497" s="167">
        <v>382000000</v>
      </c>
      <c r="L1497" s="171"/>
      <c r="M1497" s="168">
        <f t="shared" si="148"/>
        <v>382000000</v>
      </c>
      <c r="N1497" s="171"/>
      <c r="O1497" s="167">
        <v>375535674</v>
      </c>
      <c r="P1497" s="167">
        <f t="shared" si="149"/>
        <v>375535674</v>
      </c>
      <c r="Q1497" s="167"/>
      <c r="S1497" s="201">
        <f t="shared" si="150"/>
        <v>382</v>
      </c>
      <c r="T1497" s="201">
        <f t="shared" si="145"/>
        <v>382</v>
      </c>
      <c r="U1497" s="201">
        <f t="shared" si="145"/>
        <v>0</v>
      </c>
      <c r="V1497" s="201">
        <f t="shared" si="145"/>
        <v>375.53567399999997</v>
      </c>
      <c r="W1497" s="201">
        <f t="shared" si="145"/>
        <v>375.53567399999997</v>
      </c>
      <c r="X1497" s="201">
        <f t="shared" si="145"/>
        <v>0</v>
      </c>
    </row>
    <row r="1498" spans="1:24" s="169" customFormat="1" ht="13.8">
      <c r="A1498" s="192"/>
      <c r="B1498" s="164"/>
      <c r="C1498" s="183" t="str">
        <f t="shared" si="146"/>
        <v/>
      </c>
      <c r="D1498" s="182" t="str">
        <f t="shared" si="147"/>
        <v/>
      </c>
      <c r="E1498" s="192" t="s">
        <v>681</v>
      </c>
      <c r="F1498" s="192" t="s">
        <v>947</v>
      </c>
      <c r="G1498" s="192" t="s">
        <v>1291</v>
      </c>
      <c r="H1498" s="210" t="s">
        <v>1440</v>
      </c>
      <c r="I1498" s="167">
        <v>382000000</v>
      </c>
      <c r="J1498" s="166"/>
      <c r="K1498" s="167">
        <v>382000000</v>
      </c>
      <c r="L1498" s="171"/>
      <c r="M1498" s="168">
        <f t="shared" si="148"/>
        <v>382000000</v>
      </c>
      <c r="N1498" s="171"/>
      <c r="O1498" s="167">
        <v>375535674</v>
      </c>
      <c r="P1498" s="167">
        <f t="shared" si="149"/>
        <v>375535674</v>
      </c>
      <c r="Q1498" s="167"/>
      <c r="S1498" s="201">
        <f t="shared" si="150"/>
        <v>382</v>
      </c>
      <c r="T1498" s="201">
        <f t="shared" si="145"/>
        <v>382</v>
      </c>
      <c r="U1498" s="201">
        <f t="shared" si="145"/>
        <v>0</v>
      </c>
      <c r="V1498" s="201">
        <f t="shared" si="145"/>
        <v>375.53567399999997</v>
      </c>
      <c r="W1498" s="201">
        <f t="shared" si="145"/>
        <v>375.53567399999997</v>
      </c>
      <c r="X1498" s="201">
        <f t="shared" si="145"/>
        <v>0</v>
      </c>
    </row>
    <row r="1499" spans="1:24" s="169" customFormat="1" ht="27.6">
      <c r="A1499" s="192" t="s">
        <v>1346</v>
      </c>
      <c r="B1499" s="165" t="s">
        <v>1347</v>
      </c>
      <c r="C1499" s="183" t="str">
        <f t="shared" si="146"/>
        <v>1117920</v>
      </c>
      <c r="D1499" s="182" t="str">
        <f t="shared" si="147"/>
        <v>-Hội Giáo dục chăm sốc sức chòe cộng đSng tỉnh Kontum</v>
      </c>
      <c r="E1499" s="206"/>
      <c r="F1499" s="207"/>
      <c r="G1499" s="207"/>
      <c r="H1499" s="205"/>
      <c r="I1499" s="167">
        <v>20000000</v>
      </c>
      <c r="J1499" s="166"/>
      <c r="K1499" s="167">
        <v>20000000</v>
      </c>
      <c r="L1499" s="171"/>
      <c r="M1499" s="168">
        <f t="shared" si="148"/>
        <v>20000000</v>
      </c>
      <c r="N1499" s="171"/>
      <c r="O1499" s="167">
        <v>20000000</v>
      </c>
      <c r="P1499" s="167">
        <f t="shared" si="149"/>
        <v>20000000</v>
      </c>
      <c r="Q1499" s="167"/>
      <c r="S1499" s="201">
        <f t="shared" si="150"/>
        <v>20</v>
      </c>
      <c r="T1499" s="201">
        <f t="shared" si="145"/>
        <v>20</v>
      </c>
      <c r="U1499" s="201">
        <f t="shared" si="145"/>
        <v>0</v>
      </c>
      <c r="V1499" s="201">
        <f t="shared" si="145"/>
        <v>20</v>
      </c>
      <c r="W1499" s="201">
        <f t="shared" si="145"/>
        <v>20</v>
      </c>
      <c r="X1499" s="201">
        <f t="shared" si="145"/>
        <v>0</v>
      </c>
    </row>
    <row r="1500" spans="1:24" s="169" customFormat="1" ht="13.8">
      <c r="A1500" s="192" t="s">
        <v>1348</v>
      </c>
      <c r="B1500" s="170" t="s">
        <v>689</v>
      </c>
      <c r="C1500" s="183" t="str">
        <f t="shared" si="146"/>
        <v/>
      </c>
      <c r="D1500" s="182" t="str">
        <f t="shared" si="147"/>
        <v/>
      </c>
      <c r="E1500" s="206"/>
      <c r="F1500" s="207"/>
      <c r="G1500" s="207"/>
      <c r="H1500" s="205"/>
      <c r="I1500" s="167">
        <v>20000000</v>
      </c>
      <c r="J1500" s="166"/>
      <c r="K1500" s="167">
        <v>20000000</v>
      </c>
      <c r="L1500" s="171"/>
      <c r="M1500" s="168">
        <f t="shared" si="148"/>
        <v>20000000</v>
      </c>
      <c r="N1500" s="171"/>
      <c r="O1500" s="167">
        <v>20000000</v>
      </c>
      <c r="P1500" s="167">
        <f t="shared" si="149"/>
        <v>20000000</v>
      </c>
      <c r="Q1500" s="167"/>
      <c r="S1500" s="201">
        <f t="shared" si="150"/>
        <v>20</v>
      </c>
      <c r="T1500" s="201">
        <f t="shared" si="145"/>
        <v>20</v>
      </c>
      <c r="U1500" s="201">
        <f t="shared" si="145"/>
        <v>0</v>
      </c>
      <c r="V1500" s="201">
        <f t="shared" si="145"/>
        <v>20</v>
      </c>
      <c r="W1500" s="201">
        <f t="shared" si="145"/>
        <v>20</v>
      </c>
      <c r="X1500" s="201">
        <f t="shared" si="145"/>
        <v>0</v>
      </c>
    </row>
    <row r="1501" spans="1:24" s="169" customFormat="1" ht="13.8">
      <c r="A1501" s="192"/>
      <c r="B1501" s="170" t="s">
        <v>686</v>
      </c>
      <c r="C1501" s="183" t="str">
        <f t="shared" si="146"/>
        <v/>
      </c>
      <c r="D1501" s="182" t="str">
        <f t="shared" si="147"/>
        <v/>
      </c>
      <c r="E1501" s="206"/>
      <c r="F1501" s="207"/>
      <c r="G1501" s="207"/>
      <c r="H1501" s="205"/>
      <c r="I1501" s="167">
        <v>20000000</v>
      </c>
      <c r="J1501" s="166"/>
      <c r="K1501" s="167">
        <v>20000000</v>
      </c>
      <c r="L1501" s="171"/>
      <c r="M1501" s="168">
        <f t="shared" si="148"/>
        <v>20000000</v>
      </c>
      <c r="N1501" s="171"/>
      <c r="O1501" s="167">
        <v>20000000</v>
      </c>
      <c r="P1501" s="167">
        <f t="shared" si="149"/>
        <v>20000000</v>
      </c>
      <c r="Q1501" s="167"/>
      <c r="S1501" s="201">
        <f t="shared" si="150"/>
        <v>20</v>
      </c>
      <c r="T1501" s="201">
        <f t="shared" si="145"/>
        <v>20</v>
      </c>
      <c r="U1501" s="201">
        <f t="shared" si="145"/>
        <v>0</v>
      </c>
      <c r="V1501" s="201">
        <f t="shared" si="145"/>
        <v>20</v>
      </c>
      <c r="W1501" s="201">
        <f t="shared" si="145"/>
        <v>20</v>
      </c>
      <c r="X1501" s="201">
        <f t="shared" si="145"/>
        <v>0</v>
      </c>
    </row>
    <row r="1502" spans="1:24" s="169" customFormat="1" ht="13.8">
      <c r="A1502" s="192"/>
      <c r="B1502" s="164"/>
      <c r="C1502" s="183" t="str">
        <f t="shared" si="146"/>
        <v/>
      </c>
      <c r="D1502" s="182" t="str">
        <f t="shared" si="147"/>
        <v/>
      </c>
      <c r="E1502" s="192" t="s">
        <v>681</v>
      </c>
      <c r="F1502" s="192" t="s">
        <v>760</v>
      </c>
      <c r="G1502" s="192" t="s">
        <v>906</v>
      </c>
      <c r="H1502" s="210" t="s">
        <v>1440</v>
      </c>
      <c r="I1502" s="167">
        <v>20000000</v>
      </c>
      <c r="J1502" s="166"/>
      <c r="K1502" s="167">
        <v>20000000</v>
      </c>
      <c r="L1502" s="171"/>
      <c r="M1502" s="168">
        <f t="shared" si="148"/>
        <v>20000000</v>
      </c>
      <c r="N1502" s="171"/>
      <c r="O1502" s="167">
        <v>20000000</v>
      </c>
      <c r="P1502" s="167">
        <f t="shared" si="149"/>
        <v>20000000</v>
      </c>
      <c r="Q1502" s="167"/>
      <c r="S1502" s="201">
        <f t="shared" si="150"/>
        <v>20</v>
      </c>
      <c r="T1502" s="201">
        <f t="shared" si="145"/>
        <v>20</v>
      </c>
      <c r="U1502" s="201">
        <f t="shared" si="145"/>
        <v>0</v>
      </c>
      <c r="V1502" s="201">
        <f t="shared" si="145"/>
        <v>20</v>
      </c>
      <c r="W1502" s="201">
        <f t="shared" si="145"/>
        <v>20</v>
      </c>
      <c r="X1502" s="201">
        <f t="shared" si="145"/>
        <v>0</v>
      </c>
    </row>
    <row r="1503" spans="1:24" s="169" customFormat="1" ht="39.6">
      <c r="A1503" s="192" t="s">
        <v>1349</v>
      </c>
      <c r="B1503" s="165" t="s">
        <v>1350</v>
      </c>
      <c r="C1503" s="183" t="str">
        <f t="shared" si="146"/>
        <v>1118341</v>
      </c>
      <c r="D1503" s="182" t="str">
        <f t="shared" si="147"/>
        <v xml:space="preserve"> -Phân hiệu trường PhS thông Dân tộc nội trú huyện Kon Plông - tỉnh Kon Tum</v>
      </c>
      <c r="E1503" s="206"/>
      <c r="F1503" s="207"/>
      <c r="G1503" s="207"/>
      <c r="H1503" s="205"/>
      <c r="I1503" s="167">
        <v>4513019000</v>
      </c>
      <c r="J1503" s="167">
        <v>28215000</v>
      </c>
      <c r="K1503" s="167">
        <v>4153169000</v>
      </c>
      <c r="L1503" s="168">
        <v>331635000</v>
      </c>
      <c r="M1503" s="168">
        <f t="shared" si="148"/>
        <v>4513019000</v>
      </c>
      <c r="N1503" s="168"/>
      <c r="O1503" s="167">
        <v>4229034000</v>
      </c>
      <c r="P1503" s="167">
        <f t="shared" si="149"/>
        <v>4229034000</v>
      </c>
      <c r="Q1503" s="167"/>
      <c r="S1503" s="201">
        <f t="shared" si="150"/>
        <v>4513.0190000000002</v>
      </c>
      <c r="T1503" s="201">
        <f t="shared" si="145"/>
        <v>4513.0190000000002</v>
      </c>
      <c r="U1503" s="201">
        <f t="shared" si="145"/>
        <v>0</v>
      </c>
      <c r="V1503" s="201">
        <f t="shared" si="145"/>
        <v>4229.0339999999997</v>
      </c>
      <c r="W1503" s="201">
        <f t="shared" si="145"/>
        <v>4229.0339999999997</v>
      </c>
      <c r="X1503" s="201">
        <f t="shared" si="145"/>
        <v>0</v>
      </c>
    </row>
    <row r="1504" spans="1:24" s="169" customFormat="1" ht="13.8">
      <c r="A1504" s="192" t="s">
        <v>1351</v>
      </c>
      <c r="B1504" s="170" t="s">
        <v>689</v>
      </c>
      <c r="C1504" s="183" t="str">
        <f t="shared" si="146"/>
        <v/>
      </c>
      <c r="D1504" s="182" t="str">
        <f t="shared" si="147"/>
        <v/>
      </c>
      <c r="E1504" s="206"/>
      <c r="F1504" s="207"/>
      <c r="G1504" s="207"/>
      <c r="H1504" s="205"/>
      <c r="I1504" s="167">
        <v>4513019000</v>
      </c>
      <c r="J1504" s="167">
        <v>28215000</v>
      </c>
      <c r="K1504" s="167">
        <v>4153169000</v>
      </c>
      <c r="L1504" s="168">
        <v>331635000</v>
      </c>
      <c r="M1504" s="168">
        <f t="shared" si="148"/>
        <v>4513019000</v>
      </c>
      <c r="N1504" s="168"/>
      <c r="O1504" s="167">
        <v>4229034000</v>
      </c>
      <c r="P1504" s="167">
        <f t="shared" si="149"/>
        <v>4229034000</v>
      </c>
      <c r="Q1504" s="167"/>
      <c r="S1504" s="201">
        <f t="shared" si="150"/>
        <v>4513.0190000000002</v>
      </c>
      <c r="T1504" s="201">
        <f t="shared" si="145"/>
        <v>4513.0190000000002</v>
      </c>
      <c r="U1504" s="201">
        <f t="shared" si="145"/>
        <v>0</v>
      </c>
      <c r="V1504" s="201">
        <f t="shared" si="145"/>
        <v>4229.0339999999997</v>
      </c>
      <c r="W1504" s="201">
        <f t="shared" si="145"/>
        <v>4229.0339999999997</v>
      </c>
      <c r="X1504" s="201">
        <f t="shared" si="145"/>
        <v>0</v>
      </c>
    </row>
    <row r="1505" spans="1:24" s="169" customFormat="1" ht="13.8">
      <c r="A1505" s="192"/>
      <c r="B1505" s="170" t="s">
        <v>690</v>
      </c>
      <c r="C1505" s="183" t="str">
        <f t="shared" si="146"/>
        <v/>
      </c>
      <c r="D1505" s="182" t="str">
        <f t="shared" si="147"/>
        <v/>
      </c>
      <c r="E1505" s="206"/>
      <c r="F1505" s="207"/>
      <c r="G1505" s="207"/>
      <c r="H1505" s="205"/>
      <c r="I1505" s="167">
        <v>3390992000</v>
      </c>
      <c r="J1505" s="167">
        <v>28215000</v>
      </c>
      <c r="K1505" s="167">
        <v>3331542000</v>
      </c>
      <c r="L1505" s="168">
        <v>31235000</v>
      </c>
      <c r="M1505" s="168">
        <f t="shared" si="148"/>
        <v>3390992000</v>
      </c>
      <c r="N1505" s="168"/>
      <c r="O1505" s="167">
        <v>3390992000</v>
      </c>
      <c r="P1505" s="167">
        <f t="shared" si="149"/>
        <v>3390992000</v>
      </c>
      <c r="Q1505" s="167"/>
      <c r="S1505" s="201">
        <f t="shared" si="150"/>
        <v>3390.9920000000002</v>
      </c>
      <c r="T1505" s="201">
        <f t="shared" si="145"/>
        <v>3390.9920000000002</v>
      </c>
      <c r="U1505" s="201">
        <f t="shared" si="145"/>
        <v>0</v>
      </c>
      <c r="V1505" s="201">
        <f t="shared" si="145"/>
        <v>3390.9920000000002</v>
      </c>
      <c r="W1505" s="201">
        <f t="shared" si="145"/>
        <v>3390.9920000000002</v>
      </c>
      <c r="X1505" s="201">
        <f t="shared" si="145"/>
        <v>0</v>
      </c>
    </row>
    <row r="1506" spans="1:24" s="169" customFormat="1" ht="13.8">
      <c r="A1506" s="193"/>
      <c r="B1506" s="187"/>
      <c r="C1506" s="183" t="str">
        <f t="shared" si="146"/>
        <v/>
      </c>
      <c r="D1506" s="182" t="str">
        <f t="shared" si="147"/>
        <v/>
      </c>
      <c r="E1506" s="192" t="s">
        <v>666</v>
      </c>
      <c r="F1506" s="192" t="s">
        <v>677</v>
      </c>
      <c r="G1506" s="192" t="s">
        <v>678</v>
      </c>
      <c r="H1506" s="210" t="s">
        <v>1440</v>
      </c>
      <c r="I1506" s="167">
        <v>3265757000</v>
      </c>
      <c r="J1506" s="167">
        <v>28215000</v>
      </c>
      <c r="K1506" s="167">
        <v>3237542000</v>
      </c>
      <c r="L1506" s="171"/>
      <c r="M1506" s="168">
        <f t="shared" si="148"/>
        <v>3265757000</v>
      </c>
      <c r="N1506" s="171"/>
      <c r="O1506" s="167">
        <v>3265757000</v>
      </c>
      <c r="P1506" s="167">
        <f t="shared" si="149"/>
        <v>3265757000</v>
      </c>
      <c r="Q1506" s="167"/>
      <c r="S1506" s="201">
        <f t="shared" si="150"/>
        <v>3265.7570000000001</v>
      </c>
      <c r="T1506" s="201">
        <f t="shared" si="145"/>
        <v>3265.7570000000001</v>
      </c>
      <c r="U1506" s="201">
        <f t="shared" si="145"/>
        <v>0</v>
      </c>
      <c r="V1506" s="201">
        <f t="shared" si="145"/>
        <v>3265.7570000000001</v>
      </c>
      <c r="W1506" s="201">
        <f t="shared" si="145"/>
        <v>3265.7570000000001</v>
      </c>
      <c r="X1506" s="201">
        <f t="shared" si="145"/>
        <v>0</v>
      </c>
    </row>
    <row r="1507" spans="1:24" s="169" customFormat="1" ht="13.8">
      <c r="A1507" s="194"/>
      <c r="B1507" s="184"/>
      <c r="C1507" s="183" t="str">
        <f t="shared" si="146"/>
        <v/>
      </c>
      <c r="D1507" s="182" t="str">
        <f t="shared" si="147"/>
        <v/>
      </c>
      <c r="E1507" s="192" t="s">
        <v>679</v>
      </c>
      <c r="F1507" s="192" t="s">
        <v>677</v>
      </c>
      <c r="G1507" s="192" t="s">
        <v>678</v>
      </c>
      <c r="H1507" s="210" t="s">
        <v>1440</v>
      </c>
      <c r="I1507" s="167">
        <v>94000000</v>
      </c>
      <c r="J1507" s="166"/>
      <c r="K1507" s="167">
        <v>94000000</v>
      </c>
      <c r="L1507" s="171"/>
      <c r="M1507" s="168">
        <f t="shared" si="148"/>
        <v>94000000</v>
      </c>
      <c r="N1507" s="171"/>
      <c r="O1507" s="167">
        <v>94000000</v>
      </c>
      <c r="P1507" s="167">
        <f t="shared" si="149"/>
        <v>94000000</v>
      </c>
      <c r="Q1507" s="167"/>
      <c r="S1507" s="201">
        <f t="shared" si="150"/>
        <v>94</v>
      </c>
      <c r="T1507" s="201">
        <f t="shared" si="145"/>
        <v>94</v>
      </c>
      <c r="U1507" s="201">
        <f t="shared" si="145"/>
        <v>0</v>
      </c>
      <c r="V1507" s="201">
        <f t="shared" si="145"/>
        <v>94</v>
      </c>
      <c r="W1507" s="201">
        <f t="shared" si="145"/>
        <v>94</v>
      </c>
      <c r="X1507" s="201">
        <f t="shared" si="145"/>
        <v>0</v>
      </c>
    </row>
    <row r="1508" spans="1:24" s="169" customFormat="1" ht="13.8">
      <c r="A1508" s="195"/>
      <c r="B1508" s="188"/>
      <c r="C1508" s="183" t="str">
        <f t="shared" si="146"/>
        <v/>
      </c>
      <c r="D1508" s="182" t="str">
        <f t="shared" si="147"/>
        <v/>
      </c>
      <c r="E1508" s="192" t="s">
        <v>669</v>
      </c>
      <c r="F1508" s="192" t="s">
        <v>677</v>
      </c>
      <c r="G1508" s="192" t="s">
        <v>678</v>
      </c>
      <c r="H1508" s="210" t="s">
        <v>1440</v>
      </c>
      <c r="I1508" s="167">
        <v>31235000</v>
      </c>
      <c r="J1508" s="166"/>
      <c r="K1508" s="166"/>
      <c r="L1508" s="168">
        <v>31235000</v>
      </c>
      <c r="M1508" s="168">
        <f t="shared" si="148"/>
        <v>31235000</v>
      </c>
      <c r="N1508" s="168"/>
      <c r="O1508" s="167">
        <v>31235000</v>
      </c>
      <c r="P1508" s="167">
        <f t="shared" si="149"/>
        <v>31235000</v>
      </c>
      <c r="Q1508" s="167"/>
      <c r="S1508" s="201">
        <f t="shared" si="150"/>
        <v>31.234999999999999</v>
      </c>
      <c r="T1508" s="201">
        <f t="shared" ref="T1508:X1558" si="151">M1508/1000000</f>
        <v>31.234999999999999</v>
      </c>
      <c r="U1508" s="201">
        <f t="shared" si="151"/>
        <v>0</v>
      </c>
      <c r="V1508" s="201">
        <f t="shared" si="151"/>
        <v>31.234999999999999</v>
      </c>
      <c r="W1508" s="201">
        <f t="shared" si="151"/>
        <v>31.234999999999999</v>
      </c>
      <c r="X1508" s="201">
        <f t="shared" si="151"/>
        <v>0</v>
      </c>
    </row>
    <row r="1509" spans="1:24" s="169" customFormat="1" ht="13.8">
      <c r="A1509" s="192"/>
      <c r="B1509" s="170" t="s">
        <v>686</v>
      </c>
      <c r="C1509" s="183" t="str">
        <f t="shared" si="146"/>
        <v/>
      </c>
      <c r="D1509" s="182" t="str">
        <f t="shared" si="147"/>
        <v/>
      </c>
      <c r="E1509" s="206"/>
      <c r="F1509" s="207"/>
      <c r="G1509" s="207"/>
      <c r="H1509" s="205"/>
      <c r="I1509" s="167">
        <v>1122027000</v>
      </c>
      <c r="J1509" s="166"/>
      <c r="K1509" s="167">
        <v>821627000</v>
      </c>
      <c r="L1509" s="168">
        <v>300400000</v>
      </c>
      <c r="M1509" s="168">
        <f t="shared" si="148"/>
        <v>1122027000</v>
      </c>
      <c r="N1509" s="168"/>
      <c r="O1509" s="167">
        <v>838042000</v>
      </c>
      <c r="P1509" s="167">
        <f t="shared" si="149"/>
        <v>838042000</v>
      </c>
      <c r="Q1509" s="167"/>
      <c r="S1509" s="201">
        <f t="shared" si="150"/>
        <v>1122.027</v>
      </c>
      <c r="T1509" s="201">
        <f t="shared" si="151"/>
        <v>1122.027</v>
      </c>
      <c r="U1509" s="201">
        <f t="shared" si="151"/>
        <v>0</v>
      </c>
      <c r="V1509" s="201">
        <f t="shared" si="151"/>
        <v>838.04200000000003</v>
      </c>
      <c r="W1509" s="201">
        <f t="shared" si="151"/>
        <v>838.04200000000003</v>
      </c>
      <c r="X1509" s="201">
        <f t="shared" si="151"/>
        <v>0</v>
      </c>
    </row>
    <row r="1510" spans="1:24" s="169" customFormat="1" ht="13.8">
      <c r="A1510" s="193"/>
      <c r="B1510" s="187"/>
      <c r="C1510" s="183" t="str">
        <f t="shared" si="146"/>
        <v/>
      </c>
      <c r="D1510" s="182" t="str">
        <f t="shared" si="147"/>
        <v/>
      </c>
      <c r="E1510" s="192" t="s">
        <v>681</v>
      </c>
      <c r="F1510" s="192" t="s">
        <v>677</v>
      </c>
      <c r="G1510" s="192" t="s">
        <v>678</v>
      </c>
      <c r="H1510" s="210" t="s">
        <v>1440</v>
      </c>
      <c r="I1510" s="167">
        <v>100000000</v>
      </c>
      <c r="J1510" s="166"/>
      <c r="K1510" s="167">
        <v>100000000</v>
      </c>
      <c r="L1510" s="171"/>
      <c r="M1510" s="168">
        <f t="shared" si="148"/>
        <v>100000000</v>
      </c>
      <c r="N1510" s="171"/>
      <c r="O1510" s="167">
        <v>98680000</v>
      </c>
      <c r="P1510" s="167">
        <f t="shared" si="149"/>
        <v>98680000</v>
      </c>
      <c r="Q1510" s="167"/>
      <c r="S1510" s="201">
        <f t="shared" si="150"/>
        <v>100</v>
      </c>
      <c r="T1510" s="201">
        <f t="shared" si="151"/>
        <v>100</v>
      </c>
      <c r="U1510" s="201">
        <f t="shared" si="151"/>
        <v>0</v>
      </c>
      <c r="V1510" s="201">
        <f t="shared" si="151"/>
        <v>98.68</v>
      </c>
      <c r="W1510" s="201">
        <f t="shared" si="151"/>
        <v>98.68</v>
      </c>
      <c r="X1510" s="201">
        <f t="shared" si="151"/>
        <v>0</v>
      </c>
    </row>
    <row r="1511" spans="1:24" s="169" customFormat="1" ht="13.8">
      <c r="A1511" s="194"/>
      <c r="B1511" s="184"/>
      <c r="C1511" s="183" t="str">
        <f t="shared" si="146"/>
        <v/>
      </c>
      <c r="D1511" s="182" t="str">
        <f t="shared" si="147"/>
        <v/>
      </c>
      <c r="E1511" s="192" t="s">
        <v>667</v>
      </c>
      <c r="F1511" s="192" t="s">
        <v>677</v>
      </c>
      <c r="G1511" s="192" t="s">
        <v>678</v>
      </c>
      <c r="H1511" s="210" t="s">
        <v>1440</v>
      </c>
      <c r="I1511" s="167">
        <v>250000000</v>
      </c>
      <c r="J1511" s="166"/>
      <c r="K1511" s="166"/>
      <c r="L1511" s="168">
        <v>250000000</v>
      </c>
      <c r="M1511" s="168">
        <f t="shared" si="148"/>
        <v>250000000</v>
      </c>
      <c r="N1511" s="168"/>
      <c r="O1511" s="166"/>
      <c r="P1511" s="167">
        <f t="shared" si="149"/>
        <v>0</v>
      </c>
      <c r="Q1511" s="166"/>
      <c r="S1511" s="201">
        <f t="shared" si="150"/>
        <v>250</v>
      </c>
      <c r="T1511" s="201">
        <f t="shared" si="151"/>
        <v>250</v>
      </c>
      <c r="U1511" s="201">
        <f t="shared" si="151"/>
        <v>0</v>
      </c>
      <c r="V1511" s="201">
        <f t="shared" si="151"/>
        <v>0</v>
      </c>
      <c r="W1511" s="201">
        <f t="shared" si="151"/>
        <v>0</v>
      </c>
      <c r="X1511" s="201">
        <f t="shared" si="151"/>
        <v>0</v>
      </c>
    </row>
    <row r="1512" spans="1:24" s="169" customFormat="1" ht="13.8">
      <c r="A1512" s="195"/>
      <c r="B1512" s="188"/>
      <c r="C1512" s="183" t="str">
        <f t="shared" si="146"/>
        <v/>
      </c>
      <c r="D1512" s="182" t="str">
        <f t="shared" si="147"/>
        <v/>
      </c>
      <c r="E1512" s="192" t="s">
        <v>669</v>
      </c>
      <c r="F1512" s="192" t="s">
        <v>677</v>
      </c>
      <c r="G1512" s="192" t="s">
        <v>678</v>
      </c>
      <c r="H1512" s="210" t="s">
        <v>1440</v>
      </c>
      <c r="I1512" s="167">
        <v>772027000</v>
      </c>
      <c r="J1512" s="166"/>
      <c r="K1512" s="167">
        <v>721627000</v>
      </c>
      <c r="L1512" s="168">
        <v>50400000</v>
      </c>
      <c r="M1512" s="168">
        <f t="shared" si="148"/>
        <v>772027000</v>
      </c>
      <c r="N1512" s="168"/>
      <c r="O1512" s="167">
        <v>739362000</v>
      </c>
      <c r="P1512" s="167">
        <f t="shared" si="149"/>
        <v>739362000</v>
      </c>
      <c r="Q1512" s="167"/>
      <c r="S1512" s="201">
        <f t="shared" si="150"/>
        <v>772.02700000000004</v>
      </c>
      <c r="T1512" s="201">
        <f t="shared" si="151"/>
        <v>772.02700000000004</v>
      </c>
      <c r="U1512" s="201">
        <f t="shared" si="151"/>
        <v>0</v>
      </c>
      <c r="V1512" s="201">
        <f t="shared" si="151"/>
        <v>739.36199999999997</v>
      </c>
      <c r="W1512" s="201">
        <f t="shared" si="151"/>
        <v>739.36199999999997</v>
      </c>
      <c r="X1512" s="201">
        <f t="shared" si="151"/>
        <v>0</v>
      </c>
    </row>
    <row r="1513" spans="1:24" s="169" customFormat="1" ht="39.6">
      <c r="A1513" s="192" t="s">
        <v>1352</v>
      </c>
      <c r="B1513" s="165" t="s">
        <v>1353</v>
      </c>
      <c r="C1513" s="183" t="str">
        <f t="shared" si="146"/>
        <v>1118342</v>
      </c>
      <c r="D1513" s="182" t="str">
        <f t="shared" si="147"/>
        <v>-Phân hiệu trường Trung học PhS thông Lương Thẽ Vinh - huyện Đăk Glei - tỉnh Kon Tum</v>
      </c>
      <c r="E1513" s="206"/>
      <c r="F1513" s="207"/>
      <c r="G1513" s="207"/>
      <c r="H1513" s="205"/>
      <c r="I1513" s="167">
        <v>3898006157</v>
      </c>
      <c r="J1513" s="167">
        <v>58411157</v>
      </c>
      <c r="K1513" s="167">
        <v>3759257000</v>
      </c>
      <c r="L1513" s="168">
        <v>80338000</v>
      </c>
      <c r="M1513" s="168">
        <f t="shared" si="148"/>
        <v>3898006157</v>
      </c>
      <c r="N1513" s="168"/>
      <c r="O1513" s="167">
        <v>3879514637</v>
      </c>
      <c r="P1513" s="167">
        <f t="shared" si="149"/>
        <v>3879514637</v>
      </c>
      <c r="Q1513" s="167"/>
      <c r="S1513" s="201">
        <f t="shared" si="150"/>
        <v>3898.0061569999998</v>
      </c>
      <c r="T1513" s="201">
        <f t="shared" si="151"/>
        <v>3898.0061569999998</v>
      </c>
      <c r="U1513" s="201">
        <f t="shared" si="151"/>
        <v>0</v>
      </c>
      <c r="V1513" s="201">
        <f t="shared" si="151"/>
        <v>3879.5146370000002</v>
      </c>
      <c r="W1513" s="201">
        <f t="shared" si="151"/>
        <v>3879.5146370000002</v>
      </c>
      <c r="X1513" s="201">
        <f t="shared" si="151"/>
        <v>0</v>
      </c>
    </row>
    <row r="1514" spans="1:24" s="169" customFormat="1" ht="13.8">
      <c r="A1514" s="192" t="s">
        <v>1354</v>
      </c>
      <c r="B1514" s="170" t="s">
        <v>689</v>
      </c>
      <c r="C1514" s="183" t="str">
        <f t="shared" si="146"/>
        <v/>
      </c>
      <c r="D1514" s="182" t="str">
        <f t="shared" si="147"/>
        <v/>
      </c>
      <c r="E1514" s="206"/>
      <c r="F1514" s="207"/>
      <c r="G1514" s="207"/>
      <c r="H1514" s="205"/>
      <c r="I1514" s="167">
        <v>3898006157</v>
      </c>
      <c r="J1514" s="167">
        <v>58411157</v>
      </c>
      <c r="K1514" s="167">
        <v>3759257000</v>
      </c>
      <c r="L1514" s="168">
        <v>80338000</v>
      </c>
      <c r="M1514" s="168">
        <f t="shared" si="148"/>
        <v>3898006157</v>
      </c>
      <c r="N1514" s="168"/>
      <c r="O1514" s="167">
        <v>3879514637</v>
      </c>
      <c r="P1514" s="167">
        <f t="shared" si="149"/>
        <v>3879514637</v>
      </c>
      <c r="Q1514" s="167"/>
      <c r="S1514" s="201">
        <f t="shared" si="150"/>
        <v>3898.0061569999998</v>
      </c>
      <c r="T1514" s="201">
        <f t="shared" si="151"/>
        <v>3898.0061569999998</v>
      </c>
      <c r="U1514" s="201">
        <f t="shared" si="151"/>
        <v>0</v>
      </c>
      <c r="V1514" s="201">
        <f t="shared" si="151"/>
        <v>3879.5146370000002</v>
      </c>
      <c r="W1514" s="201">
        <f t="shared" si="151"/>
        <v>3879.5146370000002</v>
      </c>
      <c r="X1514" s="201">
        <f t="shared" si="151"/>
        <v>0</v>
      </c>
    </row>
    <row r="1515" spans="1:24" s="169" customFormat="1" ht="13.8">
      <c r="A1515" s="192"/>
      <c r="B1515" s="170" t="s">
        <v>690</v>
      </c>
      <c r="C1515" s="183" t="str">
        <f t="shared" si="146"/>
        <v/>
      </c>
      <c r="D1515" s="182" t="str">
        <f t="shared" si="147"/>
        <v/>
      </c>
      <c r="E1515" s="206"/>
      <c r="F1515" s="207"/>
      <c r="G1515" s="207"/>
      <c r="H1515" s="205"/>
      <c r="I1515" s="167">
        <v>2995028157</v>
      </c>
      <c r="J1515" s="167">
        <v>58411157</v>
      </c>
      <c r="K1515" s="167">
        <v>2909279000</v>
      </c>
      <c r="L1515" s="168">
        <v>27338000</v>
      </c>
      <c r="M1515" s="168">
        <f t="shared" si="148"/>
        <v>2995028157</v>
      </c>
      <c r="N1515" s="168"/>
      <c r="O1515" s="167">
        <v>2978598537</v>
      </c>
      <c r="P1515" s="167">
        <f t="shared" si="149"/>
        <v>2978598537</v>
      </c>
      <c r="Q1515" s="167"/>
      <c r="S1515" s="201">
        <f t="shared" si="150"/>
        <v>2995.0281570000002</v>
      </c>
      <c r="T1515" s="201">
        <f t="shared" si="151"/>
        <v>2995.0281570000002</v>
      </c>
      <c r="U1515" s="201">
        <f t="shared" si="151"/>
        <v>0</v>
      </c>
      <c r="V1515" s="201">
        <f t="shared" si="151"/>
        <v>2978.5985369999999</v>
      </c>
      <c r="W1515" s="201">
        <f t="shared" si="151"/>
        <v>2978.5985369999999</v>
      </c>
      <c r="X1515" s="201">
        <f t="shared" si="151"/>
        <v>0</v>
      </c>
    </row>
    <row r="1516" spans="1:24" s="169" customFormat="1" ht="13.8">
      <c r="A1516" s="192"/>
      <c r="B1516" s="164"/>
      <c r="C1516" s="183" t="str">
        <f t="shared" si="146"/>
        <v/>
      </c>
      <c r="D1516" s="182" t="str">
        <f t="shared" si="147"/>
        <v/>
      </c>
      <c r="E1516" s="192" t="s">
        <v>666</v>
      </c>
      <c r="F1516" s="192" t="s">
        <v>677</v>
      </c>
      <c r="G1516" s="192" t="s">
        <v>678</v>
      </c>
      <c r="H1516" s="210" t="s">
        <v>1440</v>
      </c>
      <c r="I1516" s="167">
        <v>2874290157</v>
      </c>
      <c r="J1516" s="167">
        <v>52011157</v>
      </c>
      <c r="K1516" s="167">
        <v>2822279000</v>
      </c>
      <c r="L1516" s="171"/>
      <c r="M1516" s="168">
        <f t="shared" si="148"/>
        <v>2874290157</v>
      </c>
      <c r="N1516" s="171"/>
      <c r="O1516" s="167">
        <v>2874290157</v>
      </c>
      <c r="P1516" s="167">
        <f t="shared" si="149"/>
        <v>2874290157</v>
      </c>
      <c r="Q1516" s="167"/>
      <c r="S1516" s="201">
        <f t="shared" si="150"/>
        <v>2874.2901569999999</v>
      </c>
      <c r="T1516" s="201">
        <f t="shared" si="151"/>
        <v>2874.2901569999999</v>
      </c>
      <c r="U1516" s="201">
        <f t="shared" si="151"/>
        <v>0</v>
      </c>
      <c r="V1516" s="201">
        <f t="shared" si="151"/>
        <v>2874.2901569999999</v>
      </c>
      <c r="W1516" s="201">
        <f t="shared" si="151"/>
        <v>2874.2901569999999</v>
      </c>
      <c r="X1516" s="201">
        <f t="shared" si="151"/>
        <v>0</v>
      </c>
    </row>
    <row r="1517" spans="1:24" s="169" customFormat="1" ht="13.8">
      <c r="A1517" s="192"/>
      <c r="B1517" s="173"/>
      <c r="C1517" s="183" t="str">
        <f t="shared" si="146"/>
        <v/>
      </c>
      <c r="D1517" s="182" t="str">
        <f t="shared" si="147"/>
        <v/>
      </c>
      <c r="E1517" s="192"/>
      <c r="F1517" s="192"/>
      <c r="G1517" s="192"/>
      <c r="H1517" s="210"/>
      <c r="I1517" s="174"/>
      <c r="J1517" s="174"/>
      <c r="K1517" s="174"/>
      <c r="L1517" s="175"/>
      <c r="M1517" s="168">
        <f t="shared" si="148"/>
        <v>0</v>
      </c>
      <c r="N1517" s="175"/>
      <c r="O1517" s="174"/>
      <c r="P1517" s="167">
        <f t="shared" si="149"/>
        <v>0</v>
      </c>
      <c r="Q1517" s="174"/>
      <c r="S1517" s="201">
        <f t="shared" si="150"/>
        <v>0</v>
      </c>
      <c r="T1517" s="201">
        <f t="shared" si="151"/>
        <v>0</v>
      </c>
      <c r="U1517" s="201">
        <f t="shared" si="151"/>
        <v>0</v>
      </c>
      <c r="V1517" s="201">
        <f t="shared" si="151"/>
        <v>0</v>
      </c>
      <c r="W1517" s="201">
        <f t="shared" si="151"/>
        <v>0</v>
      </c>
      <c r="X1517" s="201">
        <f t="shared" si="151"/>
        <v>0</v>
      </c>
    </row>
    <row r="1518" spans="1:24" s="169" customFormat="1" ht="13.8">
      <c r="A1518" s="193"/>
      <c r="B1518" s="187"/>
      <c r="C1518" s="183" t="str">
        <f t="shared" si="146"/>
        <v/>
      </c>
      <c r="D1518" s="182" t="str">
        <f t="shared" si="147"/>
        <v/>
      </c>
      <c r="E1518" s="192" t="s">
        <v>679</v>
      </c>
      <c r="F1518" s="192" t="s">
        <v>677</v>
      </c>
      <c r="G1518" s="192" t="s">
        <v>678</v>
      </c>
      <c r="H1518" s="210" t="s">
        <v>1440</v>
      </c>
      <c r="I1518" s="167">
        <v>87000000</v>
      </c>
      <c r="J1518" s="166"/>
      <c r="K1518" s="167">
        <v>87000000</v>
      </c>
      <c r="L1518" s="171"/>
      <c r="M1518" s="168">
        <f t="shared" si="148"/>
        <v>87000000</v>
      </c>
      <c r="N1518" s="171"/>
      <c r="O1518" s="167">
        <v>87000000</v>
      </c>
      <c r="P1518" s="167">
        <f t="shared" si="149"/>
        <v>87000000</v>
      </c>
      <c r="Q1518" s="167"/>
      <c r="S1518" s="201">
        <f t="shared" si="150"/>
        <v>87</v>
      </c>
      <c r="T1518" s="201">
        <f t="shared" si="151"/>
        <v>87</v>
      </c>
      <c r="U1518" s="201">
        <f t="shared" si="151"/>
        <v>0</v>
      </c>
      <c r="V1518" s="201">
        <f t="shared" si="151"/>
        <v>87</v>
      </c>
      <c r="W1518" s="201">
        <f t="shared" si="151"/>
        <v>87</v>
      </c>
      <c r="X1518" s="201">
        <f t="shared" si="151"/>
        <v>0</v>
      </c>
    </row>
    <row r="1519" spans="1:24" s="169" customFormat="1" ht="13.8">
      <c r="A1519" s="195"/>
      <c r="B1519" s="188"/>
      <c r="C1519" s="183" t="str">
        <f t="shared" si="146"/>
        <v/>
      </c>
      <c r="D1519" s="182" t="str">
        <f t="shared" si="147"/>
        <v/>
      </c>
      <c r="E1519" s="192" t="s">
        <v>669</v>
      </c>
      <c r="F1519" s="192" t="s">
        <v>677</v>
      </c>
      <c r="G1519" s="192" t="s">
        <v>678</v>
      </c>
      <c r="H1519" s="210" t="s">
        <v>1440</v>
      </c>
      <c r="I1519" s="167">
        <v>33738000</v>
      </c>
      <c r="J1519" s="167">
        <v>6400000</v>
      </c>
      <c r="K1519" s="166"/>
      <c r="L1519" s="168">
        <v>27338000</v>
      </c>
      <c r="M1519" s="168">
        <f t="shared" si="148"/>
        <v>33738000</v>
      </c>
      <c r="N1519" s="168"/>
      <c r="O1519" s="167">
        <v>17308380</v>
      </c>
      <c r="P1519" s="167">
        <f t="shared" si="149"/>
        <v>17308380</v>
      </c>
      <c r="Q1519" s="167"/>
      <c r="S1519" s="201">
        <f t="shared" si="150"/>
        <v>33.738</v>
      </c>
      <c r="T1519" s="201">
        <f t="shared" si="151"/>
        <v>33.738</v>
      </c>
      <c r="U1519" s="201">
        <f t="shared" si="151"/>
        <v>0</v>
      </c>
      <c r="V1519" s="201">
        <f t="shared" si="151"/>
        <v>17.30838</v>
      </c>
      <c r="W1519" s="201">
        <f t="shared" si="151"/>
        <v>17.30838</v>
      </c>
      <c r="X1519" s="201">
        <f t="shared" si="151"/>
        <v>0</v>
      </c>
    </row>
    <row r="1520" spans="1:24" s="169" customFormat="1" ht="13.8">
      <c r="A1520" s="192"/>
      <c r="B1520" s="170" t="s">
        <v>680</v>
      </c>
      <c r="C1520" s="183" t="str">
        <f t="shared" si="146"/>
        <v/>
      </c>
      <c r="D1520" s="182" t="str">
        <f t="shared" si="147"/>
        <v/>
      </c>
      <c r="E1520" s="206"/>
      <c r="F1520" s="207"/>
      <c r="G1520" s="207"/>
      <c r="H1520" s="205"/>
      <c r="I1520" s="167">
        <v>902978000</v>
      </c>
      <c r="J1520" s="166"/>
      <c r="K1520" s="167">
        <v>849978000</v>
      </c>
      <c r="L1520" s="168">
        <v>53000000</v>
      </c>
      <c r="M1520" s="168">
        <f t="shared" si="148"/>
        <v>902978000</v>
      </c>
      <c r="N1520" s="168"/>
      <c r="O1520" s="167">
        <v>900916100</v>
      </c>
      <c r="P1520" s="167">
        <f t="shared" si="149"/>
        <v>900916100</v>
      </c>
      <c r="Q1520" s="167"/>
      <c r="S1520" s="201">
        <f t="shared" si="150"/>
        <v>902.97799999999995</v>
      </c>
      <c r="T1520" s="201">
        <f t="shared" si="151"/>
        <v>902.97799999999995</v>
      </c>
      <c r="U1520" s="201">
        <f t="shared" si="151"/>
        <v>0</v>
      </c>
      <c r="V1520" s="201">
        <f t="shared" si="151"/>
        <v>900.91610000000003</v>
      </c>
      <c r="W1520" s="201">
        <f t="shared" si="151"/>
        <v>900.91610000000003</v>
      </c>
      <c r="X1520" s="201">
        <f t="shared" si="151"/>
        <v>0</v>
      </c>
    </row>
    <row r="1521" spans="1:24" s="169" customFormat="1" ht="13.8">
      <c r="A1521" s="193"/>
      <c r="B1521" s="187"/>
      <c r="C1521" s="183" t="str">
        <f t="shared" si="146"/>
        <v/>
      </c>
      <c r="D1521" s="182" t="str">
        <f t="shared" si="147"/>
        <v/>
      </c>
      <c r="E1521" s="192" t="s">
        <v>681</v>
      </c>
      <c r="F1521" s="192" t="s">
        <v>677</v>
      </c>
      <c r="G1521" s="192" t="s">
        <v>678</v>
      </c>
      <c r="H1521" s="210" t="s">
        <v>1440</v>
      </c>
      <c r="I1521" s="167">
        <v>260000000</v>
      </c>
      <c r="J1521" s="166"/>
      <c r="K1521" s="167">
        <v>260000000</v>
      </c>
      <c r="L1521" s="171"/>
      <c r="M1521" s="168">
        <f t="shared" si="148"/>
        <v>260000000</v>
      </c>
      <c r="N1521" s="171"/>
      <c r="O1521" s="167">
        <v>258338100</v>
      </c>
      <c r="P1521" s="167">
        <f t="shared" si="149"/>
        <v>258338100</v>
      </c>
      <c r="Q1521" s="167"/>
      <c r="S1521" s="201">
        <f t="shared" si="150"/>
        <v>260</v>
      </c>
      <c r="T1521" s="201">
        <f t="shared" si="151"/>
        <v>260</v>
      </c>
      <c r="U1521" s="201">
        <f t="shared" si="151"/>
        <v>0</v>
      </c>
      <c r="V1521" s="201">
        <f t="shared" si="151"/>
        <v>258.3381</v>
      </c>
      <c r="W1521" s="201">
        <f t="shared" si="151"/>
        <v>258.3381</v>
      </c>
      <c r="X1521" s="201">
        <f t="shared" si="151"/>
        <v>0</v>
      </c>
    </row>
    <row r="1522" spans="1:24" s="169" customFormat="1" ht="13.8">
      <c r="A1522" s="195"/>
      <c r="B1522" s="188"/>
      <c r="C1522" s="183" t="str">
        <f t="shared" si="146"/>
        <v/>
      </c>
      <c r="D1522" s="182" t="str">
        <f t="shared" si="147"/>
        <v/>
      </c>
      <c r="E1522" s="192" t="s">
        <v>669</v>
      </c>
      <c r="F1522" s="192" t="s">
        <v>677</v>
      </c>
      <c r="G1522" s="192" t="s">
        <v>678</v>
      </c>
      <c r="H1522" s="210" t="s">
        <v>1440</v>
      </c>
      <c r="I1522" s="167">
        <v>642978000</v>
      </c>
      <c r="J1522" s="166"/>
      <c r="K1522" s="167">
        <v>589978000</v>
      </c>
      <c r="L1522" s="168">
        <v>53000000</v>
      </c>
      <c r="M1522" s="168">
        <f t="shared" si="148"/>
        <v>642978000</v>
      </c>
      <c r="N1522" s="168"/>
      <c r="O1522" s="167">
        <v>642578000</v>
      </c>
      <c r="P1522" s="167">
        <f t="shared" si="149"/>
        <v>642578000</v>
      </c>
      <c r="Q1522" s="167"/>
      <c r="S1522" s="201">
        <f t="shared" si="150"/>
        <v>642.97799999999995</v>
      </c>
      <c r="T1522" s="201">
        <f t="shared" si="151"/>
        <v>642.97799999999995</v>
      </c>
      <c r="U1522" s="201">
        <f t="shared" si="151"/>
        <v>0</v>
      </c>
      <c r="V1522" s="201">
        <f t="shared" si="151"/>
        <v>642.57799999999997</v>
      </c>
      <c r="W1522" s="201">
        <f t="shared" si="151"/>
        <v>642.57799999999997</v>
      </c>
      <c r="X1522" s="201">
        <f t="shared" si="151"/>
        <v>0</v>
      </c>
    </row>
    <row r="1523" spans="1:24" s="169" customFormat="1" ht="26.4">
      <c r="A1523" s="192" t="s">
        <v>1355</v>
      </c>
      <c r="B1523" s="165" t="s">
        <v>1356</v>
      </c>
      <c r="C1523" s="183" t="str">
        <f t="shared" si="146"/>
        <v>1121877</v>
      </c>
      <c r="D1523" s="182" t="str">
        <f t="shared" si="147"/>
        <v>-Trung tâm Dạy nghễ và Hỗ TỢ Nông dân</v>
      </c>
      <c r="E1523" s="206"/>
      <c r="F1523" s="207"/>
      <c r="G1523" s="207"/>
      <c r="H1523" s="205"/>
      <c r="I1523" s="167">
        <v>135000000</v>
      </c>
      <c r="J1523" s="166"/>
      <c r="K1523" s="167">
        <v>135000000</v>
      </c>
      <c r="L1523" s="171"/>
      <c r="M1523" s="168">
        <f t="shared" si="148"/>
        <v>135000000</v>
      </c>
      <c r="N1523" s="171"/>
      <c r="O1523" s="167">
        <v>80553200</v>
      </c>
      <c r="P1523" s="167">
        <f t="shared" si="149"/>
        <v>80553200</v>
      </c>
      <c r="Q1523" s="167"/>
      <c r="S1523" s="201">
        <f t="shared" si="150"/>
        <v>135</v>
      </c>
      <c r="T1523" s="201">
        <f t="shared" si="151"/>
        <v>135</v>
      </c>
      <c r="U1523" s="201">
        <f t="shared" si="151"/>
        <v>0</v>
      </c>
      <c r="V1523" s="201">
        <f t="shared" si="151"/>
        <v>80.553200000000004</v>
      </c>
      <c r="W1523" s="201">
        <f t="shared" si="151"/>
        <v>80.553200000000004</v>
      </c>
      <c r="X1523" s="201">
        <f t="shared" si="151"/>
        <v>0</v>
      </c>
    </row>
    <row r="1524" spans="1:24" s="169" customFormat="1" ht="13.8">
      <c r="A1524" s="192" t="s">
        <v>1357</v>
      </c>
      <c r="B1524" s="170" t="s">
        <v>675</v>
      </c>
      <c r="C1524" s="183" t="str">
        <f t="shared" si="146"/>
        <v/>
      </c>
      <c r="D1524" s="182" t="str">
        <f t="shared" si="147"/>
        <v/>
      </c>
      <c r="E1524" s="206"/>
      <c r="F1524" s="207"/>
      <c r="G1524" s="207"/>
      <c r="H1524" s="205"/>
      <c r="I1524" s="167">
        <v>135000000</v>
      </c>
      <c r="J1524" s="166"/>
      <c r="K1524" s="167">
        <v>135000000</v>
      </c>
      <c r="L1524" s="171"/>
      <c r="M1524" s="168">
        <f t="shared" si="148"/>
        <v>135000000</v>
      </c>
      <c r="N1524" s="171"/>
      <c r="O1524" s="167">
        <v>80553200</v>
      </c>
      <c r="P1524" s="167">
        <f t="shared" si="149"/>
        <v>80553200</v>
      </c>
      <c r="Q1524" s="167"/>
      <c r="S1524" s="201">
        <f t="shared" si="150"/>
        <v>135</v>
      </c>
      <c r="T1524" s="201">
        <f t="shared" si="151"/>
        <v>135</v>
      </c>
      <c r="U1524" s="201">
        <f t="shared" si="151"/>
        <v>0</v>
      </c>
      <c r="V1524" s="201">
        <f t="shared" si="151"/>
        <v>80.553200000000004</v>
      </c>
      <c r="W1524" s="201">
        <f t="shared" si="151"/>
        <v>80.553200000000004</v>
      </c>
      <c r="X1524" s="201">
        <f t="shared" si="151"/>
        <v>0</v>
      </c>
    </row>
    <row r="1525" spans="1:24" s="169" customFormat="1" ht="13.8">
      <c r="A1525" s="192"/>
      <c r="B1525" s="170" t="s">
        <v>680</v>
      </c>
      <c r="C1525" s="183" t="str">
        <f t="shared" si="146"/>
        <v/>
      </c>
      <c r="D1525" s="182" t="str">
        <f t="shared" si="147"/>
        <v/>
      </c>
      <c r="E1525" s="206"/>
      <c r="F1525" s="207"/>
      <c r="G1525" s="207"/>
      <c r="H1525" s="205"/>
      <c r="I1525" s="167">
        <v>135000000</v>
      </c>
      <c r="J1525" s="166"/>
      <c r="K1525" s="167">
        <v>135000000</v>
      </c>
      <c r="L1525" s="171"/>
      <c r="M1525" s="168">
        <f t="shared" si="148"/>
        <v>135000000</v>
      </c>
      <c r="N1525" s="171"/>
      <c r="O1525" s="167">
        <v>80553200</v>
      </c>
      <c r="P1525" s="167">
        <f t="shared" si="149"/>
        <v>80553200</v>
      </c>
      <c r="Q1525" s="167"/>
      <c r="S1525" s="201">
        <f t="shared" si="150"/>
        <v>135</v>
      </c>
      <c r="T1525" s="201">
        <f t="shared" si="151"/>
        <v>135</v>
      </c>
      <c r="U1525" s="201">
        <f t="shared" si="151"/>
        <v>0</v>
      </c>
      <c r="V1525" s="201">
        <f t="shared" si="151"/>
        <v>80.553200000000004</v>
      </c>
      <c r="W1525" s="201">
        <f t="shared" si="151"/>
        <v>80.553200000000004</v>
      </c>
      <c r="X1525" s="201">
        <f t="shared" si="151"/>
        <v>0</v>
      </c>
    </row>
    <row r="1526" spans="1:24" s="169" customFormat="1" ht="13.8">
      <c r="A1526" s="192"/>
      <c r="B1526" s="164"/>
      <c r="C1526" s="183" t="str">
        <f t="shared" si="146"/>
        <v/>
      </c>
      <c r="D1526" s="182" t="str">
        <f t="shared" si="147"/>
        <v/>
      </c>
      <c r="E1526" s="192" t="s">
        <v>681</v>
      </c>
      <c r="F1526" s="192" t="s">
        <v>859</v>
      </c>
      <c r="G1526" s="192" t="s">
        <v>786</v>
      </c>
      <c r="H1526" s="210" t="s">
        <v>1440</v>
      </c>
      <c r="I1526" s="167">
        <v>135000000</v>
      </c>
      <c r="J1526" s="166"/>
      <c r="K1526" s="167">
        <v>135000000</v>
      </c>
      <c r="L1526" s="171"/>
      <c r="M1526" s="168">
        <f t="shared" si="148"/>
        <v>135000000</v>
      </c>
      <c r="N1526" s="171"/>
      <c r="O1526" s="167">
        <v>80553200</v>
      </c>
      <c r="P1526" s="167">
        <f t="shared" si="149"/>
        <v>80553200</v>
      </c>
      <c r="Q1526" s="167"/>
      <c r="S1526" s="201">
        <f t="shared" si="150"/>
        <v>135</v>
      </c>
      <c r="T1526" s="201">
        <f t="shared" si="151"/>
        <v>135</v>
      </c>
      <c r="U1526" s="201">
        <f t="shared" si="151"/>
        <v>0</v>
      </c>
      <c r="V1526" s="201">
        <f t="shared" si="151"/>
        <v>80.553200000000004</v>
      </c>
      <c r="W1526" s="201">
        <f t="shared" si="151"/>
        <v>80.553200000000004</v>
      </c>
      <c r="X1526" s="201">
        <f t="shared" si="151"/>
        <v>0</v>
      </c>
    </row>
    <row r="1527" spans="1:24" s="169" customFormat="1" ht="13.8">
      <c r="A1527" s="192" t="s">
        <v>1358</v>
      </c>
      <c r="B1527" s="170" t="s">
        <v>1359</v>
      </c>
      <c r="C1527" s="183" t="str">
        <f t="shared" si="146"/>
        <v>1121980</v>
      </c>
      <c r="D1527" s="182" t="str">
        <f t="shared" si="147"/>
        <v>-Hạtkiểm lâm Huyện H'Drai</v>
      </c>
      <c r="E1527" s="206"/>
      <c r="F1527" s="207"/>
      <c r="G1527" s="207"/>
      <c r="H1527" s="205"/>
      <c r="I1527" s="167">
        <v>2905295746</v>
      </c>
      <c r="J1527" s="167">
        <v>77395746</v>
      </c>
      <c r="K1527" s="167">
        <v>2783300000</v>
      </c>
      <c r="L1527" s="168">
        <v>44600000</v>
      </c>
      <c r="M1527" s="168">
        <f t="shared" si="148"/>
        <v>2905295746</v>
      </c>
      <c r="N1527" s="168"/>
      <c r="O1527" s="167">
        <v>2905295746</v>
      </c>
      <c r="P1527" s="167">
        <f t="shared" si="149"/>
        <v>2905295746</v>
      </c>
      <c r="Q1527" s="167"/>
      <c r="S1527" s="201">
        <f t="shared" si="150"/>
        <v>2905.2957459999998</v>
      </c>
      <c r="T1527" s="201">
        <f t="shared" si="151"/>
        <v>2905.2957459999998</v>
      </c>
      <c r="U1527" s="201">
        <f t="shared" si="151"/>
        <v>0</v>
      </c>
      <c r="V1527" s="201">
        <f t="shared" si="151"/>
        <v>2905.2957459999998</v>
      </c>
      <c r="W1527" s="201">
        <f t="shared" si="151"/>
        <v>2905.2957459999998</v>
      </c>
      <c r="X1527" s="201">
        <f t="shared" si="151"/>
        <v>0</v>
      </c>
    </row>
    <row r="1528" spans="1:24" s="169" customFormat="1" ht="13.8">
      <c r="A1528" s="192" t="s">
        <v>1360</v>
      </c>
      <c r="B1528" s="170" t="s">
        <v>675</v>
      </c>
      <c r="C1528" s="183" t="str">
        <f t="shared" si="146"/>
        <v/>
      </c>
      <c r="D1528" s="182" t="str">
        <f t="shared" si="147"/>
        <v/>
      </c>
      <c r="E1528" s="206"/>
      <c r="F1528" s="207"/>
      <c r="G1528" s="207"/>
      <c r="H1528" s="205"/>
      <c r="I1528" s="167">
        <v>2905295746</v>
      </c>
      <c r="J1528" s="167">
        <v>77395746</v>
      </c>
      <c r="K1528" s="167">
        <v>2783300000</v>
      </c>
      <c r="L1528" s="168">
        <v>44600000</v>
      </c>
      <c r="M1528" s="168">
        <f t="shared" si="148"/>
        <v>2905295746</v>
      </c>
      <c r="N1528" s="168"/>
      <c r="O1528" s="167">
        <v>2905295746</v>
      </c>
      <c r="P1528" s="167">
        <f t="shared" si="149"/>
        <v>2905295746</v>
      </c>
      <c r="Q1528" s="167"/>
      <c r="S1528" s="201">
        <f t="shared" si="150"/>
        <v>2905.2957459999998</v>
      </c>
      <c r="T1528" s="201">
        <f t="shared" si="151"/>
        <v>2905.2957459999998</v>
      </c>
      <c r="U1528" s="201">
        <f t="shared" si="151"/>
        <v>0</v>
      </c>
      <c r="V1528" s="201">
        <f t="shared" si="151"/>
        <v>2905.2957459999998</v>
      </c>
      <c r="W1528" s="201">
        <f t="shared" si="151"/>
        <v>2905.2957459999998</v>
      </c>
      <c r="X1528" s="201">
        <f t="shared" si="151"/>
        <v>0</v>
      </c>
    </row>
    <row r="1529" spans="1:24" s="169" customFormat="1" ht="13.8">
      <c r="A1529" s="192"/>
      <c r="B1529" s="170" t="s">
        <v>676</v>
      </c>
      <c r="C1529" s="183" t="str">
        <f t="shared" si="146"/>
        <v/>
      </c>
      <c r="D1529" s="182" t="str">
        <f t="shared" si="147"/>
        <v/>
      </c>
      <c r="E1529" s="206"/>
      <c r="F1529" s="207"/>
      <c r="G1529" s="207"/>
      <c r="H1529" s="205"/>
      <c r="I1529" s="167">
        <v>2751695746</v>
      </c>
      <c r="J1529" s="167">
        <v>77395746</v>
      </c>
      <c r="K1529" s="167">
        <v>2652300000</v>
      </c>
      <c r="L1529" s="168">
        <v>22000000</v>
      </c>
      <c r="M1529" s="168">
        <f t="shared" si="148"/>
        <v>2751695746</v>
      </c>
      <c r="N1529" s="168"/>
      <c r="O1529" s="167">
        <v>2751695746</v>
      </c>
      <c r="P1529" s="167">
        <f t="shared" si="149"/>
        <v>2751695746</v>
      </c>
      <c r="Q1529" s="167"/>
      <c r="S1529" s="201">
        <f t="shared" si="150"/>
        <v>2751.6957459999999</v>
      </c>
      <c r="T1529" s="201">
        <f t="shared" si="151"/>
        <v>2751.6957459999999</v>
      </c>
      <c r="U1529" s="201">
        <f t="shared" si="151"/>
        <v>0</v>
      </c>
      <c r="V1529" s="201">
        <f t="shared" si="151"/>
        <v>2751.6957459999999</v>
      </c>
      <c r="W1529" s="201">
        <f t="shared" si="151"/>
        <v>2751.6957459999999</v>
      </c>
      <c r="X1529" s="201">
        <f t="shared" si="151"/>
        <v>0</v>
      </c>
    </row>
    <row r="1530" spans="1:24" s="169" customFormat="1" ht="13.8">
      <c r="A1530" s="193"/>
      <c r="B1530" s="187"/>
      <c r="C1530" s="183" t="str">
        <f t="shared" si="146"/>
        <v/>
      </c>
      <c r="D1530" s="182" t="str">
        <f t="shared" si="147"/>
        <v/>
      </c>
      <c r="E1530" s="192" t="s">
        <v>666</v>
      </c>
      <c r="F1530" s="192" t="s">
        <v>698</v>
      </c>
      <c r="G1530" s="192" t="s">
        <v>695</v>
      </c>
      <c r="H1530" s="210" t="s">
        <v>1440</v>
      </c>
      <c r="I1530" s="167">
        <v>2652300000</v>
      </c>
      <c r="J1530" s="166"/>
      <c r="K1530" s="167">
        <v>2652300000</v>
      </c>
      <c r="L1530" s="171"/>
      <c r="M1530" s="168">
        <f t="shared" si="148"/>
        <v>2652300000</v>
      </c>
      <c r="N1530" s="171"/>
      <c r="O1530" s="167">
        <v>2652300000</v>
      </c>
      <c r="P1530" s="167">
        <f t="shared" si="149"/>
        <v>2652300000</v>
      </c>
      <c r="Q1530" s="167"/>
      <c r="S1530" s="201">
        <f t="shared" si="150"/>
        <v>2652.3</v>
      </c>
      <c r="T1530" s="201">
        <f t="shared" si="151"/>
        <v>2652.3</v>
      </c>
      <c r="U1530" s="201">
        <f t="shared" si="151"/>
        <v>0</v>
      </c>
      <c r="V1530" s="201">
        <f t="shared" si="151"/>
        <v>2652.3</v>
      </c>
      <c r="W1530" s="201">
        <f t="shared" si="151"/>
        <v>2652.3</v>
      </c>
      <c r="X1530" s="201">
        <f t="shared" si="151"/>
        <v>0</v>
      </c>
    </row>
    <row r="1531" spans="1:24" s="169" customFormat="1" ht="13.8">
      <c r="A1531" s="195"/>
      <c r="B1531" s="188"/>
      <c r="C1531" s="183" t="str">
        <f t="shared" si="146"/>
        <v/>
      </c>
      <c r="D1531" s="182" t="str">
        <f t="shared" si="147"/>
        <v/>
      </c>
      <c r="E1531" s="192" t="s">
        <v>679</v>
      </c>
      <c r="F1531" s="192" t="s">
        <v>698</v>
      </c>
      <c r="G1531" s="192" t="s">
        <v>695</v>
      </c>
      <c r="H1531" s="210" t="s">
        <v>1440</v>
      </c>
      <c r="I1531" s="167">
        <v>99395746</v>
      </c>
      <c r="J1531" s="167">
        <v>77395746</v>
      </c>
      <c r="K1531" s="166"/>
      <c r="L1531" s="168">
        <v>22000000</v>
      </c>
      <c r="M1531" s="168">
        <f t="shared" si="148"/>
        <v>99395746</v>
      </c>
      <c r="N1531" s="168"/>
      <c r="O1531" s="167">
        <v>99395746</v>
      </c>
      <c r="P1531" s="167">
        <f t="shared" si="149"/>
        <v>99395746</v>
      </c>
      <c r="Q1531" s="167"/>
      <c r="S1531" s="201">
        <f t="shared" si="150"/>
        <v>99.395746000000003</v>
      </c>
      <c r="T1531" s="201">
        <f t="shared" si="151"/>
        <v>99.395746000000003</v>
      </c>
      <c r="U1531" s="201">
        <f t="shared" si="151"/>
        <v>0</v>
      </c>
      <c r="V1531" s="201">
        <f t="shared" si="151"/>
        <v>99.395746000000003</v>
      </c>
      <c r="W1531" s="201">
        <f t="shared" si="151"/>
        <v>99.395746000000003</v>
      </c>
      <c r="X1531" s="201">
        <f t="shared" si="151"/>
        <v>0</v>
      </c>
    </row>
    <row r="1532" spans="1:24" s="169" customFormat="1" ht="13.8">
      <c r="A1532" s="192"/>
      <c r="B1532" s="170" t="s">
        <v>680</v>
      </c>
      <c r="C1532" s="183" t="str">
        <f t="shared" si="146"/>
        <v/>
      </c>
      <c r="D1532" s="182" t="str">
        <f t="shared" si="147"/>
        <v/>
      </c>
      <c r="E1532" s="206"/>
      <c r="F1532" s="207"/>
      <c r="G1532" s="207"/>
      <c r="H1532" s="205"/>
      <c r="I1532" s="167">
        <v>153600000</v>
      </c>
      <c r="J1532" s="166"/>
      <c r="K1532" s="167">
        <v>131000000</v>
      </c>
      <c r="L1532" s="168">
        <v>22600000</v>
      </c>
      <c r="M1532" s="168">
        <f t="shared" si="148"/>
        <v>153600000</v>
      </c>
      <c r="N1532" s="168"/>
      <c r="O1532" s="167">
        <v>153600000</v>
      </c>
      <c r="P1532" s="167">
        <f t="shared" si="149"/>
        <v>153600000</v>
      </c>
      <c r="Q1532" s="167"/>
      <c r="S1532" s="201">
        <f t="shared" si="150"/>
        <v>153.6</v>
      </c>
      <c r="T1532" s="201">
        <f t="shared" si="151"/>
        <v>153.6</v>
      </c>
      <c r="U1532" s="201">
        <f t="shared" si="151"/>
        <v>0</v>
      </c>
      <c r="V1532" s="201">
        <f t="shared" si="151"/>
        <v>153.6</v>
      </c>
      <c r="W1532" s="201">
        <f t="shared" si="151"/>
        <v>153.6</v>
      </c>
      <c r="X1532" s="201">
        <f t="shared" si="151"/>
        <v>0</v>
      </c>
    </row>
    <row r="1533" spans="1:24" s="169" customFormat="1" ht="13.8">
      <c r="A1533" s="193"/>
      <c r="B1533" s="187"/>
      <c r="C1533" s="183" t="str">
        <f t="shared" si="146"/>
        <v/>
      </c>
      <c r="D1533" s="182" t="str">
        <f t="shared" si="147"/>
        <v/>
      </c>
      <c r="E1533" s="192" t="s">
        <v>681</v>
      </c>
      <c r="F1533" s="192" t="s">
        <v>698</v>
      </c>
      <c r="G1533" s="192" t="s">
        <v>699</v>
      </c>
      <c r="H1533" s="210" t="s">
        <v>1440</v>
      </c>
      <c r="I1533" s="167">
        <v>131000000</v>
      </c>
      <c r="J1533" s="166"/>
      <c r="K1533" s="167">
        <v>131000000</v>
      </c>
      <c r="L1533" s="171"/>
      <c r="M1533" s="168">
        <f t="shared" si="148"/>
        <v>131000000</v>
      </c>
      <c r="N1533" s="171"/>
      <c r="O1533" s="167">
        <v>131000000</v>
      </c>
      <c r="P1533" s="167">
        <f t="shared" si="149"/>
        <v>131000000</v>
      </c>
      <c r="Q1533" s="167"/>
      <c r="S1533" s="201">
        <f t="shared" si="150"/>
        <v>131</v>
      </c>
      <c r="T1533" s="201">
        <f t="shared" si="151"/>
        <v>131</v>
      </c>
      <c r="U1533" s="201">
        <f t="shared" si="151"/>
        <v>0</v>
      </c>
      <c r="V1533" s="201">
        <f t="shared" si="151"/>
        <v>131</v>
      </c>
      <c r="W1533" s="201">
        <f t="shared" si="151"/>
        <v>131</v>
      </c>
      <c r="X1533" s="201">
        <f t="shared" si="151"/>
        <v>0</v>
      </c>
    </row>
    <row r="1534" spans="1:24" s="169" customFormat="1" ht="13.8">
      <c r="A1534" s="195"/>
      <c r="B1534" s="188"/>
      <c r="C1534" s="183" t="str">
        <f t="shared" si="146"/>
        <v/>
      </c>
      <c r="D1534" s="182" t="str">
        <f t="shared" si="147"/>
        <v/>
      </c>
      <c r="E1534" s="192" t="s">
        <v>681</v>
      </c>
      <c r="F1534" s="192" t="s">
        <v>698</v>
      </c>
      <c r="G1534" s="192" t="s">
        <v>695</v>
      </c>
      <c r="H1534" s="210" t="s">
        <v>1440</v>
      </c>
      <c r="I1534" s="167">
        <v>22600000</v>
      </c>
      <c r="J1534" s="166"/>
      <c r="K1534" s="166"/>
      <c r="L1534" s="168">
        <v>22600000</v>
      </c>
      <c r="M1534" s="168">
        <f t="shared" si="148"/>
        <v>22600000</v>
      </c>
      <c r="N1534" s="168"/>
      <c r="O1534" s="167">
        <v>22600000</v>
      </c>
      <c r="P1534" s="167">
        <f t="shared" si="149"/>
        <v>22600000</v>
      </c>
      <c r="Q1534" s="167"/>
      <c r="S1534" s="201">
        <f t="shared" si="150"/>
        <v>22.6</v>
      </c>
      <c r="T1534" s="201">
        <f t="shared" si="151"/>
        <v>22.6</v>
      </c>
      <c r="U1534" s="201">
        <f t="shared" si="151"/>
        <v>0</v>
      </c>
      <c r="V1534" s="201">
        <f t="shared" si="151"/>
        <v>22.6</v>
      </c>
      <c r="W1534" s="201">
        <f t="shared" si="151"/>
        <v>22.6</v>
      </c>
      <c r="X1534" s="201">
        <f t="shared" si="151"/>
        <v>0</v>
      </c>
    </row>
    <row r="1535" spans="1:24" s="169" customFormat="1" ht="26.4">
      <c r="A1535" s="192" t="s">
        <v>1361</v>
      </c>
      <c r="B1535" s="165" t="s">
        <v>1362</v>
      </c>
      <c r="C1535" s="183" t="str">
        <f t="shared" si="146"/>
        <v>1122826</v>
      </c>
      <c r="D1535" s="182" t="str">
        <f t="shared" si="147"/>
        <v>-Trung tâm Y tẽ huyện la -TDrai, tỉnh Kon Tum</v>
      </c>
      <c r="E1535" s="206"/>
      <c r="F1535" s="207"/>
      <c r="G1535" s="207"/>
      <c r="H1535" s="205"/>
      <c r="I1535" s="167">
        <v>7497797682</v>
      </c>
      <c r="J1535" s="167">
        <v>138277682</v>
      </c>
      <c r="K1535" s="167">
        <v>5925000000</v>
      </c>
      <c r="L1535" s="168">
        <v>1434520000</v>
      </c>
      <c r="M1535" s="168">
        <f t="shared" si="148"/>
        <v>7497797682</v>
      </c>
      <c r="N1535" s="168"/>
      <c r="O1535" s="167">
        <v>7186802082</v>
      </c>
      <c r="P1535" s="167">
        <f t="shared" si="149"/>
        <v>7186802082</v>
      </c>
      <c r="Q1535" s="167"/>
      <c r="S1535" s="201">
        <f t="shared" si="150"/>
        <v>7497.7976820000003</v>
      </c>
      <c r="T1535" s="201">
        <f t="shared" si="151"/>
        <v>7497.7976820000003</v>
      </c>
      <c r="U1535" s="201">
        <f t="shared" si="151"/>
        <v>0</v>
      </c>
      <c r="V1535" s="201">
        <f t="shared" si="151"/>
        <v>7186.8020820000002</v>
      </c>
      <c r="W1535" s="201">
        <f t="shared" si="151"/>
        <v>7186.8020820000002</v>
      </c>
      <c r="X1535" s="201">
        <f t="shared" si="151"/>
        <v>0</v>
      </c>
    </row>
    <row r="1536" spans="1:24" s="169" customFormat="1" ht="13.8">
      <c r="A1536" s="192" t="s">
        <v>1363</v>
      </c>
      <c r="B1536" s="170" t="s">
        <v>675</v>
      </c>
      <c r="C1536" s="183" t="str">
        <f t="shared" si="146"/>
        <v/>
      </c>
      <c r="D1536" s="182" t="str">
        <f t="shared" si="147"/>
        <v/>
      </c>
      <c r="E1536" s="206"/>
      <c r="F1536" s="207"/>
      <c r="G1536" s="207"/>
      <c r="H1536" s="205"/>
      <c r="I1536" s="167">
        <v>7270277682</v>
      </c>
      <c r="J1536" s="167">
        <v>138277682</v>
      </c>
      <c r="K1536" s="167">
        <v>5925000000</v>
      </c>
      <c r="L1536" s="168">
        <v>1207000000</v>
      </c>
      <c r="M1536" s="168">
        <f t="shared" si="148"/>
        <v>7270277682</v>
      </c>
      <c r="N1536" s="168"/>
      <c r="O1536" s="167">
        <v>7186802082</v>
      </c>
      <c r="P1536" s="167">
        <f t="shared" si="149"/>
        <v>7186802082</v>
      </c>
      <c r="Q1536" s="167"/>
      <c r="S1536" s="201">
        <f t="shared" si="150"/>
        <v>7270.2776819999999</v>
      </c>
      <c r="T1536" s="201">
        <f t="shared" si="151"/>
        <v>7270.2776819999999</v>
      </c>
      <c r="U1536" s="201">
        <f t="shared" si="151"/>
        <v>0</v>
      </c>
      <c r="V1536" s="201">
        <f t="shared" si="151"/>
        <v>7186.8020820000002</v>
      </c>
      <c r="W1536" s="201">
        <f t="shared" si="151"/>
        <v>7186.8020820000002</v>
      </c>
      <c r="X1536" s="201">
        <f t="shared" si="151"/>
        <v>0</v>
      </c>
    </row>
    <row r="1537" spans="1:24" s="169" customFormat="1" ht="13.8">
      <c r="A1537" s="192"/>
      <c r="B1537" s="170" t="s">
        <v>676</v>
      </c>
      <c r="C1537" s="183" t="str">
        <f t="shared" si="146"/>
        <v/>
      </c>
      <c r="D1537" s="182" t="str">
        <f t="shared" si="147"/>
        <v/>
      </c>
      <c r="E1537" s="206"/>
      <c r="F1537" s="207"/>
      <c r="G1537" s="207"/>
      <c r="H1537" s="205"/>
      <c r="I1537" s="167">
        <v>3694609000</v>
      </c>
      <c r="J1537" s="166"/>
      <c r="K1537" s="167">
        <v>-245000000</v>
      </c>
      <c r="L1537" s="168">
        <v>3939609000</v>
      </c>
      <c r="M1537" s="168">
        <f t="shared" si="148"/>
        <v>3694609000</v>
      </c>
      <c r="N1537" s="168"/>
      <c r="O1537" s="167">
        <v>3681133400</v>
      </c>
      <c r="P1537" s="167">
        <f t="shared" si="149"/>
        <v>3681133400</v>
      </c>
      <c r="Q1537" s="167"/>
      <c r="S1537" s="201">
        <f t="shared" si="150"/>
        <v>3694.6089999999999</v>
      </c>
      <c r="T1537" s="201">
        <f t="shared" si="151"/>
        <v>3694.6089999999999</v>
      </c>
      <c r="U1537" s="201">
        <f t="shared" si="151"/>
        <v>0</v>
      </c>
      <c r="V1537" s="201">
        <f t="shared" si="151"/>
        <v>3681.1334000000002</v>
      </c>
      <c r="W1537" s="201">
        <f t="shared" si="151"/>
        <v>3681.1334000000002</v>
      </c>
      <c r="X1537" s="201">
        <f t="shared" si="151"/>
        <v>0</v>
      </c>
    </row>
    <row r="1538" spans="1:24" s="169" customFormat="1" ht="13.8">
      <c r="A1538" s="193"/>
      <c r="B1538" s="187"/>
      <c r="C1538" s="183" t="str">
        <f t="shared" si="146"/>
        <v/>
      </c>
      <c r="D1538" s="182" t="str">
        <f t="shared" si="147"/>
        <v/>
      </c>
      <c r="E1538" s="192" t="s">
        <v>666</v>
      </c>
      <c r="F1538" s="192" t="s">
        <v>705</v>
      </c>
      <c r="G1538" s="192" t="s">
        <v>976</v>
      </c>
      <c r="H1538" s="210" t="s">
        <v>1440</v>
      </c>
      <c r="I1538" s="167">
        <v>1724065000</v>
      </c>
      <c r="J1538" s="166"/>
      <c r="K1538" s="167">
        <v>-225000000</v>
      </c>
      <c r="L1538" s="168">
        <v>1949065000</v>
      </c>
      <c r="M1538" s="168">
        <f t="shared" si="148"/>
        <v>1724065000</v>
      </c>
      <c r="N1538" s="168"/>
      <c r="O1538" s="167">
        <v>1724065000</v>
      </c>
      <c r="P1538" s="167">
        <f t="shared" si="149"/>
        <v>1724065000</v>
      </c>
      <c r="Q1538" s="167"/>
      <c r="S1538" s="201">
        <f t="shared" si="150"/>
        <v>1724.0650000000001</v>
      </c>
      <c r="T1538" s="201">
        <f t="shared" si="151"/>
        <v>1724.0650000000001</v>
      </c>
      <c r="U1538" s="201">
        <f t="shared" si="151"/>
        <v>0</v>
      </c>
      <c r="V1538" s="201">
        <f t="shared" si="151"/>
        <v>1724.0650000000001</v>
      </c>
      <c r="W1538" s="201">
        <f t="shared" si="151"/>
        <v>1724.0650000000001</v>
      </c>
      <c r="X1538" s="201">
        <f t="shared" si="151"/>
        <v>0</v>
      </c>
    </row>
    <row r="1539" spans="1:24" s="169" customFormat="1" ht="13.8">
      <c r="A1539" s="194"/>
      <c r="B1539" s="184"/>
      <c r="C1539" s="183" t="str">
        <f t="shared" si="146"/>
        <v/>
      </c>
      <c r="D1539" s="182" t="str">
        <f t="shared" si="147"/>
        <v/>
      </c>
      <c r="E1539" s="192" t="s">
        <v>666</v>
      </c>
      <c r="F1539" s="192" t="s">
        <v>705</v>
      </c>
      <c r="G1539" s="192" t="s">
        <v>775</v>
      </c>
      <c r="H1539" s="210" t="s">
        <v>1440</v>
      </c>
      <c r="I1539" s="167">
        <v>1964544000</v>
      </c>
      <c r="J1539" s="166"/>
      <c r="K1539" s="167">
        <v>-20000000</v>
      </c>
      <c r="L1539" s="168">
        <v>1984544000</v>
      </c>
      <c r="M1539" s="168">
        <f t="shared" si="148"/>
        <v>1964544000</v>
      </c>
      <c r="N1539" s="168"/>
      <c r="O1539" s="167">
        <v>1951068400</v>
      </c>
      <c r="P1539" s="167">
        <f t="shared" si="149"/>
        <v>1951068400</v>
      </c>
      <c r="Q1539" s="167"/>
      <c r="S1539" s="201">
        <f t="shared" si="150"/>
        <v>1964.5440000000001</v>
      </c>
      <c r="T1539" s="201">
        <f t="shared" si="151"/>
        <v>1964.5440000000001</v>
      </c>
      <c r="U1539" s="201">
        <f t="shared" si="151"/>
        <v>0</v>
      </c>
      <c r="V1539" s="201">
        <f t="shared" si="151"/>
        <v>1951.0684000000001</v>
      </c>
      <c r="W1539" s="201">
        <f t="shared" si="151"/>
        <v>1951.0684000000001</v>
      </c>
      <c r="X1539" s="201">
        <f t="shared" si="151"/>
        <v>0</v>
      </c>
    </row>
    <row r="1540" spans="1:24" s="169" customFormat="1" ht="13.8">
      <c r="A1540" s="195"/>
      <c r="B1540" s="188"/>
      <c r="C1540" s="183" t="str">
        <f t="shared" si="146"/>
        <v/>
      </c>
      <c r="D1540" s="182" t="str">
        <f t="shared" si="147"/>
        <v/>
      </c>
      <c r="E1540" s="192" t="s">
        <v>679</v>
      </c>
      <c r="F1540" s="192" t="s">
        <v>705</v>
      </c>
      <c r="G1540" s="192" t="s">
        <v>775</v>
      </c>
      <c r="H1540" s="210" t="s">
        <v>1440</v>
      </c>
      <c r="I1540" s="167">
        <v>6000000</v>
      </c>
      <c r="J1540" s="166"/>
      <c r="K1540" s="166"/>
      <c r="L1540" s="168">
        <v>6000000</v>
      </c>
      <c r="M1540" s="168">
        <f t="shared" si="148"/>
        <v>6000000</v>
      </c>
      <c r="N1540" s="168"/>
      <c r="O1540" s="167">
        <v>6000000</v>
      </c>
      <c r="P1540" s="167">
        <f t="shared" si="149"/>
        <v>6000000</v>
      </c>
      <c r="Q1540" s="167"/>
      <c r="S1540" s="201">
        <f t="shared" si="150"/>
        <v>6</v>
      </c>
      <c r="T1540" s="201">
        <f t="shared" si="151"/>
        <v>6</v>
      </c>
      <c r="U1540" s="201">
        <f t="shared" si="151"/>
        <v>0</v>
      </c>
      <c r="V1540" s="201">
        <f t="shared" si="151"/>
        <v>6</v>
      </c>
      <c r="W1540" s="201">
        <f t="shared" si="151"/>
        <v>6</v>
      </c>
      <c r="X1540" s="201">
        <f t="shared" si="151"/>
        <v>0</v>
      </c>
    </row>
    <row r="1541" spans="1:24" s="169" customFormat="1" ht="13.8">
      <c r="A1541" s="192"/>
      <c r="B1541" s="170" t="s">
        <v>680</v>
      </c>
      <c r="C1541" s="183" t="str">
        <f t="shared" si="146"/>
        <v/>
      </c>
      <c r="D1541" s="182" t="str">
        <f t="shared" si="147"/>
        <v/>
      </c>
      <c r="E1541" s="206"/>
      <c r="F1541" s="207"/>
      <c r="G1541" s="207"/>
      <c r="H1541" s="205"/>
      <c r="I1541" s="167">
        <v>3575668682</v>
      </c>
      <c r="J1541" s="167">
        <v>138277682</v>
      </c>
      <c r="K1541" s="167">
        <v>6170000000</v>
      </c>
      <c r="L1541" s="168">
        <v>-2732609000</v>
      </c>
      <c r="M1541" s="168">
        <f t="shared" si="148"/>
        <v>3575668682</v>
      </c>
      <c r="N1541" s="168"/>
      <c r="O1541" s="167">
        <v>3505668682</v>
      </c>
      <c r="P1541" s="167">
        <f t="shared" si="149"/>
        <v>3505668682</v>
      </c>
      <c r="Q1541" s="167"/>
      <c r="S1541" s="201">
        <f t="shared" si="150"/>
        <v>3575.668682</v>
      </c>
      <c r="T1541" s="201">
        <f t="shared" si="151"/>
        <v>3575.668682</v>
      </c>
      <c r="U1541" s="201">
        <f t="shared" si="151"/>
        <v>0</v>
      </c>
      <c r="V1541" s="201">
        <f t="shared" si="151"/>
        <v>3505.668682</v>
      </c>
      <c r="W1541" s="201">
        <f t="shared" si="151"/>
        <v>3505.668682</v>
      </c>
      <c r="X1541" s="201">
        <f t="shared" si="151"/>
        <v>0</v>
      </c>
    </row>
    <row r="1542" spans="1:24" s="169" customFormat="1" ht="13.8">
      <c r="A1542" s="193"/>
      <c r="B1542" s="187"/>
      <c r="C1542" s="183" t="str">
        <f t="shared" si="146"/>
        <v/>
      </c>
      <c r="D1542" s="182" t="str">
        <f t="shared" si="147"/>
        <v/>
      </c>
      <c r="E1542" s="192" t="s">
        <v>681</v>
      </c>
      <c r="F1542" s="192" t="s">
        <v>705</v>
      </c>
      <c r="G1542" s="192" t="s">
        <v>976</v>
      </c>
      <c r="H1542" s="210" t="s">
        <v>1440</v>
      </c>
      <c r="I1542" s="167">
        <v>1522012682</v>
      </c>
      <c r="J1542" s="167">
        <v>138277682</v>
      </c>
      <c r="K1542" s="167">
        <v>2688800000</v>
      </c>
      <c r="L1542" s="168">
        <v>-1305065000</v>
      </c>
      <c r="M1542" s="168">
        <f t="shared" si="148"/>
        <v>1522012682</v>
      </c>
      <c r="N1542" s="168"/>
      <c r="O1542" s="167">
        <v>1522012682</v>
      </c>
      <c r="P1542" s="167">
        <f t="shared" si="149"/>
        <v>1522012682</v>
      </c>
      <c r="Q1542" s="167"/>
      <c r="S1542" s="201">
        <f t="shared" si="150"/>
        <v>1522.012682</v>
      </c>
      <c r="T1542" s="201">
        <f t="shared" si="151"/>
        <v>1522.012682</v>
      </c>
      <c r="U1542" s="201">
        <f t="shared" si="151"/>
        <v>0</v>
      </c>
      <c r="V1542" s="201">
        <f t="shared" si="151"/>
        <v>1522.012682</v>
      </c>
      <c r="W1542" s="201">
        <f t="shared" si="151"/>
        <v>1522.012682</v>
      </c>
      <c r="X1542" s="201">
        <f t="shared" si="151"/>
        <v>0</v>
      </c>
    </row>
    <row r="1543" spans="1:24" s="169" customFormat="1" ht="13.8">
      <c r="A1543" s="194"/>
      <c r="B1543" s="184"/>
      <c r="C1543" s="183" t="str">
        <f t="shared" si="146"/>
        <v/>
      </c>
      <c r="D1543" s="182" t="str">
        <f t="shared" si="147"/>
        <v/>
      </c>
      <c r="E1543" s="192" t="s">
        <v>667</v>
      </c>
      <c r="F1543" s="192" t="s">
        <v>705</v>
      </c>
      <c r="G1543" s="192" t="s">
        <v>976</v>
      </c>
      <c r="H1543" s="210" t="s">
        <v>1440</v>
      </c>
      <c r="I1543" s="167">
        <v>487000000</v>
      </c>
      <c r="J1543" s="166"/>
      <c r="K1543" s="166"/>
      <c r="L1543" s="168">
        <v>487000000</v>
      </c>
      <c r="M1543" s="168">
        <f t="shared" si="148"/>
        <v>487000000</v>
      </c>
      <c r="N1543" s="168"/>
      <c r="O1543" s="167">
        <v>487000000</v>
      </c>
      <c r="P1543" s="167">
        <f t="shared" si="149"/>
        <v>487000000</v>
      </c>
      <c r="Q1543" s="167"/>
      <c r="S1543" s="201">
        <f t="shared" si="150"/>
        <v>487</v>
      </c>
      <c r="T1543" s="201">
        <f t="shared" si="151"/>
        <v>487</v>
      </c>
      <c r="U1543" s="201">
        <f t="shared" si="151"/>
        <v>0</v>
      </c>
      <c r="V1543" s="201">
        <f t="shared" si="151"/>
        <v>487</v>
      </c>
      <c r="W1543" s="201">
        <f t="shared" si="151"/>
        <v>487</v>
      </c>
      <c r="X1543" s="201">
        <f t="shared" si="151"/>
        <v>0</v>
      </c>
    </row>
    <row r="1544" spans="1:24" s="169" customFormat="1" ht="13.8">
      <c r="A1544" s="194"/>
      <c r="B1544" s="184"/>
      <c r="C1544" s="183" t="str">
        <f t="shared" si="146"/>
        <v/>
      </c>
      <c r="D1544" s="182" t="str">
        <f t="shared" si="147"/>
        <v/>
      </c>
      <c r="E1544" s="192" t="s">
        <v>681</v>
      </c>
      <c r="F1544" s="192" t="s">
        <v>705</v>
      </c>
      <c r="G1544" s="192" t="s">
        <v>775</v>
      </c>
      <c r="H1544" s="210" t="s">
        <v>1440</v>
      </c>
      <c r="I1544" s="167">
        <v>1496656000</v>
      </c>
      <c r="J1544" s="166"/>
      <c r="K1544" s="167">
        <v>3481200000</v>
      </c>
      <c r="L1544" s="168">
        <v>-1984544000</v>
      </c>
      <c r="M1544" s="168">
        <f t="shared" si="148"/>
        <v>1496656000</v>
      </c>
      <c r="N1544" s="168"/>
      <c r="O1544" s="167">
        <v>1496656000</v>
      </c>
      <c r="P1544" s="167">
        <f t="shared" si="149"/>
        <v>1496656000</v>
      </c>
      <c r="Q1544" s="167"/>
      <c r="S1544" s="201">
        <f t="shared" si="150"/>
        <v>1496.6559999999999</v>
      </c>
      <c r="T1544" s="201">
        <f t="shared" si="151"/>
        <v>1496.6559999999999</v>
      </c>
      <c r="U1544" s="201">
        <f t="shared" si="151"/>
        <v>0</v>
      </c>
      <c r="V1544" s="201">
        <f t="shared" si="151"/>
        <v>1496.6559999999999</v>
      </c>
      <c r="W1544" s="201">
        <f t="shared" si="151"/>
        <v>1496.6559999999999</v>
      </c>
      <c r="X1544" s="201">
        <f t="shared" si="151"/>
        <v>0</v>
      </c>
    </row>
    <row r="1545" spans="1:24" s="169" customFormat="1" ht="13.8">
      <c r="A1545" s="195"/>
      <c r="B1545" s="188"/>
      <c r="C1545" s="183" t="str">
        <f t="shared" si="146"/>
        <v/>
      </c>
      <c r="D1545" s="182" t="str">
        <f t="shared" si="147"/>
        <v/>
      </c>
      <c r="E1545" s="192" t="s">
        <v>667</v>
      </c>
      <c r="F1545" s="192" t="s">
        <v>705</v>
      </c>
      <c r="G1545" s="192" t="s">
        <v>775</v>
      </c>
      <c r="H1545" s="210" t="s">
        <v>1440</v>
      </c>
      <c r="I1545" s="167">
        <v>70000000</v>
      </c>
      <c r="J1545" s="166"/>
      <c r="K1545" s="166"/>
      <c r="L1545" s="168">
        <v>70000000</v>
      </c>
      <c r="M1545" s="168">
        <f t="shared" si="148"/>
        <v>70000000</v>
      </c>
      <c r="N1545" s="168"/>
      <c r="O1545" s="166"/>
      <c r="P1545" s="167">
        <f t="shared" si="149"/>
        <v>0</v>
      </c>
      <c r="Q1545" s="166"/>
      <c r="S1545" s="201">
        <f t="shared" si="150"/>
        <v>70</v>
      </c>
      <c r="T1545" s="201">
        <f t="shared" si="151"/>
        <v>70</v>
      </c>
      <c r="U1545" s="201">
        <f t="shared" si="151"/>
        <v>0</v>
      </c>
      <c r="V1545" s="201">
        <f t="shared" si="151"/>
        <v>0</v>
      </c>
      <c r="W1545" s="201">
        <f t="shared" si="151"/>
        <v>0</v>
      </c>
      <c r="X1545" s="201">
        <f t="shared" si="151"/>
        <v>0</v>
      </c>
    </row>
    <row r="1546" spans="1:24" s="169" customFormat="1" ht="13.8">
      <c r="A1546" s="192" t="s">
        <v>1364</v>
      </c>
      <c r="B1546" s="170" t="s">
        <v>731</v>
      </c>
      <c r="C1546" s="183" t="str">
        <f t="shared" si="146"/>
        <v/>
      </c>
      <c r="D1546" s="182" t="str">
        <f t="shared" si="147"/>
        <v/>
      </c>
      <c r="E1546" s="206"/>
      <c r="F1546" s="207"/>
      <c r="G1546" s="207"/>
      <c r="H1546" s="205"/>
      <c r="I1546" s="167">
        <v>227520000</v>
      </c>
      <c r="J1546" s="166"/>
      <c r="K1546" s="166"/>
      <c r="L1546" s="168">
        <v>227520000</v>
      </c>
      <c r="M1546" s="168">
        <f t="shared" si="148"/>
        <v>227520000</v>
      </c>
      <c r="N1546" s="168"/>
      <c r="O1546" s="166"/>
      <c r="P1546" s="167">
        <f t="shared" si="149"/>
        <v>0</v>
      </c>
      <c r="Q1546" s="166"/>
      <c r="S1546" s="201">
        <f t="shared" si="150"/>
        <v>227.52</v>
      </c>
      <c r="T1546" s="201">
        <f t="shared" si="151"/>
        <v>227.52</v>
      </c>
      <c r="U1546" s="201">
        <f t="shared" si="151"/>
        <v>0</v>
      </c>
      <c r="V1546" s="201">
        <f t="shared" si="151"/>
        <v>0</v>
      </c>
      <c r="W1546" s="201">
        <f t="shared" si="151"/>
        <v>0</v>
      </c>
      <c r="X1546" s="201">
        <f t="shared" si="151"/>
        <v>0</v>
      </c>
    </row>
    <row r="1547" spans="1:24" s="169" customFormat="1" ht="13.8">
      <c r="A1547" s="192"/>
      <c r="B1547" s="164"/>
      <c r="C1547" s="183" t="str">
        <f t="shared" si="146"/>
        <v/>
      </c>
      <c r="D1547" s="182" t="str">
        <f t="shared" si="147"/>
        <v/>
      </c>
      <c r="E1547" s="192" t="s">
        <v>667</v>
      </c>
      <c r="F1547" s="192" t="s">
        <v>705</v>
      </c>
      <c r="G1547" s="192" t="s">
        <v>775</v>
      </c>
      <c r="H1547" s="210" t="s">
        <v>1455</v>
      </c>
      <c r="I1547" s="167">
        <v>209820000</v>
      </c>
      <c r="J1547" s="166"/>
      <c r="K1547" s="166"/>
      <c r="L1547" s="168">
        <v>209820000</v>
      </c>
      <c r="M1547" s="168">
        <f t="shared" si="148"/>
        <v>209820000</v>
      </c>
      <c r="N1547" s="168"/>
      <c r="O1547" s="166"/>
      <c r="P1547" s="167">
        <f t="shared" si="149"/>
        <v>0</v>
      </c>
      <c r="Q1547" s="166"/>
      <c r="S1547" s="201">
        <f t="shared" si="150"/>
        <v>209.82</v>
      </c>
      <c r="T1547" s="201">
        <f t="shared" si="151"/>
        <v>209.82</v>
      </c>
      <c r="U1547" s="201">
        <f t="shared" si="151"/>
        <v>0</v>
      </c>
      <c r="V1547" s="201">
        <f t="shared" si="151"/>
        <v>0</v>
      </c>
      <c r="W1547" s="201">
        <f t="shared" si="151"/>
        <v>0</v>
      </c>
      <c r="X1547" s="201">
        <f t="shared" si="151"/>
        <v>0</v>
      </c>
    </row>
    <row r="1548" spans="1:24" s="169" customFormat="1" ht="13.8">
      <c r="A1548" s="192"/>
      <c r="B1548" s="173"/>
      <c r="C1548" s="183" t="str">
        <f t="shared" si="146"/>
        <v/>
      </c>
      <c r="D1548" s="182" t="str">
        <f t="shared" si="147"/>
        <v/>
      </c>
      <c r="E1548" s="192"/>
      <c r="F1548" s="192"/>
      <c r="G1548" s="192"/>
      <c r="H1548" s="210"/>
      <c r="I1548" s="174"/>
      <c r="J1548" s="174"/>
      <c r="K1548" s="174"/>
      <c r="L1548" s="175"/>
      <c r="M1548" s="168">
        <f t="shared" si="148"/>
        <v>0</v>
      </c>
      <c r="N1548" s="175"/>
      <c r="O1548" s="174"/>
      <c r="P1548" s="167">
        <f t="shared" si="149"/>
        <v>0</v>
      </c>
      <c r="Q1548" s="174"/>
      <c r="S1548" s="201">
        <f t="shared" si="150"/>
        <v>0</v>
      </c>
      <c r="T1548" s="201">
        <f t="shared" si="151"/>
        <v>0</v>
      </c>
      <c r="U1548" s="201">
        <f t="shared" si="151"/>
        <v>0</v>
      </c>
      <c r="V1548" s="201">
        <f t="shared" si="151"/>
        <v>0</v>
      </c>
      <c r="W1548" s="201">
        <f t="shared" si="151"/>
        <v>0</v>
      </c>
      <c r="X1548" s="201">
        <f t="shared" si="151"/>
        <v>0</v>
      </c>
    </row>
    <row r="1549" spans="1:24" s="169" customFormat="1" ht="13.8">
      <c r="A1549" s="192"/>
      <c r="B1549" s="164"/>
      <c r="C1549" s="183" t="str">
        <f t="shared" si="146"/>
        <v/>
      </c>
      <c r="D1549" s="182" t="str">
        <f t="shared" si="147"/>
        <v/>
      </c>
      <c r="E1549" s="192" t="s">
        <v>667</v>
      </c>
      <c r="F1549" s="192" t="s">
        <v>705</v>
      </c>
      <c r="G1549" s="192" t="s">
        <v>981</v>
      </c>
      <c r="H1549" s="210" t="s">
        <v>1455</v>
      </c>
      <c r="I1549" s="167">
        <v>17700000</v>
      </c>
      <c r="J1549" s="166"/>
      <c r="K1549" s="166"/>
      <c r="L1549" s="168">
        <v>17700000</v>
      </c>
      <c r="M1549" s="168">
        <f t="shared" si="148"/>
        <v>17700000</v>
      </c>
      <c r="N1549" s="168"/>
      <c r="O1549" s="166"/>
      <c r="P1549" s="167">
        <f t="shared" si="149"/>
        <v>0</v>
      </c>
      <c r="Q1549" s="166"/>
      <c r="S1549" s="201">
        <f t="shared" si="150"/>
        <v>17.7</v>
      </c>
      <c r="T1549" s="201">
        <f t="shared" si="151"/>
        <v>17.7</v>
      </c>
      <c r="U1549" s="201">
        <f t="shared" si="151"/>
        <v>0</v>
      </c>
      <c r="V1549" s="201">
        <f t="shared" si="151"/>
        <v>0</v>
      </c>
      <c r="W1549" s="201">
        <f t="shared" si="151"/>
        <v>0</v>
      </c>
      <c r="X1549" s="201">
        <f t="shared" si="151"/>
        <v>0</v>
      </c>
    </row>
    <row r="1550" spans="1:24" s="169" customFormat="1" ht="27.6">
      <c r="A1550" s="192" t="s">
        <v>1365</v>
      </c>
      <c r="B1550" s="176" t="s">
        <v>1366</v>
      </c>
      <c r="C1550" s="183" t="str">
        <f t="shared" si="146"/>
        <v>1123107</v>
      </c>
      <c r="D1550" s="182" t="str">
        <f t="shared" si="147"/>
        <v>-Ban thi đua - khen thưởng trực thuộc Sờ Nội vụ tỉnh Kon Tum</v>
      </c>
      <c r="E1550" s="206"/>
      <c r="F1550" s="207"/>
      <c r="G1550" s="207"/>
      <c r="H1550" s="205"/>
      <c r="I1550" s="167">
        <v>4124230000</v>
      </c>
      <c r="J1550" s="167">
        <v>9830000</v>
      </c>
      <c r="K1550" s="167">
        <v>4032000000</v>
      </c>
      <c r="L1550" s="168">
        <v>82400000</v>
      </c>
      <c r="M1550" s="168">
        <f t="shared" si="148"/>
        <v>4124230000</v>
      </c>
      <c r="N1550" s="168"/>
      <c r="O1550" s="167">
        <v>3689429986</v>
      </c>
      <c r="P1550" s="167">
        <f t="shared" si="149"/>
        <v>3689429986</v>
      </c>
      <c r="Q1550" s="167"/>
      <c r="S1550" s="201">
        <f t="shared" si="150"/>
        <v>4124.2299999999996</v>
      </c>
      <c r="T1550" s="201">
        <f t="shared" si="151"/>
        <v>4124.2299999999996</v>
      </c>
      <c r="U1550" s="201">
        <f t="shared" si="151"/>
        <v>0</v>
      </c>
      <c r="V1550" s="201">
        <f t="shared" si="151"/>
        <v>3689.4299860000001</v>
      </c>
      <c r="W1550" s="201">
        <f t="shared" si="151"/>
        <v>3689.4299860000001</v>
      </c>
      <c r="X1550" s="201">
        <f t="shared" si="151"/>
        <v>0</v>
      </c>
    </row>
    <row r="1551" spans="1:24" s="169" customFormat="1" ht="13.8">
      <c r="A1551" s="192" t="s">
        <v>1367</v>
      </c>
      <c r="B1551" s="164" t="s">
        <v>689</v>
      </c>
      <c r="C1551" s="183" t="str">
        <f t="shared" si="146"/>
        <v/>
      </c>
      <c r="D1551" s="182" t="str">
        <f t="shared" si="147"/>
        <v/>
      </c>
      <c r="E1551" s="206"/>
      <c r="F1551" s="207"/>
      <c r="G1551" s="207"/>
      <c r="H1551" s="205"/>
      <c r="I1551" s="167">
        <v>4124230000</v>
      </c>
      <c r="J1551" s="167">
        <v>9830000</v>
      </c>
      <c r="K1551" s="167">
        <v>4032000000</v>
      </c>
      <c r="L1551" s="168">
        <v>82400000</v>
      </c>
      <c r="M1551" s="168">
        <f t="shared" si="148"/>
        <v>4124230000</v>
      </c>
      <c r="N1551" s="168"/>
      <c r="O1551" s="167">
        <v>3689429986</v>
      </c>
      <c r="P1551" s="167">
        <f t="shared" si="149"/>
        <v>3689429986</v>
      </c>
      <c r="Q1551" s="167"/>
      <c r="S1551" s="201">
        <f t="shared" si="150"/>
        <v>4124.2299999999996</v>
      </c>
      <c r="T1551" s="201">
        <f t="shared" si="151"/>
        <v>4124.2299999999996</v>
      </c>
      <c r="U1551" s="201">
        <f t="shared" si="151"/>
        <v>0</v>
      </c>
      <c r="V1551" s="201">
        <f t="shared" si="151"/>
        <v>3689.4299860000001</v>
      </c>
      <c r="W1551" s="201">
        <f t="shared" si="151"/>
        <v>3689.4299860000001</v>
      </c>
      <c r="X1551" s="201">
        <f t="shared" si="151"/>
        <v>0</v>
      </c>
    </row>
    <row r="1552" spans="1:24" s="169" customFormat="1" ht="13.8">
      <c r="A1552" s="192"/>
      <c r="B1552" s="164" t="s">
        <v>690</v>
      </c>
      <c r="C1552" s="183" t="str">
        <f t="shared" si="146"/>
        <v/>
      </c>
      <c r="D1552" s="182" t="str">
        <f t="shared" si="147"/>
        <v/>
      </c>
      <c r="E1552" s="206"/>
      <c r="F1552" s="207"/>
      <c r="G1552" s="207"/>
      <c r="H1552" s="205"/>
      <c r="I1552" s="167">
        <v>771900000</v>
      </c>
      <c r="J1552" s="166"/>
      <c r="K1552" s="167">
        <v>752000000</v>
      </c>
      <c r="L1552" s="168">
        <v>19900000</v>
      </c>
      <c r="M1552" s="168">
        <f t="shared" si="148"/>
        <v>771900000</v>
      </c>
      <c r="N1552" s="168"/>
      <c r="O1552" s="167">
        <v>771900000</v>
      </c>
      <c r="P1552" s="167">
        <f t="shared" si="149"/>
        <v>771900000</v>
      </c>
      <c r="Q1552" s="167"/>
      <c r="S1552" s="201">
        <f t="shared" si="150"/>
        <v>771.9</v>
      </c>
      <c r="T1552" s="201">
        <f t="shared" si="151"/>
        <v>771.9</v>
      </c>
      <c r="U1552" s="201">
        <f t="shared" si="151"/>
        <v>0</v>
      </c>
      <c r="V1552" s="201">
        <f t="shared" si="151"/>
        <v>771.9</v>
      </c>
      <c r="W1552" s="201">
        <f t="shared" si="151"/>
        <v>771.9</v>
      </c>
      <c r="X1552" s="201">
        <f t="shared" si="151"/>
        <v>0</v>
      </c>
    </row>
    <row r="1553" spans="1:24" s="169" customFormat="1" ht="13.8">
      <c r="A1553" s="193"/>
      <c r="B1553" s="187"/>
      <c r="C1553" s="183" t="str">
        <f t="shared" si="146"/>
        <v/>
      </c>
      <c r="D1553" s="182" t="str">
        <f t="shared" si="147"/>
        <v/>
      </c>
      <c r="E1553" s="192" t="s">
        <v>666</v>
      </c>
      <c r="F1553" s="192" t="s">
        <v>939</v>
      </c>
      <c r="G1553" s="192" t="s">
        <v>695</v>
      </c>
      <c r="H1553" s="210" t="s">
        <v>1440</v>
      </c>
      <c r="I1553" s="167">
        <v>752000000</v>
      </c>
      <c r="J1553" s="166"/>
      <c r="K1553" s="167">
        <v>752000000</v>
      </c>
      <c r="L1553" s="171"/>
      <c r="M1553" s="168">
        <f t="shared" si="148"/>
        <v>752000000</v>
      </c>
      <c r="N1553" s="171"/>
      <c r="O1553" s="167">
        <v>752000000</v>
      </c>
      <c r="P1553" s="167">
        <f t="shared" si="149"/>
        <v>752000000</v>
      </c>
      <c r="Q1553" s="167"/>
      <c r="S1553" s="201">
        <f t="shared" si="150"/>
        <v>752</v>
      </c>
      <c r="T1553" s="201">
        <f t="shared" si="151"/>
        <v>752</v>
      </c>
      <c r="U1553" s="201">
        <f t="shared" si="151"/>
        <v>0</v>
      </c>
      <c r="V1553" s="201">
        <f t="shared" si="151"/>
        <v>752</v>
      </c>
      <c r="W1553" s="201">
        <f t="shared" si="151"/>
        <v>752</v>
      </c>
      <c r="X1553" s="201">
        <f t="shared" si="151"/>
        <v>0</v>
      </c>
    </row>
    <row r="1554" spans="1:24" s="169" customFormat="1" ht="13.8">
      <c r="A1554" s="195"/>
      <c r="B1554" s="188"/>
      <c r="C1554" s="183" t="str">
        <f t="shared" si="146"/>
        <v/>
      </c>
      <c r="D1554" s="182" t="str">
        <f t="shared" si="147"/>
        <v/>
      </c>
      <c r="E1554" s="192" t="s">
        <v>679</v>
      </c>
      <c r="F1554" s="192" t="s">
        <v>939</v>
      </c>
      <c r="G1554" s="192" t="s">
        <v>695</v>
      </c>
      <c r="H1554" s="210" t="s">
        <v>1440</v>
      </c>
      <c r="I1554" s="167">
        <v>19900000</v>
      </c>
      <c r="J1554" s="166"/>
      <c r="K1554" s="166"/>
      <c r="L1554" s="168">
        <v>19900000</v>
      </c>
      <c r="M1554" s="168">
        <f t="shared" si="148"/>
        <v>19900000</v>
      </c>
      <c r="N1554" s="168"/>
      <c r="O1554" s="167">
        <v>19900000</v>
      </c>
      <c r="P1554" s="167">
        <f t="shared" si="149"/>
        <v>19900000</v>
      </c>
      <c r="Q1554" s="167"/>
      <c r="S1554" s="201">
        <f t="shared" si="150"/>
        <v>19.899999999999999</v>
      </c>
      <c r="T1554" s="201">
        <f t="shared" si="151"/>
        <v>19.899999999999999</v>
      </c>
      <c r="U1554" s="201">
        <f t="shared" si="151"/>
        <v>0</v>
      </c>
      <c r="V1554" s="201">
        <f t="shared" si="151"/>
        <v>19.899999999999999</v>
      </c>
      <c r="W1554" s="201">
        <f t="shared" si="151"/>
        <v>19.899999999999999</v>
      </c>
      <c r="X1554" s="201">
        <f t="shared" si="151"/>
        <v>0</v>
      </c>
    </row>
    <row r="1555" spans="1:24" s="169" customFormat="1" ht="13.8">
      <c r="A1555" s="192"/>
      <c r="B1555" s="164" t="s">
        <v>686</v>
      </c>
      <c r="C1555" s="183" t="str">
        <f t="shared" si="146"/>
        <v/>
      </c>
      <c r="D1555" s="182" t="str">
        <f t="shared" si="147"/>
        <v/>
      </c>
      <c r="E1555" s="206"/>
      <c r="F1555" s="207"/>
      <c r="G1555" s="207"/>
      <c r="H1555" s="205"/>
      <c r="I1555" s="167">
        <v>3352330000</v>
      </c>
      <c r="J1555" s="167">
        <v>9830000</v>
      </c>
      <c r="K1555" s="167">
        <v>3280000000</v>
      </c>
      <c r="L1555" s="168">
        <v>62500000</v>
      </c>
      <c r="M1555" s="168">
        <f t="shared" si="148"/>
        <v>3352330000</v>
      </c>
      <c r="N1555" s="168"/>
      <c r="O1555" s="167">
        <v>2917529986</v>
      </c>
      <c r="P1555" s="167">
        <f t="shared" si="149"/>
        <v>2917529986</v>
      </c>
      <c r="Q1555" s="167"/>
      <c r="S1555" s="201">
        <f t="shared" si="150"/>
        <v>3352.33</v>
      </c>
      <c r="T1555" s="201">
        <f t="shared" si="151"/>
        <v>3352.33</v>
      </c>
      <c r="U1555" s="201">
        <f t="shared" si="151"/>
        <v>0</v>
      </c>
      <c r="V1555" s="201">
        <f t="shared" si="151"/>
        <v>2917.529986</v>
      </c>
      <c r="W1555" s="201">
        <f t="shared" si="151"/>
        <v>2917.529986</v>
      </c>
      <c r="X1555" s="201">
        <f t="shared" si="151"/>
        <v>0</v>
      </c>
    </row>
    <row r="1556" spans="1:24" s="169" customFormat="1" ht="13.8">
      <c r="A1556" s="193"/>
      <c r="B1556" s="187"/>
      <c r="C1556" s="183" t="str">
        <f t="shared" si="146"/>
        <v/>
      </c>
      <c r="D1556" s="182" t="str">
        <f t="shared" si="147"/>
        <v/>
      </c>
      <c r="E1556" s="192" t="s">
        <v>681</v>
      </c>
      <c r="F1556" s="192" t="s">
        <v>939</v>
      </c>
      <c r="G1556" s="192" t="s">
        <v>790</v>
      </c>
      <c r="H1556" s="210" t="s">
        <v>1440</v>
      </c>
      <c r="I1556" s="167">
        <v>2709830000</v>
      </c>
      <c r="J1556" s="167">
        <v>9830000</v>
      </c>
      <c r="K1556" s="167">
        <v>2700000000</v>
      </c>
      <c r="L1556" s="171"/>
      <c r="M1556" s="168">
        <f t="shared" si="148"/>
        <v>2709830000</v>
      </c>
      <c r="N1556" s="171"/>
      <c r="O1556" s="167">
        <v>2578418996</v>
      </c>
      <c r="P1556" s="167">
        <f t="shared" si="149"/>
        <v>2578418996</v>
      </c>
      <c r="Q1556" s="167"/>
      <c r="S1556" s="201">
        <f t="shared" si="150"/>
        <v>2709.83</v>
      </c>
      <c r="T1556" s="201">
        <f t="shared" si="151"/>
        <v>2709.83</v>
      </c>
      <c r="U1556" s="201">
        <f t="shared" si="151"/>
        <v>0</v>
      </c>
      <c r="V1556" s="201">
        <f t="shared" si="151"/>
        <v>2578.4189959999999</v>
      </c>
      <c r="W1556" s="201">
        <f t="shared" si="151"/>
        <v>2578.4189959999999</v>
      </c>
      <c r="X1556" s="201">
        <f t="shared" si="151"/>
        <v>0</v>
      </c>
    </row>
    <row r="1557" spans="1:24" s="169" customFormat="1" ht="13.8">
      <c r="A1557" s="195"/>
      <c r="B1557" s="188"/>
      <c r="C1557" s="183" t="str">
        <f t="shared" si="146"/>
        <v/>
      </c>
      <c r="D1557" s="182" t="str">
        <f t="shared" si="147"/>
        <v/>
      </c>
      <c r="E1557" s="192" t="s">
        <v>681</v>
      </c>
      <c r="F1557" s="192" t="s">
        <v>939</v>
      </c>
      <c r="G1557" s="192" t="s">
        <v>695</v>
      </c>
      <c r="H1557" s="210" t="s">
        <v>1440</v>
      </c>
      <c r="I1557" s="167">
        <v>642500000</v>
      </c>
      <c r="J1557" s="166"/>
      <c r="K1557" s="167">
        <v>580000000</v>
      </c>
      <c r="L1557" s="168">
        <v>62500000</v>
      </c>
      <c r="M1557" s="168">
        <f t="shared" si="148"/>
        <v>642500000</v>
      </c>
      <c r="N1557" s="168"/>
      <c r="O1557" s="167">
        <v>339110990</v>
      </c>
      <c r="P1557" s="167">
        <f t="shared" si="149"/>
        <v>339110990</v>
      </c>
      <c r="Q1557" s="167"/>
      <c r="S1557" s="201">
        <f t="shared" si="150"/>
        <v>642.5</v>
      </c>
      <c r="T1557" s="201">
        <f t="shared" si="151"/>
        <v>642.5</v>
      </c>
      <c r="U1557" s="201">
        <f t="shared" si="151"/>
        <v>0</v>
      </c>
      <c r="V1557" s="201">
        <f t="shared" si="151"/>
        <v>339.11099000000002</v>
      </c>
      <c r="W1557" s="201">
        <f t="shared" si="151"/>
        <v>339.11099000000002</v>
      </c>
      <c r="X1557" s="201">
        <f t="shared" si="151"/>
        <v>0</v>
      </c>
    </row>
    <row r="1558" spans="1:24" s="169" customFormat="1" ht="27.6">
      <c r="A1558" s="192" t="s">
        <v>1368</v>
      </c>
      <c r="B1558" s="176" t="s">
        <v>1369</v>
      </c>
      <c r="C1558" s="183" t="str">
        <f t="shared" ref="C1558:C1621" si="152">IF(B1558&lt;&gt;"",IF(AND(LEFT(B1558,1)&gt;="0",LEFT(B1558,1)&lt;="9"),LEFT(B1558,7),""),"")</f>
        <v>1123126</v>
      </c>
      <c r="D1558" s="182" t="str">
        <f t="shared" si="147"/>
        <v>-Ban Tôn giáo - trực thuộc sờ Nội vụ tỉnh Kon Tum</v>
      </c>
      <c r="E1558" s="206"/>
      <c r="F1558" s="207"/>
      <c r="G1558" s="207"/>
      <c r="H1558" s="205"/>
      <c r="I1558" s="167">
        <v>2425340000</v>
      </c>
      <c r="J1558" s="167">
        <v>37040000</v>
      </c>
      <c r="K1558" s="167">
        <v>2017000000</v>
      </c>
      <c r="L1558" s="168">
        <v>371300000</v>
      </c>
      <c r="M1558" s="168">
        <f t="shared" si="148"/>
        <v>2425340000</v>
      </c>
      <c r="N1558" s="168"/>
      <c r="O1558" s="167">
        <v>2314881159</v>
      </c>
      <c r="P1558" s="167">
        <f t="shared" si="149"/>
        <v>2314881159</v>
      </c>
      <c r="Q1558" s="167"/>
      <c r="S1558" s="201">
        <f t="shared" si="150"/>
        <v>2425.34</v>
      </c>
      <c r="T1558" s="201">
        <f t="shared" si="151"/>
        <v>2425.34</v>
      </c>
      <c r="U1558" s="201">
        <f t="shared" si="151"/>
        <v>0</v>
      </c>
      <c r="V1558" s="201">
        <f t="shared" si="151"/>
        <v>2314.881159</v>
      </c>
      <c r="W1558" s="201">
        <f t="shared" si="151"/>
        <v>2314.881159</v>
      </c>
      <c r="X1558" s="201">
        <f t="shared" si="151"/>
        <v>0</v>
      </c>
    </row>
    <row r="1559" spans="1:24" s="169" customFormat="1" ht="13.8">
      <c r="A1559" s="192" t="s">
        <v>1370</v>
      </c>
      <c r="B1559" s="164" t="s">
        <v>689</v>
      </c>
      <c r="C1559" s="183" t="str">
        <f t="shared" si="152"/>
        <v/>
      </c>
      <c r="D1559" s="182" t="str">
        <f t="shared" ref="D1559:D1622" si="153">IF(C1559&lt;&gt;"",RIGHT(B1559,LEN(B1559)-7),"")</f>
        <v/>
      </c>
      <c r="E1559" s="206"/>
      <c r="F1559" s="207"/>
      <c r="G1559" s="207"/>
      <c r="H1559" s="205"/>
      <c r="I1559" s="167">
        <v>2425340000</v>
      </c>
      <c r="J1559" s="167">
        <v>37040000</v>
      </c>
      <c r="K1559" s="167">
        <v>2017000000</v>
      </c>
      <c r="L1559" s="168">
        <v>371300000</v>
      </c>
      <c r="M1559" s="168">
        <f t="shared" ref="M1559:M1622" si="154">I1559-N1559</f>
        <v>2425340000</v>
      </c>
      <c r="N1559" s="168"/>
      <c r="O1559" s="167">
        <v>2314881159</v>
      </c>
      <c r="P1559" s="167">
        <f t="shared" ref="P1559:P1622" si="155">O1559-Q1559</f>
        <v>2314881159</v>
      </c>
      <c r="Q1559" s="167"/>
      <c r="S1559" s="201">
        <f t="shared" ref="S1559:S1622" si="156">I1559/1000000</f>
        <v>2425.34</v>
      </c>
      <c r="T1559" s="201">
        <f t="shared" ref="T1559:X1609" si="157">M1559/1000000</f>
        <v>2425.34</v>
      </c>
      <c r="U1559" s="201">
        <f t="shared" si="157"/>
        <v>0</v>
      </c>
      <c r="V1559" s="201">
        <f t="shared" si="157"/>
        <v>2314.881159</v>
      </c>
      <c r="W1559" s="201">
        <f t="shared" si="157"/>
        <v>2314.881159</v>
      </c>
      <c r="X1559" s="201">
        <f t="shared" si="157"/>
        <v>0</v>
      </c>
    </row>
    <row r="1560" spans="1:24" s="169" customFormat="1" ht="13.8">
      <c r="A1560" s="192"/>
      <c r="B1560" s="164" t="s">
        <v>690</v>
      </c>
      <c r="C1560" s="183" t="str">
        <f t="shared" si="152"/>
        <v/>
      </c>
      <c r="D1560" s="182" t="str">
        <f t="shared" si="153"/>
        <v/>
      </c>
      <c r="E1560" s="206"/>
      <c r="F1560" s="207"/>
      <c r="G1560" s="207"/>
      <c r="H1560" s="205"/>
      <c r="I1560" s="167">
        <v>1077500000</v>
      </c>
      <c r="J1560" s="166"/>
      <c r="K1560" s="167">
        <v>1052000000</v>
      </c>
      <c r="L1560" s="168">
        <v>25500000</v>
      </c>
      <c r="M1560" s="168">
        <f t="shared" si="154"/>
        <v>1077500000</v>
      </c>
      <c r="N1560" s="168"/>
      <c r="O1560" s="167">
        <v>1077500000</v>
      </c>
      <c r="P1560" s="167">
        <f t="shared" si="155"/>
        <v>1077500000</v>
      </c>
      <c r="Q1560" s="167"/>
      <c r="S1560" s="201">
        <f t="shared" si="156"/>
        <v>1077.5</v>
      </c>
      <c r="T1560" s="201">
        <f t="shared" si="157"/>
        <v>1077.5</v>
      </c>
      <c r="U1560" s="201">
        <f t="shared" si="157"/>
        <v>0</v>
      </c>
      <c r="V1560" s="201">
        <f t="shared" si="157"/>
        <v>1077.5</v>
      </c>
      <c r="W1560" s="201">
        <f t="shared" si="157"/>
        <v>1077.5</v>
      </c>
      <c r="X1560" s="201">
        <f t="shared" si="157"/>
        <v>0</v>
      </c>
    </row>
    <row r="1561" spans="1:24" s="169" customFormat="1" ht="13.8">
      <c r="A1561" s="193"/>
      <c r="B1561" s="187"/>
      <c r="C1561" s="183" t="str">
        <f t="shared" si="152"/>
        <v/>
      </c>
      <c r="D1561" s="182" t="str">
        <f t="shared" si="153"/>
        <v/>
      </c>
      <c r="E1561" s="192" t="s">
        <v>666</v>
      </c>
      <c r="F1561" s="192" t="s">
        <v>939</v>
      </c>
      <c r="G1561" s="192" t="s">
        <v>695</v>
      </c>
      <c r="H1561" s="210" t="s">
        <v>1440</v>
      </c>
      <c r="I1561" s="167">
        <v>1052000000</v>
      </c>
      <c r="J1561" s="166"/>
      <c r="K1561" s="167">
        <v>1052000000</v>
      </c>
      <c r="L1561" s="171"/>
      <c r="M1561" s="168">
        <f t="shared" si="154"/>
        <v>1052000000</v>
      </c>
      <c r="N1561" s="171"/>
      <c r="O1561" s="167">
        <v>1052000000</v>
      </c>
      <c r="P1561" s="167">
        <f t="shared" si="155"/>
        <v>1052000000</v>
      </c>
      <c r="Q1561" s="167"/>
      <c r="S1561" s="201">
        <f t="shared" si="156"/>
        <v>1052</v>
      </c>
      <c r="T1561" s="201">
        <f t="shared" si="157"/>
        <v>1052</v>
      </c>
      <c r="U1561" s="201">
        <f t="shared" si="157"/>
        <v>0</v>
      </c>
      <c r="V1561" s="201">
        <f t="shared" si="157"/>
        <v>1052</v>
      </c>
      <c r="W1561" s="201">
        <f t="shared" si="157"/>
        <v>1052</v>
      </c>
      <c r="X1561" s="201">
        <f t="shared" si="157"/>
        <v>0</v>
      </c>
    </row>
    <row r="1562" spans="1:24" s="169" customFormat="1" ht="13.8">
      <c r="A1562" s="195"/>
      <c r="B1562" s="188"/>
      <c r="C1562" s="183" t="str">
        <f t="shared" si="152"/>
        <v/>
      </c>
      <c r="D1562" s="182" t="str">
        <f t="shared" si="153"/>
        <v/>
      </c>
      <c r="E1562" s="192" t="s">
        <v>679</v>
      </c>
      <c r="F1562" s="192" t="s">
        <v>939</v>
      </c>
      <c r="G1562" s="192" t="s">
        <v>695</v>
      </c>
      <c r="H1562" s="210" t="s">
        <v>1440</v>
      </c>
      <c r="I1562" s="167">
        <v>25500000</v>
      </c>
      <c r="J1562" s="166"/>
      <c r="K1562" s="166"/>
      <c r="L1562" s="168">
        <v>25500000</v>
      </c>
      <c r="M1562" s="168">
        <f t="shared" si="154"/>
        <v>25500000</v>
      </c>
      <c r="N1562" s="168"/>
      <c r="O1562" s="167">
        <v>25500000</v>
      </c>
      <c r="P1562" s="167">
        <f t="shared" si="155"/>
        <v>25500000</v>
      </c>
      <c r="Q1562" s="167"/>
      <c r="S1562" s="201">
        <f t="shared" si="156"/>
        <v>25.5</v>
      </c>
      <c r="T1562" s="201">
        <f t="shared" si="157"/>
        <v>25.5</v>
      </c>
      <c r="U1562" s="201">
        <f t="shared" si="157"/>
        <v>0</v>
      </c>
      <c r="V1562" s="201">
        <f t="shared" si="157"/>
        <v>25.5</v>
      </c>
      <c r="W1562" s="201">
        <f t="shared" si="157"/>
        <v>25.5</v>
      </c>
      <c r="X1562" s="201">
        <f t="shared" si="157"/>
        <v>0</v>
      </c>
    </row>
    <row r="1563" spans="1:24" s="169" customFormat="1" ht="13.8">
      <c r="A1563" s="192"/>
      <c r="B1563" s="164" t="s">
        <v>686</v>
      </c>
      <c r="C1563" s="183" t="str">
        <f t="shared" si="152"/>
        <v/>
      </c>
      <c r="D1563" s="182" t="str">
        <f t="shared" si="153"/>
        <v/>
      </c>
      <c r="E1563" s="206"/>
      <c r="F1563" s="207"/>
      <c r="G1563" s="207"/>
      <c r="H1563" s="205"/>
      <c r="I1563" s="167">
        <v>1347840000</v>
      </c>
      <c r="J1563" s="167">
        <v>37040000</v>
      </c>
      <c r="K1563" s="167">
        <v>965000000</v>
      </c>
      <c r="L1563" s="168">
        <v>345800000</v>
      </c>
      <c r="M1563" s="168">
        <f t="shared" si="154"/>
        <v>1347840000</v>
      </c>
      <c r="N1563" s="168"/>
      <c r="O1563" s="167">
        <v>1237381159</v>
      </c>
      <c r="P1563" s="167">
        <f t="shared" si="155"/>
        <v>1237381159</v>
      </c>
      <c r="Q1563" s="167"/>
      <c r="S1563" s="201">
        <f t="shared" si="156"/>
        <v>1347.84</v>
      </c>
      <c r="T1563" s="201">
        <f t="shared" si="157"/>
        <v>1347.84</v>
      </c>
      <c r="U1563" s="201">
        <f t="shared" si="157"/>
        <v>0</v>
      </c>
      <c r="V1563" s="201">
        <f t="shared" si="157"/>
        <v>1237.381159</v>
      </c>
      <c r="W1563" s="201">
        <f t="shared" si="157"/>
        <v>1237.381159</v>
      </c>
      <c r="X1563" s="201">
        <f t="shared" si="157"/>
        <v>0</v>
      </c>
    </row>
    <row r="1564" spans="1:24" s="169" customFormat="1" ht="13.8">
      <c r="A1564" s="193"/>
      <c r="B1564" s="187"/>
      <c r="C1564" s="183" t="str">
        <f t="shared" si="152"/>
        <v/>
      </c>
      <c r="D1564" s="182" t="str">
        <f t="shared" si="153"/>
        <v/>
      </c>
      <c r="E1564" s="192" t="s">
        <v>681</v>
      </c>
      <c r="F1564" s="192" t="s">
        <v>939</v>
      </c>
      <c r="G1564" s="192" t="s">
        <v>695</v>
      </c>
      <c r="H1564" s="210" t="s">
        <v>1440</v>
      </c>
      <c r="I1564" s="167">
        <v>1172040000</v>
      </c>
      <c r="J1564" s="167">
        <v>37040000</v>
      </c>
      <c r="K1564" s="167">
        <v>965000000</v>
      </c>
      <c r="L1564" s="168">
        <v>170000000</v>
      </c>
      <c r="M1564" s="168">
        <f t="shared" si="154"/>
        <v>1172040000</v>
      </c>
      <c r="N1564" s="168"/>
      <c r="O1564" s="167">
        <v>1150381159</v>
      </c>
      <c r="P1564" s="167">
        <f t="shared" si="155"/>
        <v>1150381159</v>
      </c>
      <c r="Q1564" s="167"/>
      <c r="S1564" s="201">
        <f t="shared" si="156"/>
        <v>1172.04</v>
      </c>
      <c r="T1564" s="201">
        <f t="shared" si="157"/>
        <v>1172.04</v>
      </c>
      <c r="U1564" s="201">
        <f t="shared" si="157"/>
        <v>0</v>
      </c>
      <c r="V1564" s="201">
        <f t="shared" si="157"/>
        <v>1150.381159</v>
      </c>
      <c r="W1564" s="201">
        <f t="shared" si="157"/>
        <v>1150.381159</v>
      </c>
      <c r="X1564" s="201">
        <f t="shared" si="157"/>
        <v>0</v>
      </c>
    </row>
    <row r="1565" spans="1:24" s="169" customFormat="1" ht="13.8">
      <c r="A1565" s="195"/>
      <c r="B1565" s="188"/>
      <c r="C1565" s="183" t="str">
        <f t="shared" si="152"/>
        <v/>
      </c>
      <c r="D1565" s="182" t="str">
        <f t="shared" si="153"/>
        <v/>
      </c>
      <c r="E1565" s="192" t="s">
        <v>667</v>
      </c>
      <c r="F1565" s="192" t="s">
        <v>939</v>
      </c>
      <c r="G1565" s="192" t="s">
        <v>695</v>
      </c>
      <c r="H1565" s="210" t="s">
        <v>1440</v>
      </c>
      <c r="I1565" s="167">
        <v>175800000</v>
      </c>
      <c r="J1565" s="166"/>
      <c r="K1565" s="166"/>
      <c r="L1565" s="168">
        <v>175800000</v>
      </c>
      <c r="M1565" s="168">
        <f t="shared" si="154"/>
        <v>175800000</v>
      </c>
      <c r="N1565" s="168"/>
      <c r="O1565" s="167">
        <v>87000000</v>
      </c>
      <c r="P1565" s="167">
        <f t="shared" si="155"/>
        <v>87000000</v>
      </c>
      <c r="Q1565" s="167"/>
      <c r="S1565" s="201">
        <f t="shared" si="156"/>
        <v>175.8</v>
      </c>
      <c r="T1565" s="201">
        <f t="shared" si="157"/>
        <v>175.8</v>
      </c>
      <c r="U1565" s="201">
        <f t="shared" si="157"/>
        <v>0</v>
      </c>
      <c r="V1565" s="201">
        <f t="shared" si="157"/>
        <v>87</v>
      </c>
      <c r="W1565" s="201">
        <f t="shared" si="157"/>
        <v>87</v>
      </c>
      <c r="X1565" s="201">
        <f t="shared" si="157"/>
        <v>0</v>
      </c>
    </row>
    <row r="1566" spans="1:24" s="169" customFormat="1" ht="26.4">
      <c r="A1566" s="192" t="s">
        <v>1371</v>
      </c>
      <c r="B1566" s="176" t="s">
        <v>1372</v>
      </c>
      <c r="C1566" s="183" t="str">
        <f t="shared" si="152"/>
        <v>1123648</v>
      </c>
      <c r="D1566" s="182" t="str">
        <f t="shared" si="153"/>
        <v>-Trung tâm pháp y tỉnh Kon Tum</v>
      </c>
      <c r="E1566" s="206"/>
      <c r="F1566" s="207"/>
      <c r="G1566" s="207"/>
      <c r="H1566" s="205"/>
      <c r="I1566" s="167">
        <v>1952810000</v>
      </c>
      <c r="J1566" s="166"/>
      <c r="K1566" s="167">
        <v>1452810000</v>
      </c>
      <c r="L1566" s="168">
        <v>500000000</v>
      </c>
      <c r="M1566" s="168">
        <f t="shared" si="154"/>
        <v>1952810000</v>
      </c>
      <c r="N1566" s="168"/>
      <c r="O1566" s="167">
        <v>1952810000</v>
      </c>
      <c r="P1566" s="167">
        <f t="shared" si="155"/>
        <v>1952810000</v>
      </c>
      <c r="Q1566" s="167"/>
      <c r="S1566" s="201">
        <f t="shared" si="156"/>
        <v>1952.81</v>
      </c>
      <c r="T1566" s="201">
        <f t="shared" si="157"/>
        <v>1952.81</v>
      </c>
      <c r="U1566" s="201">
        <f t="shared" si="157"/>
        <v>0</v>
      </c>
      <c r="V1566" s="201">
        <f t="shared" si="157"/>
        <v>1952.81</v>
      </c>
      <c r="W1566" s="201">
        <f t="shared" si="157"/>
        <v>1952.81</v>
      </c>
      <c r="X1566" s="201">
        <f t="shared" si="157"/>
        <v>0</v>
      </c>
    </row>
    <row r="1567" spans="1:24" s="169" customFormat="1" ht="13.8">
      <c r="A1567" s="192" t="s">
        <v>1373</v>
      </c>
      <c r="B1567" s="164" t="s">
        <v>689</v>
      </c>
      <c r="C1567" s="183" t="str">
        <f t="shared" si="152"/>
        <v/>
      </c>
      <c r="D1567" s="182" t="str">
        <f t="shared" si="153"/>
        <v/>
      </c>
      <c r="E1567" s="206"/>
      <c r="F1567" s="207"/>
      <c r="G1567" s="207"/>
      <c r="H1567" s="205"/>
      <c r="I1567" s="167">
        <v>1952810000</v>
      </c>
      <c r="J1567" s="166"/>
      <c r="K1567" s="167">
        <v>1452810000</v>
      </c>
      <c r="L1567" s="168">
        <v>500000000</v>
      </c>
      <c r="M1567" s="168">
        <f t="shared" si="154"/>
        <v>1952810000</v>
      </c>
      <c r="N1567" s="168"/>
      <c r="O1567" s="167">
        <v>1952810000</v>
      </c>
      <c r="P1567" s="167">
        <f t="shared" si="155"/>
        <v>1952810000</v>
      </c>
      <c r="Q1567" s="167"/>
      <c r="S1567" s="201">
        <f t="shared" si="156"/>
        <v>1952.81</v>
      </c>
      <c r="T1567" s="201">
        <f t="shared" si="157"/>
        <v>1952.81</v>
      </c>
      <c r="U1567" s="201">
        <f t="shared" si="157"/>
        <v>0</v>
      </c>
      <c r="V1567" s="201">
        <f t="shared" si="157"/>
        <v>1952.81</v>
      </c>
      <c r="W1567" s="201">
        <f t="shared" si="157"/>
        <v>1952.81</v>
      </c>
      <c r="X1567" s="201">
        <f t="shared" si="157"/>
        <v>0</v>
      </c>
    </row>
    <row r="1568" spans="1:24" s="169" customFormat="1" ht="13.8">
      <c r="A1568" s="192"/>
      <c r="B1568" s="164" t="s">
        <v>690</v>
      </c>
      <c r="C1568" s="183" t="str">
        <f t="shared" si="152"/>
        <v/>
      </c>
      <c r="D1568" s="182" t="str">
        <f t="shared" si="153"/>
        <v/>
      </c>
      <c r="E1568" s="206"/>
      <c r="F1568" s="207"/>
      <c r="G1568" s="207"/>
      <c r="H1568" s="205"/>
      <c r="I1568" s="167">
        <v>641726676</v>
      </c>
      <c r="J1568" s="166"/>
      <c r="K1568" s="167">
        <v>-1190000</v>
      </c>
      <c r="L1568" s="168">
        <v>642916676</v>
      </c>
      <c r="M1568" s="168">
        <f t="shared" si="154"/>
        <v>641726676</v>
      </c>
      <c r="N1568" s="168"/>
      <c r="O1568" s="167">
        <v>641726676</v>
      </c>
      <c r="P1568" s="167">
        <f t="shared" si="155"/>
        <v>641726676</v>
      </c>
      <c r="Q1568" s="167"/>
      <c r="S1568" s="201">
        <f t="shared" si="156"/>
        <v>641.726676</v>
      </c>
      <c r="T1568" s="201">
        <f t="shared" si="157"/>
        <v>641.726676</v>
      </c>
      <c r="U1568" s="201">
        <f t="shared" si="157"/>
        <v>0</v>
      </c>
      <c r="V1568" s="201">
        <f t="shared" si="157"/>
        <v>641.726676</v>
      </c>
      <c r="W1568" s="201">
        <f t="shared" si="157"/>
        <v>641.726676</v>
      </c>
      <c r="X1568" s="201">
        <f t="shared" si="157"/>
        <v>0</v>
      </c>
    </row>
    <row r="1569" spans="1:24" s="169" customFormat="1" ht="13.8">
      <c r="A1569" s="192"/>
      <c r="B1569" s="164"/>
      <c r="C1569" s="183" t="str">
        <f t="shared" si="152"/>
        <v/>
      </c>
      <c r="D1569" s="182" t="str">
        <f t="shared" si="153"/>
        <v/>
      </c>
      <c r="E1569" s="192" t="s">
        <v>666</v>
      </c>
      <c r="F1569" s="192" t="s">
        <v>705</v>
      </c>
      <c r="G1569" s="192" t="s">
        <v>706</v>
      </c>
      <c r="H1569" s="210" t="s">
        <v>1440</v>
      </c>
      <c r="I1569" s="167">
        <v>641726676</v>
      </c>
      <c r="J1569" s="166"/>
      <c r="K1569" s="167">
        <v>-1190000</v>
      </c>
      <c r="L1569" s="168">
        <v>642916676</v>
      </c>
      <c r="M1569" s="168">
        <f t="shared" si="154"/>
        <v>641726676</v>
      </c>
      <c r="N1569" s="168"/>
      <c r="O1569" s="167">
        <v>641726676</v>
      </c>
      <c r="P1569" s="167">
        <f t="shared" si="155"/>
        <v>641726676</v>
      </c>
      <c r="Q1569" s="167"/>
      <c r="S1569" s="201">
        <f t="shared" si="156"/>
        <v>641.726676</v>
      </c>
      <c r="T1569" s="201">
        <f t="shared" si="157"/>
        <v>641.726676</v>
      </c>
      <c r="U1569" s="201">
        <f t="shared" si="157"/>
        <v>0</v>
      </c>
      <c r="V1569" s="201">
        <f t="shared" si="157"/>
        <v>641.726676</v>
      </c>
      <c r="W1569" s="201">
        <f t="shared" si="157"/>
        <v>641.726676</v>
      </c>
      <c r="X1569" s="201">
        <f t="shared" si="157"/>
        <v>0</v>
      </c>
    </row>
    <row r="1570" spans="1:24" s="169" customFormat="1" ht="13.8">
      <c r="A1570" s="192"/>
      <c r="B1570" s="164" t="s">
        <v>686</v>
      </c>
      <c r="C1570" s="183" t="str">
        <f t="shared" si="152"/>
        <v/>
      </c>
      <c r="D1570" s="182" t="str">
        <f t="shared" si="153"/>
        <v/>
      </c>
      <c r="E1570" s="206"/>
      <c r="F1570" s="207"/>
      <c r="G1570" s="207"/>
      <c r="H1570" s="205"/>
      <c r="I1570" s="167">
        <v>1311083324</v>
      </c>
      <c r="J1570" s="166"/>
      <c r="K1570" s="167">
        <v>1454000000</v>
      </c>
      <c r="L1570" s="168">
        <v>-142916676</v>
      </c>
      <c r="M1570" s="168">
        <f t="shared" si="154"/>
        <v>1311083324</v>
      </c>
      <c r="N1570" s="168"/>
      <c r="O1570" s="167">
        <v>1311083324</v>
      </c>
      <c r="P1570" s="167">
        <f t="shared" si="155"/>
        <v>1311083324</v>
      </c>
      <c r="Q1570" s="167"/>
      <c r="S1570" s="201">
        <f t="shared" si="156"/>
        <v>1311.0833239999999</v>
      </c>
      <c r="T1570" s="201">
        <f t="shared" si="157"/>
        <v>1311.0833239999999</v>
      </c>
      <c r="U1570" s="201">
        <f t="shared" si="157"/>
        <v>0</v>
      </c>
      <c r="V1570" s="201">
        <f t="shared" si="157"/>
        <v>1311.0833239999999</v>
      </c>
      <c r="W1570" s="201">
        <f t="shared" si="157"/>
        <v>1311.0833239999999</v>
      </c>
      <c r="X1570" s="201">
        <f t="shared" si="157"/>
        <v>0</v>
      </c>
    </row>
    <row r="1571" spans="1:24" s="169" customFormat="1" ht="13.8">
      <c r="A1571" s="192"/>
      <c r="B1571" s="164"/>
      <c r="C1571" s="183" t="str">
        <f t="shared" si="152"/>
        <v/>
      </c>
      <c r="D1571" s="182" t="str">
        <f t="shared" si="153"/>
        <v/>
      </c>
      <c r="E1571" s="192" t="s">
        <v>681</v>
      </c>
      <c r="F1571" s="192" t="s">
        <v>705</v>
      </c>
      <c r="G1571" s="192" t="s">
        <v>706</v>
      </c>
      <c r="H1571" s="210" t="s">
        <v>1440</v>
      </c>
      <c r="I1571" s="167">
        <v>1311083324</v>
      </c>
      <c r="J1571" s="166"/>
      <c r="K1571" s="167">
        <v>1454000000</v>
      </c>
      <c r="L1571" s="168">
        <v>-142916676</v>
      </c>
      <c r="M1571" s="168">
        <f t="shared" si="154"/>
        <v>1311083324</v>
      </c>
      <c r="N1571" s="168"/>
      <c r="O1571" s="167">
        <v>1311083324</v>
      </c>
      <c r="P1571" s="167">
        <f t="shared" si="155"/>
        <v>1311083324</v>
      </c>
      <c r="Q1571" s="167"/>
      <c r="S1571" s="201">
        <f t="shared" si="156"/>
        <v>1311.0833239999999</v>
      </c>
      <c r="T1571" s="201">
        <f t="shared" si="157"/>
        <v>1311.0833239999999</v>
      </c>
      <c r="U1571" s="201">
        <f t="shared" si="157"/>
        <v>0</v>
      </c>
      <c r="V1571" s="201">
        <f t="shared" si="157"/>
        <v>1311.0833239999999</v>
      </c>
      <c r="W1571" s="201">
        <f t="shared" si="157"/>
        <v>1311.0833239999999</v>
      </c>
      <c r="X1571" s="201">
        <f t="shared" si="157"/>
        <v>0</v>
      </c>
    </row>
    <row r="1572" spans="1:24" s="169" customFormat="1" ht="39.6">
      <c r="A1572" s="192" t="s">
        <v>1374</v>
      </c>
      <c r="B1572" s="176" t="s">
        <v>1375</v>
      </c>
      <c r="C1572" s="183" t="str">
        <f t="shared" si="152"/>
        <v>1124495</v>
      </c>
      <c r="D1572" s="182" t="str">
        <f t="shared" si="153"/>
        <v>-Ban quản lý Khu Nông nghiệp ứng dụng công nghệ cao Măng Đen</v>
      </c>
      <c r="E1572" s="206"/>
      <c r="F1572" s="207"/>
      <c r="G1572" s="207"/>
      <c r="H1572" s="205"/>
      <c r="I1572" s="167">
        <v>776475243</v>
      </c>
      <c r="J1572" s="166"/>
      <c r="K1572" s="167">
        <v>776475243</v>
      </c>
      <c r="L1572" s="171"/>
      <c r="M1572" s="168">
        <f t="shared" si="154"/>
        <v>776475243</v>
      </c>
      <c r="N1572" s="171"/>
      <c r="O1572" s="167">
        <v>776475243</v>
      </c>
      <c r="P1572" s="167">
        <f t="shared" si="155"/>
        <v>776475243</v>
      </c>
      <c r="Q1572" s="167"/>
      <c r="S1572" s="201">
        <f t="shared" si="156"/>
        <v>776.47524299999998</v>
      </c>
      <c r="T1572" s="201">
        <f t="shared" si="157"/>
        <v>776.47524299999998</v>
      </c>
      <c r="U1572" s="201">
        <f t="shared" si="157"/>
        <v>0</v>
      </c>
      <c r="V1572" s="201">
        <f t="shared" si="157"/>
        <v>776.47524299999998</v>
      </c>
      <c r="W1572" s="201">
        <f t="shared" si="157"/>
        <v>776.47524299999998</v>
      </c>
      <c r="X1572" s="201">
        <f t="shared" si="157"/>
        <v>0</v>
      </c>
    </row>
    <row r="1573" spans="1:24" s="169" customFormat="1" ht="13.8">
      <c r="A1573" s="192" t="s">
        <v>1376</v>
      </c>
      <c r="B1573" s="164" t="s">
        <v>689</v>
      </c>
      <c r="C1573" s="183" t="str">
        <f t="shared" si="152"/>
        <v/>
      </c>
      <c r="D1573" s="182" t="str">
        <f t="shared" si="153"/>
        <v/>
      </c>
      <c r="E1573" s="206"/>
      <c r="F1573" s="207"/>
      <c r="G1573" s="207"/>
      <c r="H1573" s="205"/>
      <c r="I1573" s="167">
        <v>776475243</v>
      </c>
      <c r="J1573" s="166"/>
      <c r="K1573" s="167">
        <v>776475243</v>
      </c>
      <c r="L1573" s="171"/>
      <c r="M1573" s="168">
        <f t="shared" si="154"/>
        <v>776475243</v>
      </c>
      <c r="N1573" s="171"/>
      <c r="O1573" s="167">
        <v>776475243</v>
      </c>
      <c r="P1573" s="167">
        <f t="shared" si="155"/>
        <v>776475243</v>
      </c>
      <c r="Q1573" s="167"/>
      <c r="S1573" s="201">
        <f t="shared" si="156"/>
        <v>776.47524299999998</v>
      </c>
      <c r="T1573" s="201">
        <f t="shared" si="157"/>
        <v>776.47524299999998</v>
      </c>
      <c r="U1573" s="201">
        <f t="shared" si="157"/>
        <v>0</v>
      </c>
      <c r="V1573" s="201">
        <f t="shared" si="157"/>
        <v>776.47524299999998</v>
      </c>
      <c r="W1573" s="201">
        <f t="shared" si="157"/>
        <v>776.47524299999998</v>
      </c>
      <c r="X1573" s="201">
        <f t="shared" si="157"/>
        <v>0</v>
      </c>
    </row>
    <row r="1574" spans="1:24" s="169" customFormat="1" ht="13.8">
      <c r="A1574" s="192"/>
      <c r="B1574" s="164" t="s">
        <v>686</v>
      </c>
      <c r="C1574" s="183" t="str">
        <f t="shared" si="152"/>
        <v/>
      </c>
      <c r="D1574" s="182" t="str">
        <f t="shared" si="153"/>
        <v/>
      </c>
      <c r="E1574" s="206"/>
      <c r="F1574" s="207"/>
      <c r="G1574" s="207"/>
      <c r="H1574" s="205"/>
      <c r="I1574" s="167">
        <v>776475243</v>
      </c>
      <c r="J1574" s="166"/>
      <c r="K1574" s="167">
        <v>776475243</v>
      </c>
      <c r="L1574" s="171"/>
      <c r="M1574" s="168">
        <f t="shared" si="154"/>
        <v>776475243</v>
      </c>
      <c r="N1574" s="171"/>
      <c r="O1574" s="167">
        <v>776475243</v>
      </c>
      <c r="P1574" s="167">
        <f t="shared" si="155"/>
        <v>776475243</v>
      </c>
      <c r="Q1574" s="167"/>
      <c r="S1574" s="201">
        <f t="shared" si="156"/>
        <v>776.47524299999998</v>
      </c>
      <c r="T1574" s="201">
        <f t="shared" si="157"/>
        <v>776.47524299999998</v>
      </c>
      <c r="U1574" s="201">
        <f t="shared" si="157"/>
        <v>0</v>
      </c>
      <c r="V1574" s="201">
        <f t="shared" si="157"/>
        <v>776.47524299999998</v>
      </c>
      <c r="W1574" s="201">
        <f t="shared" si="157"/>
        <v>776.47524299999998</v>
      </c>
      <c r="X1574" s="201">
        <f t="shared" si="157"/>
        <v>0</v>
      </c>
    </row>
    <row r="1575" spans="1:24" s="169" customFormat="1" ht="13.8">
      <c r="A1575" s="193"/>
      <c r="B1575" s="187"/>
      <c r="C1575" s="183" t="str">
        <f t="shared" si="152"/>
        <v/>
      </c>
      <c r="D1575" s="182" t="str">
        <f t="shared" si="153"/>
        <v/>
      </c>
      <c r="E1575" s="192" t="s">
        <v>681</v>
      </c>
      <c r="F1575" s="192" t="s">
        <v>760</v>
      </c>
      <c r="G1575" s="192" t="s">
        <v>727</v>
      </c>
      <c r="H1575" s="210" t="s">
        <v>1440</v>
      </c>
      <c r="I1575" s="167">
        <v>181042378</v>
      </c>
      <c r="J1575" s="166"/>
      <c r="K1575" s="167">
        <v>181042378</v>
      </c>
      <c r="L1575" s="171"/>
      <c r="M1575" s="168">
        <f t="shared" si="154"/>
        <v>181042378</v>
      </c>
      <c r="N1575" s="171"/>
      <c r="O1575" s="167">
        <v>181042378</v>
      </c>
      <c r="P1575" s="167">
        <f t="shared" si="155"/>
        <v>181042378</v>
      </c>
      <c r="Q1575" s="167"/>
      <c r="S1575" s="201">
        <f t="shared" si="156"/>
        <v>181.04237800000001</v>
      </c>
      <c r="T1575" s="201">
        <f t="shared" si="157"/>
        <v>181.04237800000001</v>
      </c>
      <c r="U1575" s="201">
        <f t="shared" si="157"/>
        <v>0</v>
      </c>
      <c r="V1575" s="201">
        <f t="shared" si="157"/>
        <v>181.04237800000001</v>
      </c>
      <c r="W1575" s="201">
        <f t="shared" si="157"/>
        <v>181.04237800000001</v>
      </c>
      <c r="X1575" s="201">
        <f t="shared" si="157"/>
        <v>0</v>
      </c>
    </row>
    <row r="1576" spans="1:24" s="169" customFormat="1" ht="13.8">
      <c r="A1576" s="195"/>
      <c r="B1576" s="188"/>
      <c r="C1576" s="183" t="str">
        <f t="shared" si="152"/>
        <v/>
      </c>
      <c r="D1576" s="182" t="str">
        <f t="shared" si="153"/>
        <v/>
      </c>
      <c r="E1576" s="192" t="s">
        <v>681</v>
      </c>
      <c r="F1576" s="192" t="s">
        <v>760</v>
      </c>
      <c r="G1576" s="192" t="s">
        <v>761</v>
      </c>
      <c r="H1576" s="210" t="s">
        <v>1440</v>
      </c>
      <c r="I1576" s="167">
        <v>595432865</v>
      </c>
      <c r="J1576" s="166"/>
      <c r="K1576" s="167">
        <v>595432865</v>
      </c>
      <c r="L1576" s="171"/>
      <c r="M1576" s="168">
        <f t="shared" si="154"/>
        <v>595432865</v>
      </c>
      <c r="N1576" s="171"/>
      <c r="O1576" s="167">
        <v>595432865</v>
      </c>
      <c r="P1576" s="167">
        <f t="shared" si="155"/>
        <v>595432865</v>
      </c>
      <c r="Q1576" s="167"/>
      <c r="S1576" s="201">
        <f t="shared" si="156"/>
        <v>595.43286499999999</v>
      </c>
      <c r="T1576" s="201">
        <f t="shared" si="157"/>
        <v>595.43286499999999</v>
      </c>
      <c r="U1576" s="201">
        <f t="shared" si="157"/>
        <v>0</v>
      </c>
      <c r="V1576" s="201">
        <f t="shared" si="157"/>
        <v>595.43286499999999</v>
      </c>
      <c r="W1576" s="201">
        <f t="shared" si="157"/>
        <v>595.43286499999999</v>
      </c>
      <c r="X1576" s="201">
        <f t="shared" si="157"/>
        <v>0</v>
      </c>
    </row>
    <row r="1577" spans="1:24" s="169" customFormat="1" ht="26.4">
      <c r="A1577" s="192" t="s">
        <v>1050</v>
      </c>
      <c r="B1577" s="176" t="s">
        <v>1377</v>
      </c>
      <c r="C1577" s="183" t="str">
        <f t="shared" si="152"/>
        <v>1124496</v>
      </c>
      <c r="D1577" s="182" t="str">
        <f t="shared" si="153"/>
        <v>-Hạt kiềm lâm rừng phòng hộ Tu Mơ Rông</v>
      </c>
      <c r="E1577" s="206"/>
      <c r="F1577" s="207"/>
      <c r="G1577" s="207"/>
      <c r="H1577" s="205"/>
      <c r="I1577" s="167">
        <v>665500000</v>
      </c>
      <c r="J1577" s="166"/>
      <c r="K1577" s="167">
        <v>657500000</v>
      </c>
      <c r="L1577" s="168">
        <v>8000000</v>
      </c>
      <c r="M1577" s="168">
        <f t="shared" si="154"/>
        <v>665500000</v>
      </c>
      <c r="N1577" s="168"/>
      <c r="O1577" s="167">
        <v>665500000</v>
      </c>
      <c r="P1577" s="167">
        <f t="shared" si="155"/>
        <v>665500000</v>
      </c>
      <c r="Q1577" s="167"/>
      <c r="S1577" s="201">
        <f t="shared" si="156"/>
        <v>665.5</v>
      </c>
      <c r="T1577" s="201">
        <f t="shared" si="157"/>
        <v>665.5</v>
      </c>
      <c r="U1577" s="201">
        <f t="shared" si="157"/>
        <v>0</v>
      </c>
      <c r="V1577" s="201">
        <f t="shared" si="157"/>
        <v>665.5</v>
      </c>
      <c r="W1577" s="201">
        <f t="shared" si="157"/>
        <v>665.5</v>
      </c>
      <c r="X1577" s="201">
        <f t="shared" si="157"/>
        <v>0</v>
      </c>
    </row>
    <row r="1578" spans="1:24" s="169" customFormat="1" ht="13.8">
      <c r="A1578" s="192" t="s">
        <v>1378</v>
      </c>
      <c r="B1578" s="164" t="s">
        <v>689</v>
      </c>
      <c r="C1578" s="183" t="str">
        <f t="shared" si="152"/>
        <v/>
      </c>
      <c r="D1578" s="182" t="str">
        <f t="shared" si="153"/>
        <v/>
      </c>
      <c r="E1578" s="206"/>
      <c r="F1578" s="207"/>
      <c r="G1578" s="207"/>
      <c r="H1578" s="205"/>
      <c r="I1578" s="167">
        <v>665500000</v>
      </c>
      <c r="J1578" s="166"/>
      <c r="K1578" s="167">
        <v>657500000</v>
      </c>
      <c r="L1578" s="168">
        <v>8000000</v>
      </c>
      <c r="M1578" s="168">
        <f t="shared" si="154"/>
        <v>665500000</v>
      </c>
      <c r="N1578" s="168"/>
      <c r="O1578" s="167">
        <v>665500000</v>
      </c>
      <c r="P1578" s="167">
        <f t="shared" si="155"/>
        <v>665500000</v>
      </c>
      <c r="Q1578" s="167"/>
      <c r="S1578" s="201">
        <f t="shared" si="156"/>
        <v>665.5</v>
      </c>
      <c r="T1578" s="201">
        <f t="shared" si="157"/>
        <v>665.5</v>
      </c>
      <c r="U1578" s="201">
        <f t="shared" si="157"/>
        <v>0</v>
      </c>
      <c r="V1578" s="201">
        <f t="shared" si="157"/>
        <v>665.5</v>
      </c>
      <c r="W1578" s="201">
        <f t="shared" si="157"/>
        <v>665.5</v>
      </c>
      <c r="X1578" s="201">
        <f t="shared" si="157"/>
        <v>0</v>
      </c>
    </row>
    <row r="1579" spans="1:24" s="169" customFormat="1" ht="13.8">
      <c r="A1579" s="192"/>
      <c r="B1579" s="173"/>
      <c r="C1579" s="183" t="str">
        <f t="shared" si="152"/>
        <v/>
      </c>
      <c r="D1579" s="182" t="str">
        <f t="shared" si="153"/>
        <v/>
      </c>
      <c r="E1579" s="192"/>
      <c r="F1579" s="192"/>
      <c r="G1579" s="192"/>
      <c r="H1579" s="210"/>
      <c r="I1579" s="174"/>
      <c r="J1579" s="174"/>
      <c r="K1579" s="174"/>
      <c r="L1579" s="175"/>
      <c r="M1579" s="168">
        <f t="shared" si="154"/>
        <v>0</v>
      </c>
      <c r="N1579" s="175"/>
      <c r="O1579" s="174"/>
      <c r="P1579" s="167">
        <f t="shared" si="155"/>
        <v>0</v>
      </c>
      <c r="Q1579" s="174"/>
      <c r="S1579" s="201">
        <f t="shared" si="156"/>
        <v>0</v>
      </c>
      <c r="T1579" s="201">
        <f t="shared" si="157"/>
        <v>0</v>
      </c>
      <c r="U1579" s="201">
        <f t="shared" si="157"/>
        <v>0</v>
      </c>
      <c r="V1579" s="201">
        <f t="shared" si="157"/>
        <v>0</v>
      </c>
      <c r="W1579" s="201">
        <f t="shared" si="157"/>
        <v>0</v>
      </c>
      <c r="X1579" s="201">
        <f t="shared" si="157"/>
        <v>0</v>
      </c>
    </row>
    <row r="1580" spans="1:24" s="169" customFormat="1" ht="13.8">
      <c r="A1580" s="192"/>
      <c r="B1580" s="170" t="s">
        <v>690</v>
      </c>
      <c r="C1580" s="183" t="str">
        <f t="shared" si="152"/>
        <v/>
      </c>
      <c r="D1580" s="182" t="str">
        <f t="shared" si="153"/>
        <v/>
      </c>
      <c r="E1580" s="206"/>
      <c r="F1580" s="207"/>
      <c r="G1580" s="207"/>
      <c r="H1580" s="205"/>
      <c r="I1580" s="167">
        <v>611500000</v>
      </c>
      <c r="J1580" s="166"/>
      <c r="K1580" s="167">
        <v>603500000</v>
      </c>
      <c r="L1580" s="168">
        <v>8000000</v>
      </c>
      <c r="M1580" s="168">
        <f t="shared" si="154"/>
        <v>611500000</v>
      </c>
      <c r="N1580" s="168"/>
      <c r="O1580" s="167">
        <v>611500000</v>
      </c>
      <c r="P1580" s="167">
        <f t="shared" si="155"/>
        <v>611500000</v>
      </c>
      <c r="Q1580" s="167"/>
      <c r="S1580" s="201">
        <f t="shared" si="156"/>
        <v>611.5</v>
      </c>
      <c r="T1580" s="201">
        <f t="shared" si="157"/>
        <v>611.5</v>
      </c>
      <c r="U1580" s="201">
        <f t="shared" si="157"/>
        <v>0</v>
      </c>
      <c r="V1580" s="201">
        <f t="shared" si="157"/>
        <v>611.5</v>
      </c>
      <c r="W1580" s="201">
        <f t="shared" si="157"/>
        <v>611.5</v>
      </c>
      <c r="X1580" s="201">
        <f t="shared" si="157"/>
        <v>0</v>
      </c>
    </row>
    <row r="1581" spans="1:24" s="169" customFormat="1" ht="13.8">
      <c r="A1581" s="193"/>
      <c r="B1581" s="187"/>
      <c r="C1581" s="183" t="str">
        <f t="shared" si="152"/>
        <v/>
      </c>
      <c r="D1581" s="182" t="str">
        <f t="shared" si="153"/>
        <v/>
      </c>
      <c r="E1581" s="192" t="s">
        <v>666</v>
      </c>
      <c r="F1581" s="192" t="s">
        <v>698</v>
      </c>
      <c r="G1581" s="192" t="s">
        <v>695</v>
      </c>
      <c r="H1581" s="210" t="s">
        <v>1440</v>
      </c>
      <c r="I1581" s="167">
        <v>603500000</v>
      </c>
      <c r="J1581" s="166"/>
      <c r="K1581" s="167">
        <v>603500000</v>
      </c>
      <c r="L1581" s="171"/>
      <c r="M1581" s="168">
        <f t="shared" si="154"/>
        <v>603500000</v>
      </c>
      <c r="N1581" s="171"/>
      <c r="O1581" s="167">
        <v>603500000</v>
      </c>
      <c r="P1581" s="167">
        <f t="shared" si="155"/>
        <v>603500000</v>
      </c>
      <c r="Q1581" s="167"/>
      <c r="S1581" s="201">
        <f t="shared" si="156"/>
        <v>603.5</v>
      </c>
      <c r="T1581" s="201">
        <f t="shared" si="157"/>
        <v>603.5</v>
      </c>
      <c r="U1581" s="201">
        <f t="shared" si="157"/>
        <v>0</v>
      </c>
      <c r="V1581" s="201">
        <f t="shared" si="157"/>
        <v>603.5</v>
      </c>
      <c r="W1581" s="201">
        <f t="shared" si="157"/>
        <v>603.5</v>
      </c>
      <c r="X1581" s="201">
        <f t="shared" si="157"/>
        <v>0</v>
      </c>
    </row>
    <row r="1582" spans="1:24" s="169" customFormat="1" ht="13.8">
      <c r="A1582" s="195"/>
      <c r="B1582" s="188"/>
      <c r="C1582" s="183" t="str">
        <f t="shared" si="152"/>
        <v/>
      </c>
      <c r="D1582" s="182" t="str">
        <f t="shared" si="153"/>
        <v/>
      </c>
      <c r="E1582" s="192" t="s">
        <v>679</v>
      </c>
      <c r="F1582" s="192" t="s">
        <v>698</v>
      </c>
      <c r="G1582" s="192" t="s">
        <v>695</v>
      </c>
      <c r="H1582" s="210" t="s">
        <v>1440</v>
      </c>
      <c r="I1582" s="167">
        <v>8000000</v>
      </c>
      <c r="J1582" s="166"/>
      <c r="K1582" s="166"/>
      <c r="L1582" s="168">
        <v>8000000</v>
      </c>
      <c r="M1582" s="168">
        <f t="shared" si="154"/>
        <v>8000000</v>
      </c>
      <c r="N1582" s="168"/>
      <c r="O1582" s="167">
        <v>8000000</v>
      </c>
      <c r="P1582" s="167">
        <f t="shared" si="155"/>
        <v>8000000</v>
      </c>
      <c r="Q1582" s="167"/>
      <c r="S1582" s="201">
        <f t="shared" si="156"/>
        <v>8</v>
      </c>
      <c r="T1582" s="201">
        <f t="shared" si="157"/>
        <v>8</v>
      </c>
      <c r="U1582" s="201">
        <f t="shared" si="157"/>
        <v>0</v>
      </c>
      <c r="V1582" s="201">
        <f t="shared" si="157"/>
        <v>8</v>
      </c>
      <c r="W1582" s="201">
        <f t="shared" si="157"/>
        <v>8</v>
      </c>
      <c r="X1582" s="201">
        <f t="shared" si="157"/>
        <v>0</v>
      </c>
    </row>
    <row r="1583" spans="1:24" s="169" customFormat="1" ht="13.8">
      <c r="A1583" s="192"/>
      <c r="B1583" s="170" t="s">
        <v>686</v>
      </c>
      <c r="C1583" s="183" t="str">
        <f t="shared" si="152"/>
        <v/>
      </c>
      <c r="D1583" s="182" t="str">
        <f t="shared" si="153"/>
        <v/>
      </c>
      <c r="E1583" s="206"/>
      <c r="F1583" s="207"/>
      <c r="G1583" s="207"/>
      <c r="H1583" s="205"/>
      <c r="I1583" s="167">
        <v>54000000</v>
      </c>
      <c r="J1583" s="166"/>
      <c r="K1583" s="167">
        <v>54000000</v>
      </c>
      <c r="L1583" s="171"/>
      <c r="M1583" s="168">
        <f t="shared" si="154"/>
        <v>54000000</v>
      </c>
      <c r="N1583" s="171"/>
      <c r="O1583" s="167">
        <v>54000000</v>
      </c>
      <c r="P1583" s="167">
        <f t="shared" si="155"/>
        <v>54000000</v>
      </c>
      <c r="Q1583" s="167"/>
      <c r="S1583" s="201">
        <f t="shared" si="156"/>
        <v>54</v>
      </c>
      <c r="T1583" s="201">
        <f t="shared" si="157"/>
        <v>54</v>
      </c>
      <c r="U1583" s="201">
        <f t="shared" si="157"/>
        <v>0</v>
      </c>
      <c r="V1583" s="201">
        <f t="shared" si="157"/>
        <v>54</v>
      </c>
      <c r="W1583" s="201">
        <f t="shared" si="157"/>
        <v>54</v>
      </c>
      <c r="X1583" s="201">
        <f t="shared" si="157"/>
        <v>0</v>
      </c>
    </row>
    <row r="1584" spans="1:24" s="169" customFormat="1" ht="13.8">
      <c r="A1584" s="192"/>
      <c r="B1584" s="164"/>
      <c r="C1584" s="183" t="str">
        <f t="shared" si="152"/>
        <v/>
      </c>
      <c r="D1584" s="182" t="str">
        <f t="shared" si="153"/>
        <v/>
      </c>
      <c r="E1584" s="192" t="s">
        <v>681</v>
      </c>
      <c r="F1584" s="192" t="s">
        <v>698</v>
      </c>
      <c r="G1584" s="192" t="s">
        <v>699</v>
      </c>
      <c r="H1584" s="210" t="s">
        <v>1440</v>
      </c>
      <c r="I1584" s="167">
        <v>54000000</v>
      </c>
      <c r="J1584" s="166"/>
      <c r="K1584" s="167">
        <v>54000000</v>
      </c>
      <c r="L1584" s="171"/>
      <c r="M1584" s="168">
        <f t="shared" si="154"/>
        <v>54000000</v>
      </c>
      <c r="N1584" s="171"/>
      <c r="O1584" s="167">
        <v>54000000</v>
      </c>
      <c r="P1584" s="167">
        <f t="shared" si="155"/>
        <v>54000000</v>
      </c>
      <c r="Q1584" s="167"/>
      <c r="S1584" s="201">
        <f t="shared" si="156"/>
        <v>54</v>
      </c>
      <c r="T1584" s="201">
        <f t="shared" si="157"/>
        <v>54</v>
      </c>
      <c r="U1584" s="201">
        <f t="shared" si="157"/>
        <v>0</v>
      </c>
      <c r="V1584" s="201">
        <f t="shared" si="157"/>
        <v>54</v>
      </c>
      <c r="W1584" s="201">
        <f t="shared" si="157"/>
        <v>54</v>
      </c>
      <c r="X1584" s="201">
        <f t="shared" si="157"/>
        <v>0</v>
      </c>
    </row>
    <row r="1585" spans="1:24" s="169" customFormat="1" ht="52.8">
      <c r="A1585" s="192" t="s">
        <v>1379</v>
      </c>
      <c r="B1585" s="165" t="s">
        <v>1380</v>
      </c>
      <c r="C1585" s="183" t="str">
        <f t="shared" si="152"/>
        <v>1124841</v>
      </c>
      <c r="D1585" s="182" t="str">
        <f t="shared" si="153"/>
        <v>-Ban quản lý dự ân Hỗ trợ quản trị địa phương trách nhiệm giải trình, đáp ứng được tại tỉnh Kon Tum</v>
      </c>
      <c r="E1585" s="206"/>
      <c r="F1585" s="207"/>
      <c r="G1585" s="207"/>
      <c r="H1585" s="205"/>
      <c r="I1585" s="167">
        <v>720000000</v>
      </c>
      <c r="J1585" s="166"/>
      <c r="K1585" s="166"/>
      <c r="L1585" s="168">
        <v>720000000</v>
      </c>
      <c r="M1585" s="168">
        <f t="shared" si="154"/>
        <v>720000000</v>
      </c>
      <c r="N1585" s="168"/>
      <c r="O1585" s="167">
        <v>505704737</v>
      </c>
      <c r="P1585" s="167">
        <f t="shared" si="155"/>
        <v>505704737</v>
      </c>
      <c r="Q1585" s="167"/>
      <c r="S1585" s="201">
        <f t="shared" si="156"/>
        <v>720</v>
      </c>
      <c r="T1585" s="201">
        <f t="shared" si="157"/>
        <v>720</v>
      </c>
      <c r="U1585" s="201">
        <f t="shared" si="157"/>
        <v>0</v>
      </c>
      <c r="V1585" s="201">
        <f t="shared" si="157"/>
        <v>505.70473700000002</v>
      </c>
      <c r="W1585" s="201">
        <f t="shared" si="157"/>
        <v>505.70473700000002</v>
      </c>
      <c r="X1585" s="201">
        <f t="shared" si="157"/>
        <v>0</v>
      </c>
    </row>
    <row r="1586" spans="1:24" s="169" customFormat="1" ht="13.8">
      <c r="A1586" s="192" t="s">
        <v>1381</v>
      </c>
      <c r="B1586" s="170" t="s">
        <v>689</v>
      </c>
      <c r="C1586" s="183" t="str">
        <f t="shared" si="152"/>
        <v/>
      </c>
      <c r="D1586" s="182" t="str">
        <f t="shared" si="153"/>
        <v/>
      </c>
      <c r="E1586" s="206"/>
      <c r="F1586" s="207"/>
      <c r="G1586" s="207"/>
      <c r="H1586" s="205"/>
      <c r="I1586" s="167">
        <v>720000000</v>
      </c>
      <c r="J1586" s="166"/>
      <c r="K1586" s="166"/>
      <c r="L1586" s="168">
        <v>720000000</v>
      </c>
      <c r="M1586" s="168">
        <f t="shared" si="154"/>
        <v>720000000</v>
      </c>
      <c r="N1586" s="168"/>
      <c r="O1586" s="167">
        <v>505704737</v>
      </c>
      <c r="P1586" s="167">
        <f t="shared" si="155"/>
        <v>505704737</v>
      </c>
      <c r="Q1586" s="167"/>
      <c r="S1586" s="201">
        <f t="shared" si="156"/>
        <v>720</v>
      </c>
      <c r="T1586" s="201">
        <f t="shared" si="157"/>
        <v>720</v>
      </c>
      <c r="U1586" s="201">
        <f t="shared" si="157"/>
        <v>0</v>
      </c>
      <c r="V1586" s="201">
        <f t="shared" si="157"/>
        <v>505.70473700000002</v>
      </c>
      <c r="W1586" s="201">
        <f t="shared" si="157"/>
        <v>505.70473700000002</v>
      </c>
      <c r="X1586" s="201">
        <f t="shared" si="157"/>
        <v>0</v>
      </c>
    </row>
    <row r="1587" spans="1:24" s="169" customFormat="1" ht="13.8">
      <c r="A1587" s="192"/>
      <c r="B1587" s="170" t="s">
        <v>686</v>
      </c>
      <c r="C1587" s="183" t="str">
        <f t="shared" si="152"/>
        <v/>
      </c>
      <c r="D1587" s="182" t="str">
        <f t="shared" si="153"/>
        <v/>
      </c>
      <c r="E1587" s="206"/>
      <c r="F1587" s="207"/>
      <c r="G1587" s="207"/>
      <c r="H1587" s="205"/>
      <c r="I1587" s="167">
        <v>720000000</v>
      </c>
      <c r="J1587" s="166"/>
      <c r="K1587" s="166"/>
      <c r="L1587" s="168">
        <v>720000000</v>
      </c>
      <c r="M1587" s="168">
        <f t="shared" si="154"/>
        <v>720000000</v>
      </c>
      <c r="N1587" s="168"/>
      <c r="O1587" s="167">
        <v>505704737</v>
      </c>
      <c r="P1587" s="167">
        <f t="shared" si="155"/>
        <v>505704737</v>
      </c>
      <c r="Q1587" s="167"/>
      <c r="S1587" s="201">
        <f t="shared" si="156"/>
        <v>720</v>
      </c>
      <c r="T1587" s="201">
        <f t="shared" si="157"/>
        <v>720</v>
      </c>
      <c r="U1587" s="201">
        <f t="shared" si="157"/>
        <v>0</v>
      </c>
      <c r="V1587" s="201">
        <f t="shared" si="157"/>
        <v>505.70473700000002</v>
      </c>
      <c r="W1587" s="201">
        <f t="shared" si="157"/>
        <v>505.70473700000002</v>
      </c>
      <c r="X1587" s="201">
        <f t="shared" si="157"/>
        <v>0</v>
      </c>
    </row>
    <row r="1588" spans="1:24" s="169" customFormat="1" ht="13.8">
      <c r="A1588" s="192"/>
      <c r="B1588" s="164"/>
      <c r="C1588" s="183" t="str">
        <f t="shared" si="152"/>
        <v/>
      </c>
      <c r="D1588" s="182" t="str">
        <f t="shared" si="153"/>
        <v/>
      </c>
      <c r="E1588" s="192" t="s">
        <v>681</v>
      </c>
      <c r="F1588" s="192" t="s">
        <v>760</v>
      </c>
      <c r="G1588" s="192" t="s">
        <v>791</v>
      </c>
      <c r="H1588" s="210" t="s">
        <v>1440</v>
      </c>
      <c r="I1588" s="167">
        <v>720000000</v>
      </c>
      <c r="J1588" s="166"/>
      <c r="K1588" s="166"/>
      <c r="L1588" s="168">
        <v>720000000</v>
      </c>
      <c r="M1588" s="168">
        <f t="shared" si="154"/>
        <v>720000000</v>
      </c>
      <c r="N1588" s="168"/>
      <c r="O1588" s="167">
        <v>505704737</v>
      </c>
      <c r="P1588" s="167">
        <f t="shared" si="155"/>
        <v>505704737</v>
      </c>
      <c r="Q1588" s="167"/>
      <c r="S1588" s="201">
        <f t="shared" si="156"/>
        <v>720</v>
      </c>
      <c r="T1588" s="201">
        <f t="shared" si="157"/>
        <v>720</v>
      </c>
      <c r="U1588" s="201">
        <f t="shared" si="157"/>
        <v>0</v>
      </c>
      <c r="V1588" s="201">
        <f t="shared" si="157"/>
        <v>505.70473700000002</v>
      </c>
      <c r="W1588" s="201">
        <f t="shared" si="157"/>
        <v>505.70473700000002</v>
      </c>
      <c r="X1588" s="201">
        <f t="shared" si="157"/>
        <v>0</v>
      </c>
    </row>
    <row r="1589" spans="1:24" s="169" customFormat="1" ht="39.6">
      <c r="A1589" s="192" t="s">
        <v>1382</v>
      </c>
      <c r="B1589" s="165" t="s">
        <v>1383</v>
      </c>
      <c r="C1589" s="183" t="str">
        <f t="shared" si="152"/>
        <v>1125130</v>
      </c>
      <c r="D1589" s="182" t="str">
        <f t="shared" si="153"/>
        <v>-Trung tâm Cứu hộ, bảo tồn và phát triển sinh vật vườn quốc gia Chư Mom Ray</v>
      </c>
      <c r="E1589" s="206"/>
      <c r="F1589" s="207"/>
      <c r="G1589" s="207"/>
      <c r="H1589" s="205"/>
      <c r="I1589" s="167">
        <v>812250000</v>
      </c>
      <c r="J1589" s="167">
        <v>167250000</v>
      </c>
      <c r="K1589" s="167">
        <v>635000000</v>
      </c>
      <c r="L1589" s="168">
        <v>10000000</v>
      </c>
      <c r="M1589" s="168">
        <f t="shared" si="154"/>
        <v>812250000</v>
      </c>
      <c r="N1589" s="168"/>
      <c r="O1589" s="167">
        <v>812249942</v>
      </c>
      <c r="P1589" s="167">
        <f t="shared" si="155"/>
        <v>812249942</v>
      </c>
      <c r="Q1589" s="167"/>
      <c r="S1589" s="201">
        <f t="shared" si="156"/>
        <v>812.25</v>
      </c>
      <c r="T1589" s="201">
        <f t="shared" si="157"/>
        <v>812.25</v>
      </c>
      <c r="U1589" s="201">
        <f t="shared" si="157"/>
        <v>0</v>
      </c>
      <c r="V1589" s="201">
        <f t="shared" si="157"/>
        <v>812.24994200000003</v>
      </c>
      <c r="W1589" s="201">
        <f t="shared" si="157"/>
        <v>812.24994200000003</v>
      </c>
      <c r="X1589" s="201">
        <f t="shared" si="157"/>
        <v>0</v>
      </c>
    </row>
    <row r="1590" spans="1:24" s="169" customFormat="1" ht="13.8">
      <c r="A1590" s="192" t="s">
        <v>1384</v>
      </c>
      <c r="B1590" s="170" t="s">
        <v>689</v>
      </c>
      <c r="C1590" s="183" t="str">
        <f t="shared" si="152"/>
        <v/>
      </c>
      <c r="D1590" s="182" t="str">
        <f t="shared" si="153"/>
        <v/>
      </c>
      <c r="E1590" s="206"/>
      <c r="F1590" s="207"/>
      <c r="G1590" s="207"/>
      <c r="H1590" s="205"/>
      <c r="I1590" s="167">
        <v>645000000</v>
      </c>
      <c r="J1590" s="166"/>
      <c r="K1590" s="167">
        <v>635000000</v>
      </c>
      <c r="L1590" s="168">
        <v>10000000</v>
      </c>
      <c r="M1590" s="168">
        <f t="shared" si="154"/>
        <v>645000000</v>
      </c>
      <c r="N1590" s="168"/>
      <c r="O1590" s="167">
        <v>644999942</v>
      </c>
      <c r="P1590" s="167">
        <f t="shared" si="155"/>
        <v>644999942</v>
      </c>
      <c r="Q1590" s="167"/>
      <c r="S1590" s="201">
        <f t="shared" si="156"/>
        <v>645</v>
      </c>
      <c r="T1590" s="201">
        <f t="shared" si="157"/>
        <v>645</v>
      </c>
      <c r="U1590" s="201">
        <f t="shared" si="157"/>
        <v>0</v>
      </c>
      <c r="V1590" s="201">
        <f t="shared" si="157"/>
        <v>644.99994200000003</v>
      </c>
      <c r="W1590" s="201">
        <f t="shared" si="157"/>
        <v>644.99994200000003</v>
      </c>
      <c r="X1590" s="201">
        <f t="shared" si="157"/>
        <v>0</v>
      </c>
    </row>
    <row r="1591" spans="1:24" s="169" customFormat="1" ht="13.8">
      <c r="A1591" s="192"/>
      <c r="B1591" s="170" t="s">
        <v>686</v>
      </c>
      <c r="C1591" s="183" t="str">
        <f t="shared" si="152"/>
        <v/>
      </c>
      <c r="D1591" s="182" t="str">
        <f t="shared" si="153"/>
        <v/>
      </c>
      <c r="E1591" s="206"/>
      <c r="F1591" s="207"/>
      <c r="G1591" s="207"/>
      <c r="H1591" s="205"/>
      <c r="I1591" s="167">
        <v>645000000</v>
      </c>
      <c r="J1591" s="166"/>
      <c r="K1591" s="167">
        <v>635000000</v>
      </c>
      <c r="L1591" s="168">
        <v>10000000</v>
      </c>
      <c r="M1591" s="168">
        <f t="shared" si="154"/>
        <v>645000000</v>
      </c>
      <c r="N1591" s="168"/>
      <c r="O1591" s="167">
        <v>644999942</v>
      </c>
      <c r="P1591" s="167">
        <f t="shared" si="155"/>
        <v>644999942</v>
      </c>
      <c r="Q1591" s="167"/>
      <c r="S1591" s="201">
        <f t="shared" si="156"/>
        <v>645</v>
      </c>
      <c r="T1591" s="201">
        <f t="shared" si="157"/>
        <v>645</v>
      </c>
      <c r="U1591" s="201">
        <f t="shared" si="157"/>
        <v>0</v>
      </c>
      <c r="V1591" s="201">
        <f t="shared" si="157"/>
        <v>644.99994200000003</v>
      </c>
      <c r="W1591" s="201">
        <f t="shared" si="157"/>
        <v>644.99994200000003</v>
      </c>
      <c r="X1591" s="201">
        <f t="shared" si="157"/>
        <v>0</v>
      </c>
    </row>
    <row r="1592" spans="1:24" s="169" customFormat="1" ht="13.8">
      <c r="A1592" s="193"/>
      <c r="B1592" s="187"/>
      <c r="C1592" s="183" t="str">
        <f t="shared" si="152"/>
        <v/>
      </c>
      <c r="D1592" s="182" t="str">
        <f t="shared" si="153"/>
        <v/>
      </c>
      <c r="E1592" s="192" t="s">
        <v>681</v>
      </c>
      <c r="F1592" s="192" t="s">
        <v>698</v>
      </c>
      <c r="G1592" s="192" t="s">
        <v>699</v>
      </c>
      <c r="H1592" s="210" t="s">
        <v>1440</v>
      </c>
      <c r="I1592" s="167">
        <v>635000000</v>
      </c>
      <c r="J1592" s="166"/>
      <c r="K1592" s="167">
        <v>635000000</v>
      </c>
      <c r="L1592" s="171"/>
      <c r="M1592" s="168">
        <f t="shared" si="154"/>
        <v>635000000</v>
      </c>
      <c r="N1592" s="171"/>
      <c r="O1592" s="167">
        <v>634999942</v>
      </c>
      <c r="P1592" s="167">
        <f t="shared" si="155"/>
        <v>634999942</v>
      </c>
      <c r="Q1592" s="167"/>
      <c r="S1592" s="201">
        <f t="shared" si="156"/>
        <v>635</v>
      </c>
      <c r="T1592" s="201">
        <f t="shared" si="157"/>
        <v>635</v>
      </c>
      <c r="U1592" s="201">
        <f t="shared" si="157"/>
        <v>0</v>
      </c>
      <c r="V1592" s="201">
        <f t="shared" si="157"/>
        <v>634.99994200000003</v>
      </c>
      <c r="W1592" s="201">
        <f t="shared" si="157"/>
        <v>634.99994200000003</v>
      </c>
      <c r="X1592" s="201">
        <f t="shared" si="157"/>
        <v>0</v>
      </c>
    </row>
    <row r="1593" spans="1:24" s="169" customFormat="1" ht="13.8">
      <c r="A1593" s="195"/>
      <c r="B1593" s="188"/>
      <c r="C1593" s="183" t="str">
        <f t="shared" si="152"/>
        <v/>
      </c>
      <c r="D1593" s="182" t="str">
        <f t="shared" si="153"/>
        <v/>
      </c>
      <c r="E1593" s="192" t="s">
        <v>679</v>
      </c>
      <c r="F1593" s="192" t="s">
        <v>698</v>
      </c>
      <c r="G1593" s="192" t="s">
        <v>699</v>
      </c>
      <c r="H1593" s="210" t="s">
        <v>1440</v>
      </c>
      <c r="I1593" s="167">
        <v>10000000</v>
      </c>
      <c r="J1593" s="166"/>
      <c r="K1593" s="166"/>
      <c r="L1593" s="168">
        <v>10000000</v>
      </c>
      <c r="M1593" s="168">
        <f t="shared" si="154"/>
        <v>10000000</v>
      </c>
      <c r="N1593" s="168"/>
      <c r="O1593" s="167">
        <v>10000000</v>
      </c>
      <c r="P1593" s="167">
        <f t="shared" si="155"/>
        <v>10000000</v>
      </c>
      <c r="Q1593" s="167"/>
      <c r="S1593" s="201">
        <f t="shared" si="156"/>
        <v>10</v>
      </c>
      <c r="T1593" s="201">
        <f t="shared" si="157"/>
        <v>10</v>
      </c>
      <c r="U1593" s="201">
        <f t="shared" si="157"/>
        <v>0</v>
      </c>
      <c r="V1593" s="201">
        <f t="shared" si="157"/>
        <v>10</v>
      </c>
      <c r="W1593" s="201">
        <f t="shared" si="157"/>
        <v>10</v>
      </c>
      <c r="X1593" s="201">
        <f t="shared" si="157"/>
        <v>0</v>
      </c>
    </row>
    <row r="1594" spans="1:24" s="169" customFormat="1" ht="13.8">
      <c r="A1594" s="192" t="s">
        <v>1385</v>
      </c>
      <c r="B1594" s="170" t="s">
        <v>701</v>
      </c>
      <c r="C1594" s="183" t="str">
        <f t="shared" si="152"/>
        <v/>
      </c>
      <c r="D1594" s="182" t="str">
        <f t="shared" si="153"/>
        <v/>
      </c>
      <c r="E1594" s="206"/>
      <c r="F1594" s="207"/>
      <c r="G1594" s="207"/>
      <c r="H1594" s="205"/>
      <c r="I1594" s="167">
        <v>167250000</v>
      </c>
      <c r="J1594" s="167">
        <v>167250000</v>
      </c>
      <c r="K1594" s="166"/>
      <c r="L1594" s="171"/>
      <c r="M1594" s="168">
        <f t="shared" si="154"/>
        <v>167250000</v>
      </c>
      <c r="N1594" s="171"/>
      <c r="O1594" s="167">
        <v>167250000</v>
      </c>
      <c r="P1594" s="167">
        <f t="shared" si="155"/>
        <v>167250000</v>
      </c>
      <c r="Q1594" s="167"/>
      <c r="S1594" s="201">
        <f t="shared" si="156"/>
        <v>167.25</v>
      </c>
      <c r="T1594" s="201">
        <f t="shared" si="157"/>
        <v>167.25</v>
      </c>
      <c r="U1594" s="201">
        <f t="shared" si="157"/>
        <v>0</v>
      </c>
      <c r="V1594" s="201">
        <f t="shared" si="157"/>
        <v>167.25</v>
      </c>
      <c r="W1594" s="201">
        <f t="shared" si="157"/>
        <v>167.25</v>
      </c>
      <c r="X1594" s="201">
        <f t="shared" si="157"/>
        <v>0</v>
      </c>
    </row>
    <row r="1595" spans="1:24" s="169" customFormat="1" ht="13.8">
      <c r="A1595" s="192"/>
      <c r="B1595" s="164"/>
      <c r="C1595" s="183" t="str">
        <f t="shared" si="152"/>
        <v/>
      </c>
      <c r="D1595" s="182" t="str">
        <f t="shared" si="153"/>
        <v/>
      </c>
      <c r="E1595" s="192" t="s">
        <v>681</v>
      </c>
      <c r="F1595" s="192" t="s">
        <v>698</v>
      </c>
      <c r="G1595" s="192" t="s">
        <v>699</v>
      </c>
      <c r="H1595" s="210" t="s">
        <v>1446</v>
      </c>
      <c r="I1595" s="167">
        <v>167250000</v>
      </c>
      <c r="J1595" s="167">
        <v>167250000</v>
      </c>
      <c r="K1595" s="166"/>
      <c r="L1595" s="171"/>
      <c r="M1595" s="168">
        <f t="shared" si="154"/>
        <v>167250000</v>
      </c>
      <c r="N1595" s="171"/>
      <c r="O1595" s="167">
        <v>167250000</v>
      </c>
      <c r="P1595" s="167">
        <f t="shared" si="155"/>
        <v>167250000</v>
      </c>
      <c r="Q1595" s="167"/>
      <c r="S1595" s="201">
        <f t="shared" si="156"/>
        <v>167.25</v>
      </c>
      <c r="T1595" s="201">
        <f t="shared" si="157"/>
        <v>167.25</v>
      </c>
      <c r="U1595" s="201">
        <f t="shared" si="157"/>
        <v>0</v>
      </c>
      <c r="V1595" s="201">
        <f t="shared" si="157"/>
        <v>167.25</v>
      </c>
      <c r="W1595" s="201">
        <f t="shared" si="157"/>
        <v>167.25</v>
      </c>
      <c r="X1595" s="201">
        <f t="shared" si="157"/>
        <v>0</v>
      </c>
    </row>
    <row r="1596" spans="1:24" s="169" customFormat="1" ht="26.4">
      <c r="A1596" s="192" t="s">
        <v>1386</v>
      </c>
      <c r="B1596" s="165" t="s">
        <v>1387</v>
      </c>
      <c r="C1596" s="183" t="str">
        <f t="shared" si="152"/>
        <v>1125215</v>
      </c>
      <c r="D1596" s="182" t="str">
        <f t="shared" si="153"/>
        <v>-Chi cục Bảo vệ Môi trường tỉnh Kon Tum</v>
      </c>
      <c r="E1596" s="206"/>
      <c r="F1596" s="207"/>
      <c r="G1596" s="207"/>
      <c r="H1596" s="205"/>
      <c r="I1596" s="167">
        <v>902000000</v>
      </c>
      <c r="J1596" s="166"/>
      <c r="K1596" s="167">
        <v>767000000</v>
      </c>
      <c r="L1596" s="168">
        <v>135000000</v>
      </c>
      <c r="M1596" s="168">
        <f t="shared" si="154"/>
        <v>902000000</v>
      </c>
      <c r="N1596" s="168"/>
      <c r="O1596" s="167">
        <v>882184940</v>
      </c>
      <c r="P1596" s="167">
        <f t="shared" si="155"/>
        <v>882184940</v>
      </c>
      <c r="Q1596" s="167"/>
      <c r="S1596" s="201">
        <f t="shared" si="156"/>
        <v>902</v>
      </c>
      <c r="T1596" s="201">
        <f t="shared" si="157"/>
        <v>902</v>
      </c>
      <c r="U1596" s="201">
        <f t="shared" si="157"/>
        <v>0</v>
      </c>
      <c r="V1596" s="201">
        <f t="shared" si="157"/>
        <v>882.18493999999998</v>
      </c>
      <c r="W1596" s="201">
        <f t="shared" si="157"/>
        <v>882.18493999999998</v>
      </c>
      <c r="X1596" s="201">
        <f t="shared" si="157"/>
        <v>0</v>
      </c>
    </row>
    <row r="1597" spans="1:24" s="169" customFormat="1" ht="13.8">
      <c r="A1597" s="192" t="s">
        <v>1388</v>
      </c>
      <c r="B1597" s="170" t="s">
        <v>689</v>
      </c>
      <c r="C1597" s="183" t="str">
        <f t="shared" si="152"/>
        <v/>
      </c>
      <c r="D1597" s="182" t="str">
        <f t="shared" si="153"/>
        <v/>
      </c>
      <c r="E1597" s="206"/>
      <c r="F1597" s="207"/>
      <c r="G1597" s="207"/>
      <c r="H1597" s="205"/>
      <c r="I1597" s="167">
        <v>902000000</v>
      </c>
      <c r="J1597" s="166"/>
      <c r="K1597" s="167">
        <v>767000000</v>
      </c>
      <c r="L1597" s="168">
        <v>135000000</v>
      </c>
      <c r="M1597" s="168">
        <f t="shared" si="154"/>
        <v>902000000</v>
      </c>
      <c r="N1597" s="168"/>
      <c r="O1597" s="167">
        <v>882184940</v>
      </c>
      <c r="P1597" s="167">
        <f t="shared" si="155"/>
        <v>882184940</v>
      </c>
      <c r="Q1597" s="167"/>
      <c r="S1597" s="201">
        <f t="shared" si="156"/>
        <v>902</v>
      </c>
      <c r="T1597" s="201">
        <f t="shared" si="157"/>
        <v>902</v>
      </c>
      <c r="U1597" s="201">
        <f t="shared" si="157"/>
        <v>0</v>
      </c>
      <c r="V1597" s="201">
        <f t="shared" si="157"/>
        <v>882.18493999999998</v>
      </c>
      <c r="W1597" s="201">
        <f t="shared" si="157"/>
        <v>882.18493999999998</v>
      </c>
      <c r="X1597" s="201">
        <f t="shared" si="157"/>
        <v>0</v>
      </c>
    </row>
    <row r="1598" spans="1:24" s="169" customFormat="1" ht="13.8">
      <c r="A1598" s="192"/>
      <c r="B1598" s="170" t="s">
        <v>690</v>
      </c>
      <c r="C1598" s="183" t="str">
        <f t="shared" si="152"/>
        <v/>
      </c>
      <c r="D1598" s="182" t="str">
        <f t="shared" si="153"/>
        <v/>
      </c>
      <c r="E1598" s="206"/>
      <c r="F1598" s="207"/>
      <c r="G1598" s="207"/>
      <c r="H1598" s="205"/>
      <c r="I1598" s="167">
        <v>416000000</v>
      </c>
      <c r="J1598" s="166"/>
      <c r="K1598" s="167">
        <v>402000000</v>
      </c>
      <c r="L1598" s="168">
        <v>14000000</v>
      </c>
      <c r="M1598" s="168">
        <f t="shared" si="154"/>
        <v>416000000</v>
      </c>
      <c r="N1598" s="168"/>
      <c r="O1598" s="167">
        <v>416000000</v>
      </c>
      <c r="P1598" s="167">
        <f t="shared" si="155"/>
        <v>416000000</v>
      </c>
      <c r="Q1598" s="167"/>
      <c r="S1598" s="201">
        <f t="shared" si="156"/>
        <v>416</v>
      </c>
      <c r="T1598" s="201">
        <f t="shared" si="157"/>
        <v>416</v>
      </c>
      <c r="U1598" s="201">
        <f t="shared" si="157"/>
        <v>0</v>
      </c>
      <c r="V1598" s="201">
        <f t="shared" si="157"/>
        <v>416</v>
      </c>
      <c r="W1598" s="201">
        <f t="shared" si="157"/>
        <v>416</v>
      </c>
      <c r="X1598" s="201">
        <f t="shared" si="157"/>
        <v>0</v>
      </c>
    </row>
    <row r="1599" spans="1:24" s="169" customFormat="1" ht="13.8">
      <c r="A1599" s="193"/>
      <c r="B1599" s="187"/>
      <c r="C1599" s="183" t="str">
        <f t="shared" si="152"/>
        <v/>
      </c>
      <c r="D1599" s="182" t="str">
        <f t="shared" si="153"/>
        <v/>
      </c>
      <c r="E1599" s="192" t="s">
        <v>666</v>
      </c>
      <c r="F1599" s="192" t="s">
        <v>972</v>
      </c>
      <c r="G1599" s="192" t="s">
        <v>791</v>
      </c>
      <c r="H1599" s="210" t="s">
        <v>1440</v>
      </c>
      <c r="I1599" s="167">
        <v>402000000</v>
      </c>
      <c r="J1599" s="166"/>
      <c r="K1599" s="167">
        <v>402000000</v>
      </c>
      <c r="L1599" s="171"/>
      <c r="M1599" s="168">
        <f t="shared" si="154"/>
        <v>402000000</v>
      </c>
      <c r="N1599" s="171"/>
      <c r="O1599" s="167">
        <v>402000000</v>
      </c>
      <c r="P1599" s="167">
        <f t="shared" si="155"/>
        <v>402000000</v>
      </c>
      <c r="Q1599" s="167"/>
      <c r="S1599" s="201">
        <f t="shared" si="156"/>
        <v>402</v>
      </c>
      <c r="T1599" s="201">
        <f t="shared" si="157"/>
        <v>402</v>
      </c>
      <c r="U1599" s="201">
        <f t="shared" si="157"/>
        <v>0</v>
      </c>
      <c r="V1599" s="201">
        <f t="shared" si="157"/>
        <v>402</v>
      </c>
      <c r="W1599" s="201">
        <f t="shared" si="157"/>
        <v>402</v>
      </c>
      <c r="X1599" s="201">
        <f t="shared" si="157"/>
        <v>0</v>
      </c>
    </row>
    <row r="1600" spans="1:24" s="169" customFormat="1" ht="13.8">
      <c r="A1600" s="195"/>
      <c r="B1600" s="188"/>
      <c r="C1600" s="183" t="str">
        <f t="shared" si="152"/>
        <v/>
      </c>
      <c r="D1600" s="182" t="str">
        <f t="shared" si="153"/>
        <v/>
      </c>
      <c r="E1600" s="192" t="s">
        <v>679</v>
      </c>
      <c r="F1600" s="192" t="s">
        <v>972</v>
      </c>
      <c r="G1600" s="192" t="s">
        <v>791</v>
      </c>
      <c r="H1600" s="210" t="s">
        <v>1440</v>
      </c>
      <c r="I1600" s="167">
        <v>14000000</v>
      </c>
      <c r="J1600" s="166"/>
      <c r="K1600" s="166"/>
      <c r="L1600" s="168">
        <v>14000000</v>
      </c>
      <c r="M1600" s="168">
        <f t="shared" si="154"/>
        <v>14000000</v>
      </c>
      <c r="N1600" s="168"/>
      <c r="O1600" s="167">
        <v>14000000</v>
      </c>
      <c r="P1600" s="167">
        <f t="shared" si="155"/>
        <v>14000000</v>
      </c>
      <c r="Q1600" s="167"/>
      <c r="S1600" s="201">
        <f t="shared" si="156"/>
        <v>14</v>
      </c>
      <c r="T1600" s="201">
        <f t="shared" si="157"/>
        <v>14</v>
      </c>
      <c r="U1600" s="201">
        <f t="shared" si="157"/>
        <v>0</v>
      </c>
      <c r="V1600" s="201">
        <f t="shared" si="157"/>
        <v>14</v>
      </c>
      <c r="W1600" s="201">
        <f t="shared" si="157"/>
        <v>14</v>
      </c>
      <c r="X1600" s="201">
        <f t="shared" si="157"/>
        <v>0</v>
      </c>
    </row>
    <row r="1601" spans="1:24" s="169" customFormat="1" ht="13.8">
      <c r="A1601" s="192"/>
      <c r="B1601" s="170" t="s">
        <v>686</v>
      </c>
      <c r="C1601" s="183" t="str">
        <f t="shared" si="152"/>
        <v/>
      </c>
      <c r="D1601" s="182" t="str">
        <f t="shared" si="153"/>
        <v/>
      </c>
      <c r="E1601" s="206"/>
      <c r="F1601" s="207"/>
      <c r="G1601" s="207"/>
      <c r="H1601" s="205"/>
      <c r="I1601" s="167">
        <v>486000000</v>
      </c>
      <c r="J1601" s="166"/>
      <c r="K1601" s="167">
        <v>365000000</v>
      </c>
      <c r="L1601" s="168">
        <v>121000000</v>
      </c>
      <c r="M1601" s="168">
        <f t="shared" si="154"/>
        <v>486000000</v>
      </c>
      <c r="N1601" s="168"/>
      <c r="O1601" s="167">
        <v>466184940</v>
      </c>
      <c r="P1601" s="167">
        <f t="shared" si="155"/>
        <v>466184940</v>
      </c>
      <c r="Q1601" s="167"/>
      <c r="S1601" s="201">
        <f t="shared" si="156"/>
        <v>486</v>
      </c>
      <c r="T1601" s="201">
        <f t="shared" si="157"/>
        <v>486</v>
      </c>
      <c r="U1601" s="201">
        <f t="shared" si="157"/>
        <v>0</v>
      </c>
      <c r="V1601" s="201">
        <f t="shared" si="157"/>
        <v>466.18493999999998</v>
      </c>
      <c r="W1601" s="201">
        <f t="shared" si="157"/>
        <v>466.18493999999998</v>
      </c>
      <c r="X1601" s="201">
        <f t="shared" si="157"/>
        <v>0</v>
      </c>
    </row>
    <row r="1602" spans="1:24" s="169" customFormat="1" ht="13.8">
      <c r="A1602" s="193"/>
      <c r="B1602" s="187"/>
      <c r="C1602" s="183" t="str">
        <f t="shared" si="152"/>
        <v/>
      </c>
      <c r="D1602" s="182" t="str">
        <f t="shared" si="153"/>
        <v/>
      </c>
      <c r="E1602" s="192" t="s">
        <v>681</v>
      </c>
      <c r="F1602" s="192" t="s">
        <v>972</v>
      </c>
      <c r="G1602" s="192" t="s">
        <v>1083</v>
      </c>
      <c r="H1602" s="210" t="s">
        <v>1440</v>
      </c>
      <c r="I1602" s="167">
        <v>365000000</v>
      </c>
      <c r="J1602" s="166"/>
      <c r="K1602" s="167">
        <v>365000000</v>
      </c>
      <c r="L1602" s="171"/>
      <c r="M1602" s="168">
        <f t="shared" si="154"/>
        <v>365000000</v>
      </c>
      <c r="N1602" s="171"/>
      <c r="O1602" s="167">
        <v>345184940</v>
      </c>
      <c r="P1602" s="167">
        <f t="shared" si="155"/>
        <v>345184940</v>
      </c>
      <c r="Q1602" s="167"/>
      <c r="S1602" s="201">
        <f t="shared" si="156"/>
        <v>365</v>
      </c>
      <c r="T1602" s="201">
        <f t="shared" si="157"/>
        <v>365</v>
      </c>
      <c r="U1602" s="201">
        <f t="shared" si="157"/>
        <v>0</v>
      </c>
      <c r="V1602" s="201">
        <f t="shared" si="157"/>
        <v>345.18493999999998</v>
      </c>
      <c r="W1602" s="201">
        <f t="shared" si="157"/>
        <v>345.18493999999998</v>
      </c>
      <c r="X1602" s="201">
        <f t="shared" si="157"/>
        <v>0</v>
      </c>
    </row>
    <row r="1603" spans="1:24" s="169" customFormat="1" ht="13.8">
      <c r="A1603" s="195"/>
      <c r="B1603" s="188"/>
      <c r="C1603" s="183" t="str">
        <f t="shared" si="152"/>
        <v/>
      </c>
      <c r="D1603" s="182" t="str">
        <f t="shared" si="153"/>
        <v/>
      </c>
      <c r="E1603" s="192" t="s">
        <v>681</v>
      </c>
      <c r="F1603" s="192" t="s">
        <v>972</v>
      </c>
      <c r="G1603" s="192" t="s">
        <v>791</v>
      </c>
      <c r="H1603" s="210" t="s">
        <v>1440</v>
      </c>
      <c r="I1603" s="167">
        <v>121000000</v>
      </c>
      <c r="J1603" s="166"/>
      <c r="K1603" s="166"/>
      <c r="L1603" s="168">
        <v>121000000</v>
      </c>
      <c r="M1603" s="168">
        <f t="shared" si="154"/>
        <v>121000000</v>
      </c>
      <c r="N1603" s="168"/>
      <c r="O1603" s="167">
        <v>121000000</v>
      </c>
      <c r="P1603" s="167">
        <f t="shared" si="155"/>
        <v>121000000</v>
      </c>
      <c r="Q1603" s="167"/>
      <c r="S1603" s="201">
        <f t="shared" si="156"/>
        <v>121</v>
      </c>
      <c r="T1603" s="201">
        <f t="shared" si="157"/>
        <v>121</v>
      </c>
      <c r="U1603" s="201">
        <f t="shared" si="157"/>
        <v>0</v>
      </c>
      <c r="V1603" s="201">
        <f t="shared" si="157"/>
        <v>121</v>
      </c>
      <c r="W1603" s="201">
        <f t="shared" si="157"/>
        <v>121</v>
      </c>
      <c r="X1603" s="201">
        <f t="shared" si="157"/>
        <v>0</v>
      </c>
    </row>
    <row r="1604" spans="1:24" s="169" customFormat="1" ht="26.4">
      <c r="A1604" s="192" t="s">
        <v>1389</v>
      </c>
      <c r="B1604" s="165" t="s">
        <v>1390</v>
      </c>
      <c r="C1604" s="183" t="str">
        <f t="shared" si="152"/>
        <v>1125216</v>
      </c>
      <c r="D1604" s="182" t="str">
        <f t="shared" si="153"/>
        <v>-Chi cục Quản lý đãt đai tỉnh Kon Tum</v>
      </c>
      <c r="E1604" s="206"/>
      <c r="F1604" s="207"/>
      <c r="G1604" s="207"/>
      <c r="H1604" s="205"/>
      <c r="I1604" s="167">
        <v>1181700000</v>
      </c>
      <c r="J1604" s="166"/>
      <c r="K1604" s="167">
        <v>1036000000</v>
      </c>
      <c r="L1604" s="168">
        <v>145700000</v>
      </c>
      <c r="M1604" s="168">
        <f t="shared" si="154"/>
        <v>1181700000</v>
      </c>
      <c r="N1604" s="168"/>
      <c r="O1604" s="167">
        <v>1175250000</v>
      </c>
      <c r="P1604" s="167">
        <f t="shared" si="155"/>
        <v>1175250000</v>
      </c>
      <c r="Q1604" s="167"/>
      <c r="S1604" s="201">
        <f t="shared" si="156"/>
        <v>1181.7</v>
      </c>
      <c r="T1604" s="201">
        <f t="shared" si="157"/>
        <v>1181.7</v>
      </c>
      <c r="U1604" s="201">
        <f t="shared" si="157"/>
        <v>0</v>
      </c>
      <c r="V1604" s="201">
        <f t="shared" si="157"/>
        <v>1175.25</v>
      </c>
      <c r="W1604" s="201">
        <f t="shared" si="157"/>
        <v>1175.25</v>
      </c>
      <c r="X1604" s="201">
        <f t="shared" si="157"/>
        <v>0</v>
      </c>
    </row>
    <row r="1605" spans="1:24" s="169" customFormat="1" ht="13.8">
      <c r="A1605" s="192" t="s">
        <v>1391</v>
      </c>
      <c r="B1605" s="170" t="s">
        <v>689</v>
      </c>
      <c r="C1605" s="183" t="str">
        <f t="shared" si="152"/>
        <v/>
      </c>
      <c r="D1605" s="182" t="str">
        <f t="shared" si="153"/>
        <v/>
      </c>
      <c r="E1605" s="206"/>
      <c r="F1605" s="207"/>
      <c r="G1605" s="207"/>
      <c r="H1605" s="205"/>
      <c r="I1605" s="167">
        <v>1181700000</v>
      </c>
      <c r="J1605" s="166"/>
      <c r="K1605" s="167">
        <v>1036000000</v>
      </c>
      <c r="L1605" s="168">
        <v>145700000</v>
      </c>
      <c r="M1605" s="168">
        <f t="shared" si="154"/>
        <v>1181700000</v>
      </c>
      <c r="N1605" s="168"/>
      <c r="O1605" s="167">
        <v>1175250000</v>
      </c>
      <c r="P1605" s="167">
        <f t="shared" si="155"/>
        <v>1175250000</v>
      </c>
      <c r="Q1605" s="167"/>
      <c r="S1605" s="201">
        <f t="shared" si="156"/>
        <v>1181.7</v>
      </c>
      <c r="T1605" s="201">
        <f t="shared" si="157"/>
        <v>1181.7</v>
      </c>
      <c r="U1605" s="201">
        <f t="shared" si="157"/>
        <v>0</v>
      </c>
      <c r="V1605" s="201">
        <f t="shared" si="157"/>
        <v>1175.25</v>
      </c>
      <c r="W1605" s="201">
        <f t="shared" si="157"/>
        <v>1175.25</v>
      </c>
      <c r="X1605" s="201">
        <f t="shared" si="157"/>
        <v>0</v>
      </c>
    </row>
    <row r="1606" spans="1:24" s="169" customFormat="1" ht="13.8">
      <c r="A1606" s="192"/>
      <c r="B1606" s="170" t="s">
        <v>690</v>
      </c>
      <c r="C1606" s="183" t="str">
        <f t="shared" si="152"/>
        <v/>
      </c>
      <c r="D1606" s="182" t="str">
        <f t="shared" si="153"/>
        <v/>
      </c>
      <c r="E1606" s="206"/>
      <c r="F1606" s="207"/>
      <c r="G1606" s="207"/>
      <c r="H1606" s="205"/>
      <c r="I1606" s="167">
        <v>760700000</v>
      </c>
      <c r="J1606" s="166"/>
      <c r="K1606" s="167">
        <v>736000000</v>
      </c>
      <c r="L1606" s="168">
        <v>24700000</v>
      </c>
      <c r="M1606" s="168">
        <f t="shared" si="154"/>
        <v>760700000</v>
      </c>
      <c r="N1606" s="168"/>
      <c r="O1606" s="167">
        <v>760700000</v>
      </c>
      <c r="P1606" s="167">
        <f t="shared" si="155"/>
        <v>760700000</v>
      </c>
      <c r="Q1606" s="167"/>
      <c r="S1606" s="201">
        <f t="shared" si="156"/>
        <v>760.7</v>
      </c>
      <c r="T1606" s="201">
        <f t="shared" si="157"/>
        <v>760.7</v>
      </c>
      <c r="U1606" s="201">
        <f t="shared" si="157"/>
        <v>0</v>
      </c>
      <c r="V1606" s="201">
        <f t="shared" si="157"/>
        <v>760.7</v>
      </c>
      <c r="W1606" s="201">
        <f t="shared" si="157"/>
        <v>760.7</v>
      </c>
      <c r="X1606" s="201">
        <f t="shared" si="157"/>
        <v>0</v>
      </c>
    </row>
    <row r="1607" spans="1:24" s="169" customFormat="1" ht="13.8">
      <c r="A1607" s="193"/>
      <c r="B1607" s="187"/>
      <c r="C1607" s="183" t="str">
        <f t="shared" si="152"/>
        <v/>
      </c>
      <c r="D1607" s="182" t="str">
        <f t="shared" si="153"/>
        <v/>
      </c>
      <c r="E1607" s="192" t="s">
        <v>666</v>
      </c>
      <c r="F1607" s="192" t="s">
        <v>972</v>
      </c>
      <c r="G1607" s="192" t="s">
        <v>791</v>
      </c>
      <c r="H1607" s="210" t="s">
        <v>1440</v>
      </c>
      <c r="I1607" s="167">
        <v>736000000</v>
      </c>
      <c r="J1607" s="166"/>
      <c r="K1607" s="167">
        <v>736000000</v>
      </c>
      <c r="L1607" s="171"/>
      <c r="M1607" s="168">
        <f t="shared" si="154"/>
        <v>736000000</v>
      </c>
      <c r="N1607" s="171"/>
      <c r="O1607" s="167">
        <v>736000000</v>
      </c>
      <c r="P1607" s="167">
        <f t="shared" si="155"/>
        <v>736000000</v>
      </c>
      <c r="Q1607" s="167"/>
      <c r="S1607" s="201">
        <f t="shared" si="156"/>
        <v>736</v>
      </c>
      <c r="T1607" s="201">
        <f t="shared" si="157"/>
        <v>736</v>
      </c>
      <c r="U1607" s="201">
        <f t="shared" si="157"/>
        <v>0</v>
      </c>
      <c r="V1607" s="201">
        <f t="shared" si="157"/>
        <v>736</v>
      </c>
      <c r="W1607" s="201">
        <f t="shared" si="157"/>
        <v>736</v>
      </c>
      <c r="X1607" s="201">
        <f t="shared" si="157"/>
        <v>0</v>
      </c>
    </row>
    <row r="1608" spans="1:24" s="169" customFormat="1" ht="13.8">
      <c r="A1608" s="195"/>
      <c r="B1608" s="188"/>
      <c r="C1608" s="183" t="str">
        <f t="shared" si="152"/>
        <v/>
      </c>
      <c r="D1608" s="182" t="str">
        <f t="shared" si="153"/>
        <v/>
      </c>
      <c r="E1608" s="192" t="s">
        <v>679</v>
      </c>
      <c r="F1608" s="192" t="s">
        <v>972</v>
      </c>
      <c r="G1608" s="192" t="s">
        <v>791</v>
      </c>
      <c r="H1608" s="210" t="s">
        <v>1440</v>
      </c>
      <c r="I1608" s="167">
        <v>24700000</v>
      </c>
      <c r="J1608" s="166"/>
      <c r="K1608" s="166"/>
      <c r="L1608" s="168">
        <v>24700000</v>
      </c>
      <c r="M1608" s="168">
        <f t="shared" si="154"/>
        <v>24700000</v>
      </c>
      <c r="N1608" s="168"/>
      <c r="O1608" s="167">
        <v>24700000</v>
      </c>
      <c r="P1608" s="167">
        <f t="shared" si="155"/>
        <v>24700000</v>
      </c>
      <c r="Q1608" s="167"/>
      <c r="S1608" s="201">
        <f t="shared" si="156"/>
        <v>24.7</v>
      </c>
      <c r="T1608" s="201">
        <f t="shared" si="157"/>
        <v>24.7</v>
      </c>
      <c r="U1608" s="201">
        <f t="shared" si="157"/>
        <v>0</v>
      </c>
      <c r="V1608" s="201">
        <f t="shared" si="157"/>
        <v>24.7</v>
      </c>
      <c r="W1608" s="201">
        <f t="shared" si="157"/>
        <v>24.7</v>
      </c>
      <c r="X1608" s="201">
        <f t="shared" si="157"/>
        <v>0</v>
      </c>
    </row>
    <row r="1609" spans="1:24" s="169" customFormat="1" ht="13.8">
      <c r="A1609" s="192"/>
      <c r="B1609" s="173"/>
      <c r="C1609" s="183" t="str">
        <f t="shared" si="152"/>
        <v/>
      </c>
      <c r="D1609" s="182" t="str">
        <f t="shared" si="153"/>
        <v/>
      </c>
      <c r="E1609" s="192"/>
      <c r="F1609" s="192"/>
      <c r="G1609" s="192"/>
      <c r="H1609" s="210"/>
      <c r="I1609" s="174"/>
      <c r="J1609" s="174"/>
      <c r="K1609" s="174"/>
      <c r="L1609" s="175"/>
      <c r="M1609" s="168">
        <f t="shared" si="154"/>
        <v>0</v>
      </c>
      <c r="N1609" s="175"/>
      <c r="O1609" s="174"/>
      <c r="P1609" s="167">
        <f t="shared" si="155"/>
        <v>0</v>
      </c>
      <c r="Q1609" s="174"/>
      <c r="S1609" s="201">
        <f t="shared" si="156"/>
        <v>0</v>
      </c>
      <c r="T1609" s="201">
        <f t="shared" si="157"/>
        <v>0</v>
      </c>
      <c r="U1609" s="201">
        <f t="shared" si="157"/>
        <v>0</v>
      </c>
      <c r="V1609" s="201">
        <f t="shared" si="157"/>
        <v>0</v>
      </c>
      <c r="W1609" s="201">
        <f t="shared" si="157"/>
        <v>0</v>
      </c>
      <c r="X1609" s="201">
        <f t="shared" si="157"/>
        <v>0</v>
      </c>
    </row>
    <row r="1610" spans="1:24" s="169" customFormat="1" ht="13.8">
      <c r="A1610" s="192"/>
      <c r="B1610" s="164" t="s">
        <v>686</v>
      </c>
      <c r="C1610" s="183" t="str">
        <f t="shared" si="152"/>
        <v/>
      </c>
      <c r="D1610" s="182" t="str">
        <f t="shared" si="153"/>
        <v/>
      </c>
      <c r="E1610" s="206"/>
      <c r="F1610" s="207"/>
      <c r="G1610" s="207"/>
      <c r="H1610" s="205"/>
      <c r="I1610" s="167">
        <v>421000000</v>
      </c>
      <c r="J1610" s="166"/>
      <c r="K1610" s="167">
        <v>300000000</v>
      </c>
      <c r="L1610" s="168">
        <v>121000000</v>
      </c>
      <c r="M1610" s="168">
        <f t="shared" si="154"/>
        <v>421000000</v>
      </c>
      <c r="N1610" s="168"/>
      <c r="O1610" s="167">
        <v>414550000</v>
      </c>
      <c r="P1610" s="167">
        <f t="shared" si="155"/>
        <v>414550000</v>
      </c>
      <c r="Q1610" s="167"/>
      <c r="S1610" s="201">
        <f t="shared" si="156"/>
        <v>421</v>
      </c>
      <c r="T1610" s="201">
        <f t="shared" ref="T1610:X1660" si="158">M1610/1000000</f>
        <v>421</v>
      </c>
      <c r="U1610" s="201">
        <f t="shared" si="158"/>
        <v>0</v>
      </c>
      <c r="V1610" s="201">
        <f t="shared" si="158"/>
        <v>414.55</v>
      </c>
      <c r="W1610" s="201">
        <f t="shared" si="158"/>
        <v>414.55</v>
      </c>
      <c r="X1610" s="201">
        <f t="shared" si="158"/>
        <v>0</v>
      </c>
    </row>
    <row r="1611" spans="1:24" s="169" customFormat="1" ht="13.8">
      <c r="A1611" s="193"/>
      <c r="B1611" s="187"/>
      <c r="C1611" s="183" t="str">
        <f t="shared" si="152"/>
        <v/>
      </c>
      <c r="D1611" s="182" t="str">
        <f t="shared" si="153"/>
        <v/>
      </c>
      <c r="E1611" s="192" t="s">
        <v>681</v>
      </c>
      <c r="F1611" s="192" t="s">
        <v>972</v>
      </c>
      <c r="G1611" s="192" t="s">
        <v>780</v>
      </c>
      <c r="H1611" s="210" t="s">
        <v>1440</v>
      </c>
      <c r="I1611" s="167">
        <v>300000000</v>
      </c>
      <c r="J1611" s="166"/>
      <c r="K1611" s="167">
        <v>300000000</v>
      </c>
      <c r="L1611" s="171"/>
      <c r="M1611" s="168">
        <f t="shared" si="154"/>
        <v>300000000</v>
      </c>
      <c r="N1611" s="171"/>
      <c r="O1611" s="167">
        <v>293550000</v>
      </c>
      <c r="P1611" s="167">
        <f t="shared" si="155"/>
        <v>293550000</v>
      </c>
      <c r="Q1611" s="167"/>
      <c r="S1611" s="201">
        <f t="shared" si="156"/>
        <v>300</v>
      </c>
      <c r="T1611" s="201">
        <f t="shared" si="158"/>
        <v>300</v>
      </c>
      <c r="U1611" s="201">
        <f t="shared" si="158"/>
        <v>0</v>
      </c>
      <c r="V1611" s="201">
        <f t="shared" si="158"/>
        <v>293.55</v>
      </c>
      <c r="W1611" s="201">
        <f t="shared" si="158"/>
        <v>293.55</v>
      </c>
      <c r="X1611" s="201">
        <f t="shared" si="158"/>
        <v>0</v>
      </c>
    </row>
    <row r="1612" spans="1:24" s="169" customFormat="1" ht="13.8">
      <c r="A1612" s="195"/>
      <c r="B1612" s="188"/>
      <c r="C1612" s="183" t="str">
        <f t="shared" si="152"/>
        <v/>
      </c>
      <c r="D1612" s="182" t="str">
        <f t="shared" si="153"/>
        <v/>
      </c>
      <c r="E1612" s="192" t="s">
        <v>681</v>
      </c>
      <c r="F1612" s="192" t="s">
        <v>972</v>
      </c>
      <c r="G1612" s="192" t="s">
        <v>791</v>
      </c>
      <c r="H1612" s="210" t="s">
        <v>1440</v>
      </c>
      <c r="I1612" s="167">
        <v>121000000</v>
      </c>
      <c r="J1612" s="166"/>
      <c r="K1612" s="166"/>
      <c r="L1612" s="168">
        <v>121000000</v>
      </c>
      <c r="M1612" s="168">
        <f t="shared" si="154"/>
        <v>121000000</v>
      </c>
      <c r="N1612" s="168"/>
      <c r="O1612" s="167">
        <v>121000000</v>
      </c>
      <c r="P1612" s="167">
        <f t="shared" si="155"/>
        <v>121000000</v>
      </c>
      <c r="Q1612" s="167"/>
      <c r="S1612" s="201">
        <f t="shared" si="156"/>
        <v>121</v>
      </c>
      <c r="T1612" s="201">
        <f t="shared" si="158"/>
        <v>121</v>
      </c>
      <c r="U1612" s="201">
        <f t="shared" si="158"/>
        <v>0</v>
      </c>
      <c r="V1612" s="201">
        <f t="shared" si="158"/>
        <v>121</v>
      </c>
      <c r="W1612" s="201">
        <f t="shared" si="158"/>
        <v>121</v>
      </c>
      <c r="X1612" s="201">
        <f t="shared" si="158"/>
        <v>0</v>
      </c>
    </row>
    <row r="1613" spans="1:24" s="169" customFormat="1" ht="39.6">
      <c r="A1613" s="192" t="s">
        <v>1392</v>
      </c>
      <c r="B1613" s="176" t="s">
        <v>1393</v>
      </c>
      <c r="C1613" s="183" t="str">
        <f t="shared" si="152"/>
        <v>1125232</v>
      </c>
      <c r="D1613" s="182" t="str">
        <f t="shared" si="153"/>
        <v>-Trung tâm Thông tin và Thống kê khoa học và công nghệ tỉnh Kon Tum</v>
      </c>
      <c r="E1613" s="206"/>
      <c r="F1613" s="207"/>
      <c r="G1613" s="207"/>
      <c r="H1613" s="205"/>
      <c r="I1613" s="167">
        <v>350000000</v>
      </c>
      <c r="J1613" s="166"/>
      <c r="K1613" s="167">
        <v>350000000</v>
      </c>
      <c r="L1613" s="171"/>
      <c r="M1613" s="168">
        <f t="shared" si="154"/>
        <v>350000000</v>
      </c>
      <c r="N1613" s="171"/>
      <c r="O1613" s="167">
        <v>350000000</v>
      </c>
      <c r="P1613" s="167">
        <f t="shared" si="155"/>
        <v>350000000</v>
      </c>
      <c r="Q1613" s="167"/>
      <c r="S1613" s="201">
        <f t="shared" si="156"/>
        <v>350</v>
      </c>
      <c r="T1613" s="201">
        <f t="shared" si="158"/>
        <v>350</v>
      </c>
      <c r="U1613" s="201">
        <f t="shared" si="158"/>
        <v>0</v>
      </c>
      <c r="V1613" s="201">
        <f t="shared" si="158"/>
        <v>350</v>
      </c>
      <c r="W1613" s="201">
        <f t="shared" si="158"/>
        <v>350</v>
      </c>
      <c r="X1613" s="201">
        <f t="shared" si="158"/>
        <v>0</v>
      </c>
    </row>
    <row r="1614" spans="1:24" s="169" customFormat="1" ht="13.8">
      <c r="A1614" s="192" t="s">
        <v>1394</v>
      </c>
      <c r="B1614" s="164" t="s">
        <v>689</v>
      </c>
      <c r="C1614" s="183" t="str">
        <f t="shared" si="152"/>
        <v/>
      </c>
      <c r="D1614" s="182" t="str">
        <f t="shared" si="153"/>
        <v/>
      </c>
      <c r="E1614" s="206"/>
      <c r="F1614" s="207"/>
      <c r="G1614" s="207"/>
      <c r="H1614" s="205"/>
      <c r="I1614" s="167">
        <v>350000000</v>
      </c>
      <c r="J1614" s="166"/>
      <c r="K1614" s="167">
        <v>350000000</v>
      </c>
      <c r="L1614" s="171"/>
      <c r="M1614" s="168">
        <f t="shared" si="154"/>
        <v>350000000</v>
      </c>
      <c r="N1614" s="171"/>
      <c r="O1614" s="167">
        <v>350000000</v>
      </c>
      <c r="P1614" s="167">
        <f t="shared" si="155"/>
        <v>350000000</v>
      </c>
      <c r="Q1614" s="167"/>
      <c r="S1614" s="201">
        <f t="shared" si="156"/>
        <v>350</v>
      </c>
      <c r="T1614" s="201">
        <f t="shared" si="158"/>
        <v>350</v>
      </c>
      <c r="U1614" s="201">
        <f t="shared" si="158"/>
        <v>0</v>
      </c>
      <c r="V1614" s="201">
        <f t="shared" si="158"/>
        <v>350</v>
      </c>
      <c r="W1614" s="201">
        <f t="shared" si="158"/>
        <v>350</v>
      </c>
      <c r="X1614" s="201">
        <f t="shared" si="158"/>
        <v>0</v>
      </c>
    </row>
    <row r="1615" spans="1:24" s="169" customFormat="1" ht="13.8">
      <c r="A1615" s="192"/>
      <c r="B1615" s="164" t="s">
        <v>686</v>
      </c>
      <c r="C1615" s="183" t="str">
        <f t="shared" si="152"/>
        <v/>
      </c>
      <c r="D1615" s="182" t="str">
        <f t="shared" si="153"/>
        <v/>
      </c>
      <c r="E1615" s="206"/>
      <c r="F1615" s="207"/>
      <c r="G1615" s="207"/>
      <c r="H1615" s="205"/>
      <c r="I1615" s="167">
        <v>350000000</v>
      </c>
      <c r="J1615" s="166"/>
      <c r="K1615" s="167">
        <v>350000000</v>
      </c>
      <c r="L1615" s="171"/>
      <c r="M1615" s="168">
        <f t="shared" si="154"/>
        <v>350000000</v>
      </c>
      <c r="N1615" s="171"/>
      <c r="O1615" s="167">
        <v>350000000</v>
      </c>
      <c r="P1615" s="167">
        <f t="shared" si="155"/>
        <v>350000000</v>
      </c>
      <c r="Q1615" s="167"/>
      <c r="S1615" s="201">
        <f t="shared" si="156"/>
        <v>350</v>
      </c>
      <c r="T1615" s="201">
        <f t="shared" si="158"/>
        <v>350</v>
      </c>
      <c r="U1615" s="201">
        <f t="shared" si="158"/>
        <v>0</v>
      </c>
      <c r="V1615" s="201">
        <f t="shared" si="158"/>
        <v>350</v>
      </c>
      <c r="W1615" s="201">
        <f t="shared" si="158"/>
        <v>350</v>
      </c>
      <c r="X1615" s="201">
        <f t="shared" si="158"/>
        <v>0</v>
      </c>
    </row>
    <row r="1616" spans="1:24" s="169" customFormat="1" ht="13.8">
      <c r="A1616" s="192"/>
      <c r="B1616" s="164"/>
      <c r="C1616" s="183" t="str">
        <f t="shared" si="152"/>
        <v/>
      </c>
      <c r="D1616" s="182" t="str">
        <f t="shared" si="153"/>
        <v/>
      </c>
      <c r="E1616" s="192" t="s">
        <v>681</v>
      </c>
      <c r="F1616" s="192" t="s">
        <v>1122</v>
      </c>
      <c r="G1616" s="192" t="s">
        <v>785</v>
      </c>
      <c r="H1616" s="210" t="s">
        <v>1440</v>
      </c>
      <c r="I1616" s="167">
        <v>350000000</v>
      </c>
      <c r="J1616" s="166"/>
      <c r="K1616" s="167">
        <v>350000000</v>
      </c>
      <c r="L1616" s="171"/>
      <c r="M1616" s="168">
        <f t="shared" si="154"/>
        <v>350000000</v>
      </c>
      <c r="N1616" s="171"/>
      <c r="O1616" s="167">
        <v>350000000</v>
      </c>
      <c r="P1616" s="167">
        <f t="shared" si="155"/>
        <v>350000000</v>
      </c>
      <c r="Q1616" s="167"/>
      <c r="S1616" s="201">
        <f t="shared" si="156"/>
        <v>350</v>
      </c>
      <c r="T1616" s="201">
        <f t="shared" si="158"/>
        <v>350</v>
      </c>
      <c r="U1616" s="201">
        <f t="shared" si="158"/>
        <v>0</v>
      </c>
      <c r="V1616" s="201">
        <f t="shared" si="158"/>
        <v>350</v>
      </c>
      <c r="W1616" s="201">
        <f t="shared" si="158"/>
        <v>350</v>
      </c>
      <c r="X1616" s="201">
        <f t="shared" si="158"/>
        <v>0</v>
      </c>
    </row>
    <row r="1617" spans="1:24" s="169" customFormat="1" ht="26.4">
      <c r="A1617" s="192" t="s">
        <v>1395</v>
      </c>
      <c r="B1617" s="176" t="s">
        <v>1396</v>
      </c>
      <c r="C1617" s="183" t="str">
        <f t="shared" si="152"/>
        <v>1125306</v>
      </c>
      <c r="D1617" s="182" t="str">
        <f t="shared" si="153"/>
        <v>-Chi cục Giâm định xây dựng tỉnh Kon Tum</v>
      </c>
      <c r="E1617" s="206"/>
      <c r="F1617" s="207"/>
      <c r="G1617" s="207"/>
      <c r="H1617" s="205"/>
      <c r="I1617" s="167">
        <v>841800000</v>
      </c>
      <c r="J1617" s="166"/>
      <c r="K1617" s="167">
        <v>675000000</v>
      </c>
      <c r="L1617" s="168">
        <v>166800000</v>
      </c>
      <c r="M1617" s="168">
        <f t="shared" si="154"/>
        <v>841800000</v>
      </c>
      <c r="N1617" s="168"/>
      <c r="O1617" s="167">
        <v>812504000</v>
      </c>
      <c r="P1617" s="167">
        <f t="shared" si="155"/>
        <v>812504000</v>
      </c>
      <c r="Q1617" s="167"/>
      <c r="S1617" s="201">
        <f t="shared" si="156"/>
        <v>841.8</v>
      </c>
      <c r="T1617" s="201">
        <f t="shared" si="158"/>
        <v>841.8</v>
      </c>
      <c r="U1617" s="201">
        <f t="shared" si="158"/>
        <v>0</v>
      </c>
      <c r="V1617" s="201">
        <f t="shared" si="158"/>
        <v>812.50400000000002</v>
      </c>
      <c r="W1617" s="201">
        <f t="shared" si="158"/>
        <v>812.50400000000002</v>
      </c>
      <c r="X1617" s="201">
        <f t="shared" si="158"/>
        <v>0</v>
      </c>
    </row>
    <row r="1618" spans="1:24" s="169" customFormat="1" ht="13.8">
      <c r="A1618" s="192" t="s">
        <v>1397</v>
      </c>
      <c r="B1618" s="164" t="s">
        <v>689</v>
      </c>
      <c r="C1618" s="183" t="str">
        <f t="shared" si="152"/>
        <v/>
      </c>
      <c r="D1618" s="182" t="str">
        <f t="shared" si="153"/>
        <v/>
      </c>
      <c r="E1618" s="206"/>
      <c r="F1618" s="207"/>
      <c r="G1618" s="207"/>
      <c r="H1618" s="205"/>
      <c r="I1618" s="167">
        <v>841800000</v>
      </c>
      <c r="J1618" s="166"/>
      <c r="K1618" s="167">
        <v>675000000</v>
      </c>
      <c r="L1618" s="168">
        <v>166800000</v>
      </c>
      <c r="M1618" s="168">
        <f t="shared" si="154"/>
        <v>841800000</v>
      </c>
      <c r="N1618" s="168"/>
      <c r="O1618" s="167">
        <v>812504000</v>
      </c>
      <c r="P1618" s="167">
        <f t="shared" si="155"/>
        <v>812504000</v>
      </c>
      <c r="Q1618" s="167"/>
      <c r="S1618" s="201">
        <f t="shared" si="156"/>
        <v>841.8</v>
      </c>
      <c r="T1618" s="201">
        <f t="shared" si="158"/>
        <v>841.8</v>
      </c>
      <c r="U1618" s="201">
        <f t="shared" si="158"/>
        <v>0</v>
      </c>
      <c r="V1618" s="201">
        <f t="shared" si="158"/>
        <v>812.50400000000002</v>
      </c>
      <c r="W1618" s="201">
        <f t="shared" si="158"/>
        <v>812.50400000000002</v>
      </c>
      <c r="X1618" s="201">
        <f t="shared" si="158"/>
        <v>0</v>
      </c>
    </row>
    <row r="1619" spans="1:24" s="169" customFormat="1" ht="13.8">
      <c r="A1619" s="192"/>
      <c r="B1619" s="164" t="s">
        <v>690</v>
      </c>
      <c r="C1619" s="183" t="str">
        <f t="shared" si="152"/>
        <v/>
      </c>
      <c r="D1619" s="182" t="str">
        <f t="shared" si="153"/>
        <v/>
      </c>
      <c r="E1619" s="206"/>
      <c r="F1619" s="207"/>
      <c r="G1619" s="207"/>
      <c r="H1619" s="205"/>
      <c r="I1619" s="167">
        <v>411800000</v>
      </c>
      <c r="J1619" s="166"/>
      <c r="K1619" s="167">
        <v>395000000</v>
      </c>
      <c r="L1619" s="168">
        <v>16800000</v>
      </c>
      <c r="M1619" s="168">
        <f t="shared" si="154"/>
        <v>411800000</v>
      </c>
      <c r="N1619" s="168"/>
      <c r="O1619" s="167">
        <v>411800000</v>
      </c>
      <c r="P1619" s="167">
        <f t="shared" si="155"/>
        <v>411800000</v>
      </c>
      <c r="Q1619" s="167"/>
      <c r="S1619" s="201">
        <f t="shared" si="156"/>
        <v>411.8</v>
      </c>
      <c r="T1619" s="201">
        <f t="shared" si="158"/>
        <v>411.8</v>
      </c>
      <c r="U1619" s="201">
        <f t="shared" si="158"/>
        <v>0</v>
      </c>
      <c r="V1619" s="201">
        <f t="shared" si="158"/>
        <v>411.8</v>
      </c>
      <c r="W1619" s="201">
        <f t="shared" si="158"/>
        <v>411.8</v>
      </c>
      <c r="X1619" s="201">
        <f t="shared" si="158"/>
        <v>0</v>
      </c>
    </row>
    <row r="1620" spans="1:24" s="169" customFormat="1" ht="13.8">
      <c r="A1620" s="193"/>
      <c r="B1620" s="187"/>
      <c r="C1620" s="183" t="str">
        <f t="shared" si="152"/>
        <v/>
      </c>
      <c r="D1620" s="182" t="str">
        <f t="shared" si="153"/>
        <v/>
      </c>
      <c r="E1620" s="192" t="s">
        <v>666</v>
      </c>
      <c r="F1620" s="192" t="s">
        <v>1049</v>
      </c>
      <c r="G1620" s="192" t="s">
        <v>695</v>
      </c>
      <c r="H1620" s="210" t="s">
        <v>1440</v>
      </c>
      <c r="I1620" s="167">
        <v>395000000</v>
      </c>
      <c r="J1620" s="166"/>
      <c r="K1620" s="167">
        <v>395000000</v>
      </c>
      <c r="L1620" s="171"/>
      <c r="M1620" s="168">
        <f t="shared" si="154"/>
        <v>395000000</v>
      </c>
      <c r="N1620" s="171"/>
      <c r="O1620" s="167">
        <v>395000000</v>
      </c>
      <c r="P1620" s="167">
        <f t="shared" si="155"/>
        <v>395000000</v>
      </c>
      <c r="Q1620" s="167"/>
      <c r="S1620" s="201">
        <f t="shared" si="156"/>
        <v>395</v>
      </c>
      <c r="T1620" s="201">
        <f t="shared" si="158"/>
        <v>395</v>
      </c>
      <c r="U1620" s="201">
        <f t="shared" si="158"/>
        <v>0</v>
      </c>
      <c r="V1620" s="201">
        <f t="shared" si="158"/>
        <v>395</v>
      </c>
      <c r="W1620" s="201">
        <f t="shared" si="158"/>
        <v>395</v>
      </c>
      <c r="X1620" s="201">
        <f t="shared" si="158"/>
        <v>0</v>
      </c>
    </row>
    <row r="1621" spans="1:24" s="169" customFormat="1" ht="13.8">
      <c r="A1621" s="195"/>
      <c r="B1621" s="188"/>
      <c r="C1621" s="183" t="str">
        <f t="shared" si="152"/>
        <v/>
      </c>
      <c r="D1621" s="182" t="str">
        <f t="shared" si="153"/>
        <v/>
      </c>
      <c r="E1621" s="192" t="s">
        <v>679</v>
      </c>
      <c r="F1621" s="192" t="s">
        <v>1049</v>
      </c>
      <c r="G1621" s="192" t="s">
        <v>695</v>
      </c>
      <c r="H1621" s="210" t="s">
        <v>1440</v>
      </c>
      <c r="I1621" s="167">
        <v>16800000</v>
      </c>
      <c r="J1621" s="166"/>
      <c r="K1621" s="166"/>
      <c r="L1621" s="168">
        <v>16800000</v>
      </c>
      <c r="M1621" s="168">
        <f t="shared" si="154"/>
        <v>16800000</v>
      </c>
      <c r="N1621" s="168"/>
      <c r="O1621" s="167">
        <v>16800000</v>
      </c>
      <c r="P1621" s="167">
        <f t="shared" si="155"/>
        <v>16800000</v>
      </c>
      <c r="Q1621" s="167"/>
      <c r="S1621" s="201">
        <f t="shared" si="156"/>
        <v>16.8</v>
      </c>
      <c r="T1621" s="201">
        <f t="shared" si="158"/>
        <v>16.8</v>
      </c>
      <c r="U1621" s="201">
        <f t="shared" si="158"/>
        <v>0</v>
      </c>
      <c r="V1621" s="201">
        <f t="shared" si="158"/>
        <v>16.8</v>
      </c>
      <c r="W1621" s="201">
        <f t="shared" si="158"/>
        <v>16.8</v>
      </c>
      <c r="X1621" s="201">
        <f t="shared" si="158"/>
        <v>0</v>
      </c>
    </row>
    <row r="1622" spans="1:24" s="169" customFormat="1" ht="13.8">
      <c r="A1622" s="192"/>
      <c r="B1622" s="164" t="s">
        <v>686</v>
      </c>
      <c r="C1622" s="183" t="str">
        <f t="shared" ref="C1622:C1685" si="159">IF(B1622&lt;&gt;"",IF(AND(LEFT(B1622,1)&gt;="0",LEFT(B1622,1)&lt;="9"),LEFT(B1622,7),""),"")</f>
        <v/>
      </c>
      <c r="D1622" s="182" t="str">
        <f t="shared" si="153"/>
        <v/>
      </c>
      <c r="E1622" s="206"/>
      <c r="F1622" s="207"/>
      <c r="G1622" s="207"/>
      <c r="H1622" s="205"/>
      <c r="I1622" s="167">
        <v>430000000</v>
      </c>
      <c r="J1622" s="166"/>
      <c r="K1622" s="167">
        <v>280000000</v>
      </c>
      <c r="L1622" s="168">
        <v>150000000</v>
      </c>
      <c r="M1622" s="168">
        <f t="shared" si="154"/>
        <v>430000000</v>
      </c>
      <c r="N1622" s="168"/>
      <c r="O1622" s="167">
        <v>400704000</v>
      </c>
      <c r="P1622" s="167">
        <f t="shared" si="155"/>
        <v>400704000</v>
      </c>
      <c r="Q1622" s="167"/>
      <c r="S1622" s="201">
        <f t="shared" si="156"/>
        <v>430</v>
      </c>
      <c r="T1622" s="201">
        <f t="shared" si="158"/>
        <v>430</v>
      </c>
      <c r="U1622" s="201">
        <f t="shared" si="158"/>
        <v>0</v>
      </c>
      <c r="V1622" s="201">
        <f t="shared" si="158"/>
        <v>400.70400000000001</v>
      </c>
      <c r="W1622" s="201">
        <f t="shared" si="158"/>
        <v>400.70400000000001</v>
      </c>
      <c r="X1622" s="201">
        <f t="shared" si="158"/>
        <v>0</v>
      </c>
    </row>
    <row r="1623" spans="1:24" s="169" customFormat="1" ht="13.8">
      <c r="A1623" s="193"/>
      <c r="B1623" s="187"/>
      <c r="C1623" s="183" t="str">
        <f t="shared" si="159"/>
        <v/>
      </c>
      <c r="D1623" s="182" t="str">
        <f t="shared" ref="D1623:D1686" si="160">IF(C1623&lt;&gt;"",RIGHT(B1623,LEN(B1623)-7),"")</f>
        <v/>
      </c>
      <c r="E1623" s="192" t="s">
        <v>681</v>
      </c>
      <c r="F1623" s="192" t="s">
        <v>1049</v>
      </c>
      <c r="G1623" s="192" t="s">
        <v>1050</v>
      </c>
      <c r="H1623" s="210" t="s">
        <v>1440</v>
      </c>
      <c r="I1623" s="167">
        <v>180000000</v>
      </c>
      <c r="J1623" s="166"/>
      <c r="K1623" s="167">
        <v>180000000</v>
      </c>
      <c r="L1623" s="171"/>
      <c r="M1623" s="168">
        <f t="shared" ref="M1623:M1686" si="161">I1623-N1623</f>
        <v>180000000</v>
      </c>
      <c r="N1623" s="171"/>
      <c r="O1623" s="167">
        <v>180000000</v>
      </c>
      <c r="P1623" s="167">
        <f t="shared" ref="P1623:P1686" si="162">O1623-Q1623</f>
        <v>180000000</v>
      </c>
      <c r="Q1623" s="167"/>
      <c r="S1623" s="201">
        <f t="shared" ref="S1623:S1686" si="163">I1623/1000000</f>
        <v>180</v>
      </c>
      <c r="T1623" s="201">
        <f t="shared" si="158"/>
        <v>180</v>
      </c>
      <c r="U1623" s="201">
        <f t="shared" si="158"/>
        <v>0</v>
      </c>
      <c r="V1623" s="201">
        <f t="shared" si="158"/>
        <v>180</v>
      </c>
      <c r="W1623" s="201">
        <f t="shared" si="158"/>
        <v>180</v>
      </c>
      <c r="X1623" s="201">
        <f t="shared" si="158"/>
        <v>0</v>
      </c>
    </row>
    <row r="1624" spans="1:24" s="169" customFormat="1" ht="13.8">
      <c r="A1624" s="194"/>
      <c r="B1624" s="184"/>
      <c r="C1624" s="183" t="str">
        <f t="shared" si="159"/>
        <v/>
      </c>
      <c r="D1624" s="182" t="str">
        <f t="shared" si="160"/>
        <v/>
      </c>
      <c r="E1624" s="192" t="s">
        <v>681</v>
      </c>
      <c r="F1624" s="192" t="s">
        <v>1049</v>
      </c>
      <c r="G1624" s="192" t="s">
        <v>695</v>
      </c>
      <c r="H1624" s="210" t="s">
        <v>1440</v>
      </c>
      <c r="I1624" s="167">
        <v>100000000</v>
      </c>
      <c r="J1624" s="166"/>
      <c r="K1624" s="167">
        <v>100000000</v>
      </c>
      <c r="L1624" s="171"/>
      <c r="M1624" s="168">
        <f t="shared" si="161"/>
        <v>100000000</v>
      </c>
      <c r="N1624" s="171"/>
      <c r="O1624" s="167">
        <v>100000000</v>
      </c>
      <c r="P1624" s="167">
        <f t="shared" si="162"/>
        <v>100000000</v>
      </c>
      <c r="Q1624" s="167"/>
      <c r="S1624" s="201">
        <f t="shared" si="163"/>
        <v>100</v>
      </c>
      <c r="T1624" s="201">
        <f t="shared" si="158"/>
        <v>100</v>
      </c>
      <c r="U1624" s="201">
        <f t="shared" si="158"/>
        <v>0</v>
      </c>
      <c r="V1624" s="201">
        <f t="shared" si="158"/>
        <v>100</v>
      </c>
      <c r="W1624" s="201">
        <f t="shared" si="158"/>
        <v>100</v>
      </c>
      <c r="X1624" s="201">
        <f t="shared" si="158"/>
        <v>0</v>
      </c>
    </row>
    <row r="1625" spans="1:24" s="169" customFormat="1" ht="13.8">
      <c r="A1625" s="195"/>
      <c r="B1625" s="188"/>
      <c r="C1625" s="183" t="str">
        <f t="shared" si="159"/>
        <v/>
      </c>
      <c r="D1625" s="182" t="str">
        <f t="shared" si="160"/>
        <v/>
      </c>
      <c r="E1625" s="192" t="s">
        <v>667</v>
      </c>
      <c r="F1625" s="192" t="s">
        <v>1049</v>
      </c>
      <c r="G1625" s="192" t="s">
        <v>695</v>
      </c>
      <c r="H1625" s="210" t="s">
        <v>1440</v>
      </c>
      <c r="I1625" s="167">
        <v>150000000</v>
      </c>
      <c r="J1625" s="166"/>
      <c r="K1625" s="166"/>
      <c r="L1625" s="168">
        <v>150000000</v>
      </c>
      <c r="M1625" s="168">
        <f t="shared" si="161"/>
        <v>150000000</v>
      </c>
      <c r="N1625" s="168"/>
      <c r="O1625" s="167">
        <v>120704000</v>
      </c>
      <c r="P1625" s="167">
        <f t="shared" si="162"/>
        <v>120704000</v>
      </c>
      <c r="Q1625" s="167"/>
      <c r="S1625" s="201">
        <f t="shared" si="163"/>
        <v>150</v>
      </c>
      <c r="T1625" s="201">
        <f t="shared" si="158"/>
        <v>150</v>
      </c>
      <c r="U1625" s="201">
        <f t="shared" si="158"/>
        <v>0</v>
      </c>
      <c r="V1625" s="201">
        <f t="shared" si="158"/>
        <v>120.70399999999999</v>
      </c>
      <c r="W1625" s="201">
        <f t="shared" si="158"/>
        <v>120.70399999999999</v>
      </c>
      <c r="X1625" s="201">
        <f t="shared" si="158"/>
        <v>0</v>
      </c>
    </row>
    <row r="1626" spans="1:24" s="169" customFormat="1" ht="39.6">
      <c r="A1626" s="192" t="s">
        <v>1398</v>
      </c>
      <c r="B1626" s="176" t="s">
        <v>1399</v>
      </c>
      <c r="C1626" s="183" t="str">
        <f t="shared" si="159"/>
        <v>1125318</v>
      </c>
      <c r="D1626" s="182" t="str">
        <f t="shared" si="160"/>
        <v>-Trung tâm nghiên cứu và phát triền nông nghiệp công nghệ cao</v>
      </c>
      <c r="E1626" s="206"/>
      <c r="F1626" s="207"/>
      <c r="G1626" s="207"/>
      <c r="H1626" s="205"/>
      <c r="I1626" s="167">
        <v>1173877622</v>
      </c>
      <c r="J1626" s="166"/>
      <c r="K1626" s="167">
        <v>1150957622</v>
      </c>
      <c r="L1626" s="168">
        <v>22920000</v>
      </c>
      <c r="M1626" s="168">
        <f t="shared" si="161"/>
        <v>1173877622</v>
      </c>
      <c r="N1626" s="168"/>
      <c r="O1626" s="167">
        <v>1173877622</v>
      </c>
      <c r="P1626" s="167">
        <f t="shared" si="162"/>
        <v>1173877622</v>
      </c>
      <c r="Q1626" s="167"/>
      <c r="S1626" s="201">
        <f t="shared" si="163"/>
        <v>1173.877622</v>
      </c>
      <c r="T1626" s="201">
        <f t="shared" si="158"/>
        <v>1173.877622</v>
      </c>
      <c r="U1626" s="201">
        <f t="shared" si="158"/>
        <v>0</v>
      </c>
      <c r="V1626" s="201">
        <f t="shared" si="158"/>
        <v>1173.877622</v>
      </c>
      <c r="W1626" s="201">
        <f t="shared" si="158"/>
        <v>1173.877622</v>
      </c>
      <c r="X1626" s="201">
        <f t="shared" si="158"/>
        <v>0</v>
      </c>
    </row>
    <row r="1627" spans="1:24" s="169" customFormat="1" ht="13.8">
      <c r="A1627" s="192" t="s">
        <v>1400</v>
      </c>
      <c r="B1627" s="164" t="s">
        <v>689</v>
      </c>
      <c r="C1627" s="183" t="str">
        <f t="shared" si="159"/>
        <v/>
      </c>
      <c r="D1627" s="182" t="str">
        <f t="shared" si="160"/>
        <v/>
      </c>
      <c r="E1627" s="206"/>
      <c r="F1627" s="207"/>
      <c r="G1627" s="207"/>
      <c r="H1627" s="205"/>
      <c r="I1627" s="167">
        <v>1173877622</v>
      </c>
      <c r="J1627" s="166"/>
      <c r="K1627" s="167">
        <v>1150957622</v>
      </c>
      <c r="L1627" s="168">
        <v>22920000</v>
      </c>
      <c r="M1627" s="168">
        <f t="shared" si="161"/>
        <v>1173877622</v>
      </c>
      <c r="N1627" s="168"/>
      <c r="O1627" s="167">
        <v>1173877622</v>
      </c>
      <c r="P1627" s="167">
        <f t="shared" si="162"/>
        <v>1173877622</v>
      </c>
      <c r="Q1627" s="167"/>
      <c r="S1627" s="201">
        <f t="shared" si="163"/>
        <v>1173.877622</v>
      </c>
      <c r="T1627" s="201">
        <f t="shared" si="158"/>
        <v>1173.877622</v>
      </c>
      <c r="U1627" s="201">
        <f t="shared" si="158"/>
        <v>0</v>
      </c>
      <c r="V1627" s="201">
        <f t="shared" si="158"/>
        <v>1173.877622</v>
      </c>
      <c r="W1627" s="201">
        <f t="shared" si="158"/>
        <v>1173.877622</v>
      </c>
      <c r="X1627" s="201">
        <f t="shared" si="158"/>
        <v>0</v>
      </c>
    </row>
    <row r="1628" spans="1:24" s="169" customFormat="1" ht="13.8">
      <c r="A1628" s="192"/>
      <c r="B1628" s="164" t="s">
        <v>690</v>
      </c>
      <c r="C1628" s="183" t="str">
        <f t="shared" si="159"/>
        <v/>
      </c>
      <c r="D1628" s="182" t="str">
        <f t="shared" si="160"/>
        <v/>
      </c>
      <c r="E1628" s="206"/>
      <c r="F1628" s="207"/>
      <c r="G1628" s="207"/>
      <c r="H1628" s="205"/>
      <c r="I1628" s="167">
        <v>22920000</v>
      </c>
      <c r="J1628" s="166"/>
      <c r="K1628" s="166"/>
      <c r="L1628" s="168">
        <v>22920000</v>
      </c>
      <c r="M1628" s="168">
        <f t="shared" si="161"/>
        <v>22920000</v>
      </c>
      <c r="N1628" s="168"/>
      <c r="O1628" s="167">
        <v>22920000</v>
      </c>
      <c r="P1628" s="167">
        <f t="shared" si="162"/>
        <v>22920000</v>
      </c>
      <c r="Q1628" s="167"/>
      <c r="S1628" s="201">
        <f t="shared" si="163"/>
        <v>22.92</v>
      </c>
      <c r="T1628" s="201">
        <f t="shared" si="158"/>
        <v>22.92</v>
      </c>
      <c r="U1628" s="201">
        <f t="shared" si="158"/>
        <v>0</v>
      </c>
      <c r="V1628" s="201">
        <f t="shared" si="158"/>
        <v>22.92</v>
      </c>
      <c r="W1628" s="201">
        <f t="shared" si="158"/>
        <v>22.92</v>
      </c>
      <c r="X1628" s="201">
        <f t="shared" si="158"/>
        <v>0</v>
      </c>
    </row>
    <row r="1629" spans="1:24" s="169" customFormat="1" ht="13.8">
      <c r="A1629" s="192"/>
      <c r="B1629" s="164"/>
      <c r="C1629" s="183" t="str">
        <f t="shared" si="159"/>
        <v/>
      </c>
      <c r="D1629" s="182" t="str">
        <f t="shared" si="160"/>
        <v/>
      </c>
      <c r="E1629" s="192" t="s">
        <v>666</v>
      </c>
      <c r="F1629" s="192" t="s">
        <v>760</v>
      </c>
      <c r="G1629" s="192" t="s">
        <v>727</v>
      </c>
      <c r="H1629" s="210" t="s">
        <v>1440</v>
      </c>
      <c r="I1629" s="167">
        <v>22920000</v>
      </c>
      <c r="J1629" s="166"/>
      <c r="K1629" s="166"/>
      <c r="L1629" s="168">
        <v>22920000</v>
      </c>
      <c r="M1629" s="168">
        <f t="shared" si="161"/>
        <v>22920000</v>
      </c>
      <c r="N1629" s="168"/>
      <c r="O1629" s="167">
        <v>22920000</v>
      </c>
      <c r="P1629" s="167">
        <f t="shared" si="162"/>
        <v>22920000</v>
      </c>
      <c r="Q1629" s="167"/>
      <c r="S1629" s="201">
        <f t="shared" si="163"/>
        <v>22.92</v>
      </c>
      <c r="T1629" s="201">
        <f t="shared" si="158"/>
        <v>22.92</v>
      </c>
      <c r="U1629" s="201">
        <f t="shared" si="158"/>
        <v>0</v>
      </c>
      <c r="V1629" s="201">
        <f t="shared" si="158"/>
        <v>22.92</v>
      </c>
      <c r="W1629" s="201">
        <f t="shared" si="158"/>
        <v>22.92</v>
      </c>
      <c r="X1629" s="201">
        <f t="shared" si="158"/>
        <v>0</v>
      </c>
    </row>
    <row r="1630" spans="1:24" s="169" customFormat="1" ht="13.8">
      <c r="A1630" s="192"/>
      <c r="B1630" s="164" t="s">
        <v>686</v>
      </c>
      <c r="C1630" s="183" t="str">
        <f t="shared" si="159"/>
        <v/>
      </c>
      <c r="D1630" s="182" t="str">
        <f t="shared" si="160"/>
        <v/>
      </c>
      <c r="E1630" s="206"/>
      <c r="F1630" s="207"/>
      <c r="G1630" s="207"/>
      <c r="H1630" s="205"/>
      <c r="I1630" s="167">
        <v>1150957622</v>
      </c>
      <c r="J1630" s="166"/>
      <c r="K1630" s="167">
        <v>1150957622</v>
      </c>
      <c r="L1630" s="171"/>
      <c r="M1630" s="168">
        <f t="shared" si="161"/>
        <v>1150957622</v>
      </c>
      <c r="N1630" s="171"/>
      <c r="O1630" s="167">
        <v>1150957622</v>
      </c>
      <c r="P1630" s="167">
        <f t="shared" si="162"/>
        <v>1150957622</v>
      </c>
      <c r="Q1630" s="167"/>
      <c r="S1630" s="201">
        <f t="shared" si="163"/>
        <v>1150.9576219999999</v>
      </c>
      <c r="T1630" s="201">
        <f t="shared" si="158"/>
        <v>1150.9576219999999</v>
      </c>
      <c r="U1630" s="201">
        <f t="shared" si="158"/>
        <v>0</v>
      </c>
      <c r="V1630" s="201">
        <f t="shared" si="158"/>
        <v>1150.9576219999999</v>
      </c>
      <c r="W1630" s="201">
        <f t="shared" si="158"/>
        <v>1150.9576219999999</v>
      </c>
      <c r="X1630" s="201">
        <f t="shared" si="158"/>
        <v>0</v>
      </c>
    </row>
    <row r="1631" spans="1:24" s="169" customFormat="1" ht="13.8">
      <c r="A1631" s="192"/>
      <c r="B1631" s="164"/>
      <c r="C1631" s="183" t="str">
        <f t="shared" si="159"/>
        <v/>
      </c>
      <c r="D1631" s="182" t="str">
        <f t="shared" si="160"/>
        <v/>
      </c>
      <c r="E1631" s="192" t="s">
        <v>681</v>
      </c>
      <c r="F1631" s="192" t="s">
        <v>760</v>
      </c>
      <c r="G1631" s="192" t="s">
        <v>727</v>
      </c>
      <c r="H1631" s="210" t="s">
        <v>1440</v>
      </c>
      <c r="I1631" s="167">
        <v>1150957622</v>
      </c>
      <c r="J1631" s="166"/>
      <c r="K1631" s="167">
        <v>1150957622</v>
      </c>
      <c r="L1631" s="171"/>
      <c r="M1631" s="168">
        <f t="shared" si="161"/>
        <v>1150957622</v>
      </c>
      <c r="N1631" s="171"/>
      <c r="O1631" s="167">
        <v>1150957622</v>
      </c>
      <c r="P1631" s="167">
        <f t="shared" si="162"/>
        <v>1150957622</v>
      </c>
      <c r="Q1631" s="167"/>
      <c r="S1631" s="201">
        <f t="shared" si="163"/>
        <v>1150.9576219999999</v>
      </c>
      <c r="T1631" s="201">
        <f t="shared" si="158"/>
        <v>1150.9576219999999</v>
      </c>
      <c r="U1631" s="201">
        <f t="shared" si="158"/>
        <v>0</v>
      </c>
      <c r="V1631" s="201">
        <f t="shared" si="158"/>
        <v>1150.9576219999999</v>
      </c>
      <c r="W1631" s="201">
        <f t="shared" si="158"/>
        <v>1150.9576219999999</v>
      </c>
      <c r="X1631" s="201">
        <f t="shared" si="158"/>
        <v>0</v>
      </c>
    </row>
    <row r="1632" spans="1:24" s="169" customFormat="1" ht="39.6">
      <c r="A1632" s="192" t="s">
        <v>1401</v>
      </c>
      <c r="B1632" s="176" t="s">
        <v>1402</v>
      </c>
      <c r="C1632" s="183" t="str">
        <f t="shared" si="159"/>
        <v>1125325</v>
      </c>
      <c r="D1632" s="182" t="str">
        <f t="shared" si="160"/>
        <v>-Ban quản lý khu nông nghiệp ứng dụng công nghệ cao Măng Đen</v>
      </c>
      <c r="E1632" s="206"/>
      <c r="F1632" s="207"/>
      <c r="G1632" s="207"/>
      <c r="H1632" s="205"/>
      <c r="I1632" s="167">
        <v>702501790</v>
      </c>
      <c r="J1632" s="166"/>
      <c r="K1632" s="167">
        <v>678411790</v>
      </c>
      <c r="L1632" s="168">
        <v>24090000</v>
      </c>
      <c r="M1632" s="168">
        <f t="shared" si="161"/>
        <v>702501790</v>
      </c>
      <c r="N1632" s="168"/>
      <c r="O1632" s="167">
        <v>702501790</v>
      </c>
      <c r="P1632" s="167">
        <f t="shared" si="162"/>
        <v>702501790</v>
      </c>
      <c r="Q1632" s="167"/>
      <c r="S1632" s="201">
        <f t="shared" si="163"/>
        <v>702.50179000000003</v>
      </c>
      <c r="T1632" s="201">
        <f t="shared" si="158"/>
        <v>702.50179000000003</v>
      </c>
      <c r="U1632" s="201">
        <f t="shared" si="158"/>
        <v>0</v>
      </c>
      <c r="V1632" s="201">
        <f t="shared" si="158"/>
        <v>702.50179000000003</v>
      </c>
      <c r="W1632" s="201">
        <f t="shared" si="158"/>
        <v>702.50179000000003</v>
      </c>
      <c r="X1632" s="201">
        <f t="shared" si="158"/>
        <v>0</v>
      </c>
    </row>
    <row r="1633" spans="1:24" s="169" customFormat="1" ht="13.8">
      <c r="A1633" s="192" t="s">
        <v>1403</v>
      </c>
      <c r="B1633" s="164" t="s">
        <v>689</v>
      </c>
      <c r="C1633" s="183" t="str">
        <f t="shared" si="159"/>
        <v/>
      </c>
      <c r="D1633" s="182" t="str">
        <f t="shared" si="160"/>
        <v/>
      </c>
      <c r="E1633" s="206"/>
      <c r="F1633" s="207"/>
      <c r="G1633" s="207"/>
      <c r="H1633" s="205"/>
      <c r="I1633" s="167">
        <v>702501790</v>
      </c>
      <c r="J1633" s="166"/>
      <c r="K1633" s="167">
        <v>678411790</v>
      </c>
      <c r="L1633" s="168">
        <v>24090000</v>
      </c>
      <c r="M1633" s="168">
        <f t="shared" si="161"/>
        <v>702501790</v>
      </c>
      <c r="N1633" s="168"/>
      <c r="O1633" s="167">
        <v>702501790</v>
      </c>
      <c r="P1633" s="167">
        <f t="shared" si="162"/>
        <v>702501790</v>
      </c>
      <c r="Q1633" s="167"/>
      <c r="S1633" s="201">
        <f t="shared" si="163"/>
        <v>702.50179000000003</v>
      </c>
      <c r="T1633" s="201">
        <f t="shared" si="158"/>
        <v>702.50179000000003</v>
      </c>
      <c r="U1633" s="201">
        <f t="shared" si="158"/>
        <v>0</v>
      </c>
      <c r="V1633" s="201">
        <f t="shared" si="158"/>
        <v>702.50179000000003</v>
      </c>
      <c r="W1633" s="201">
        <f t="shared" si="158"/>
        <v>702.50179000000003</v>
      </c>
      <c r="X1633" s="201">
        <f t="shared" si="158"/>
        <v>0</v>
      </c>
    </row>
    <row r="1634" spans="1:24" s="169" customFormat="1" ht="13.8">
      <c r="A1634" s="192"/>
      <c r="B1634" s="164" t="s">
        <v>690</v>
      </c>
      <c r="C1634" s="183" t="str">
        <f t="shared" si="159"/>
        <v/>
      </c>
      <c r="D1634" s="182" t="str">
        <f t="shared" si="160"/>
        <v/>
      </c>
      <c r="E1634" s="206"/>
      <c r="F1634" s="207"/>
      <c r="G1634" s="207"/>
      <c r="H1634" s="205"/>
      <c r="I1634" s="167">
        <v>24090000</v>
      </c>
      <c r="J1634" s="166"/>
      <c r="K1634" s="166"/>
      <c r="L1634" s="168">
        <v>24090000</v>
      </c>
      <c r="M1634" s="168">
        <f t="shared" si="161"/>
        <v>24090000</v>
      </c>
      <c r="N1634" s="168"/>
      <c r="O1634" s="167">
        <v>24090000</v>
      </c>
      <c r="P1634" s="167">
        <f t="shared" si="162"/>
        <v>24090000</v>
      </c>
      <c r="Q1634" s="167"/>
      <c r="S1634" s="201">
        <f t="shared" si="163"/>
        <v>24.09</v>
      </c>
      <c r="T1634" s="201">
        <f t="shared" si="158"/>
        <v>24.09</v>
      </c>
      <c r="U1634" s="201">
        <f t="shared" si="158"/>
        <v>0</v>
      </c>
      <c r="V1634" s="201">
        <f t="shared" si="158"/>
        <v>24.09</v>
      </c>
      <c r="W1634" s="201">
        <f t="shared" si="158"/>
        <v>24.09</v>
      </c>
      <c r="X1634" s="201">
        <f t="shared" si="158"/>
        <v>0</v>
      </c>
    </row>
    <row r="1635" spans="1:24" s="169" customFormat="1" ht="13.8">
      <c r="A1635" s="192"/>
      <c r="B1635" s="164"/>
      <c r="C1635" s="183" t="str">
        <f t="shared" si="159"/>
        <v/>
      </c>
      <c r="D1635" s="182" t="str">
        <f t="shared" si="160"/>
        <v/>
      </c>
      <c r="E1635" s="192" t="s">
        <v>666</v>
      </c>
      <c r="F1635" s="192" t="s">
        <v>760</v>
      </c>
      <c r="G1635" s="192" t="s">
        <v>761</v>
      </c>
      <c r="H1635" s="210" t="s">
        <v>1440</v>
      </c>
      <c r="I1635" s="167">
        <v>24090000</v>
      </c>
      <c r="J1635" s="166"/>
      <c r="K1635" s="166"/>
      <c r="L1635" s="168">
        <v>24090000</v>
      </c>
      <c r="M1635" s="168">
        <f t="shared" si="161"/>
        <v>24090000</v>
      </c>
      <c r="N1635" s="168"/>
      <c r="O1635" s="167">
        <v>24090000</v>
      </c>
      <c r="P1635" s="167">
        <f t="shared" si="162"/>
        <v>24090000</v>
      </c>
      <c r="Q1635" s="167"/>
      <c r="S1635" s="201">
        <f t="shared" si="163"/>
        <v>24.09</v>
      </c>
      <c r="T1635" s="201">
        <f t="shared" si="158"/>
        <v>24.09</v>
      </c>
      <c r="U1635" s="201">
        <f t="shared" si="158"/>
        <v>0</v>
      </c>
      <c r="V1635" s="201">
        <f t="shared" si="158"/>
        <v>24.09</v>
      </c>
      <c r="W1635" s="201">
        <f t="shared" si="158"/>
        <v>24.09</v>
      </c>
      <c r="X1635" s="201">
        <f t="shared" si="158"/>
        <v>0</v>
      </c>
    </row>
    <row r="1636" spans="1:24" s="169" customFormat="1" ht="13.8">
      <c r="A1636" s="192"/>
      <c r="B1636" s="164" t="s">
        <v>686</v>
      </c>
      <c r="C1636" s="183" t="str">
        <f t="shared" si="159"/>
        <v/>
      </c>
      <c r="D1636" s="182" t="str">
        <f t="shared" si="160"/>
        <v/>
      </c>
      <c r="E1636" s="206"/>
      <c r="F1636" s="207"/>
      <c r="G1636" s="207"/>
      <c r="H1636" s="205"/>
      <c r="I1636" s="167">
        <v>678411790</v>
      </c>
      <c r="J1636" s="166"/>
      <c r="K1636" s="167">
        <v>678411790</v>
      </c>
      <c r="L1636" s="171"/>
      <c r="M1636" s="168">
        <f t="shared" si="161"/>
        <v>678411790</v>
      </c>
      <c r="N1636" s="171"/>
      <c r="O1636" s="167">
        <v>678411790</v>
      </c>
      <c r="P1636" s="167">
        <f t="shared" si="162"/>
        <v>678411790</v>
      </c>
      <c r="Q1636" s="167"/>
      <c r="S1636" s="201">
        <f t="shared" si="163"/>
        <v>678.41179</v>
      </c>
      <c r="T1636" s="201">
        <f t="shared" si="158"/>
        <v>678.41179</v>
      </c>
      <c r="U1636" s="201">
        <f t="shared" si="158"/>
        <v>0</v>
      </c>
      <c r="V1636" s="201">
        <f t="shared" si="158"/>
        <v>678.41179</v>
      </c>
      <c r="W1636" s="201">
        <f t="shared" si="158"/>
        <v>678.41179</v>
      </c>
      <c r="X1636" s="201">
        <f t="shared" si="158"/>
        <v>0</v>
      </c>
    </row>
    <row r="1637" spans="1:24" s="169" customFormat="1" ht="13.8">
      <c r="A1637" s="193"/>
      <c r="B1637" s="187"/>
      <c r="C1637" s="183" t="str">
        <f t="shared" si="159"/>
        <v/>
      </c>
      <c r="D1637" s="182" t="str">
        <f t="shared" si="160"/>
        <v/>
      </c>
      <c r="E1637" s="192" t="s">
        <v>681</v>
      </c>
      <c r="F1637" s="192" t="s">
        <v>760</v>
      </c>
      <c r="G1637" s="192" t="s">
        <v>727</v>
      </c>
      <c r="H1637" s="210" t="s">
        <v>1440</v>
      </c>
      <c r="I1637" s="167">
        <v>72000000</v>
      </c>
      <c r="J1637" s="166"/>
      <c r="K1637" s="167">
        <v>72000000</v>
      </c>
      <c r="L1637" s="171"/>
      <c r="M1637" s="168">
        <f t="shared" si="161"/>
        <v>72000000</v>
      </c>
      <c r="N1637" s="171"/>
      <c r="O1637" s="167">
        <v>72000000</v>
      </c>
      <c r="P1637" s="167">
        <f t="shared" si="162"/>
        <v>72000000</v>
      </c>
      <c r="Q1637" s="167"/>
      <c r="S1637" s="201">
        <f t="shared" si="163"/>
        <v>72</v>
      </c>
      <c r="T1637" s="201">
        <f t="shared" si="158"/>
        <v>72</v>
      </c>
      <c r="U1637" s="201">
        <f t="shared" si="158"/>
        <v>0</v>
      </c>
      <c r="V1637" s="201">
        <f t="shared" si="158"/>
        <v>72</v>
      </c>
      <c r="W1637" s="201">
        <f t="shared" si="158"/>
        <v>72</v>
      </c>
      <c r="X1637" s="201">
        <f t="shared" si="158"/>
        <v>0</v>
      </c>
    </row>
    <row r="1638" spans="1:24" s="169" customFormat="1" ht="13.8">
      <c r="A1638" s="195"/>
      <c r="B1638" s="188"/>
      <c r="C1638" s="183" t="str">
        <f t="shared" si="159"/>
        <v/>
      </c>
      <c r="D1638" s="182" t="str">
        <f t="shared" si="160"/>
        <v/>
      </c>
      <c r="E1638" s="192" t="s">
        <v>681</v>
      </c>
      <c r="F1638" s="192" t="s">
        <v>760</v>
      </c>
      <c r="G1638" s="192" t="s">
        <v>761</v>
      </c>
      <c r="H1638" s="210" t="s">
        <v>1440</v>
      </c>
      <c r="I1638" s="167">
        <v>606411790</v>
      </c>
      <c r="J1638" s="166"/>
      <c r="K1638" s="167">
        <v>606411790</v>
      </c>
      <c r="L1638" s="171"/>
      <c r="M1638" s="168">
        <f t="shared" si="161"/>
        <v>606411790</v>
      </c>
      <c r="N1638" s="171"/>
      <c r="O1638" s="167">
        <v>606411790</v>
      </c>
      <c r="P1638" s="167">
        <f t="shared" si="162"/>
        <v>606411790</v>
      </c>
      <c r="Q1638" s="167"/>
      <c r="S1638" s="201">
        <f t="shared" si="163"/>
        <v>606.41179</v>
      </c>
      <c r="T1638" s="201">
        <f t="shared" si="158"/>
        <v>606.41179</v>
      </c>
      <c r="U1638" s="201">
        <f t="shared" si="158"/>
        <v>0</v>
      </c>
      <c r="V1638" s="201">
        <f t="shared" si="158"/>
        <v>606.41179</v>
      </c>
      <c r="W1638" s="201">
        <f t="shared" si="158"/>
        <v>606.41179</v>
      </c>
      <c r="X1638" s="201">
        <f t="shared" si="158"/>
        <v>0</v>
      </c>
    </row>
    <row r="1639" spans="1:24" s="169" customFormat="1" ht="39.6">
      <c r="A1639" s="192" t="s">
        <v>1404</v>
      </c>
      <c r="B1639" s="176" t="s">
        <v>1405</v>
      </c>
      <c r="C1639" s="183" t="str">
        <f t="shared" si="159"/>
        <v>1125793</v>
      </c>
      <c r="D1639" s="182" t="str">
        <f t="shared" si="160"/>
        <v>-Phân hiệu trường PhS thông Dân tộc nội trú tỉnh tại huyện la HDrai</v>
      </c>
      <c r="E1639" s="206"/>
      <c r="F1639" s="207"/>
      <c r="G1639" s="207"/>
      <c r="H1639" s="205"/>
      <c r="I1639" s="167">
        <v>1529240000</v>
      </c>
      <c r="J1639" s="166"/>
      <c r="K1639" s="167">
        <v>548240000</v>
      </c>
      <c r="L1639" s="168">
        <v>981000000</v>
      </c>
      <c r="M1639" s="168">
        <f t="shared" si="161"/>
        <v>1529240000</v>
      </c>
      <c r="N1639" s="168"/>
      <c r="O1639" s="167">
        <v>1529240000</v>
      </c>
      <c r="P1639" s="167">
        <f t="shared" si="162"/>
        <v>1529240000</v>
      </c>
      <c r="Q1639" s="167"/>
      <c r="S1639" s="201">
        <f t="shared" si="163"/>
        <v>1529.24</v>
      </c>
      <c r="T1639" s="201">
        <f t="shared" si="158"/>
        <v>1529.24</v>
      </c>
      <c r="U1639" s="201">
        <f t="shared" si="158"/>
        <v>0</v>
      </c>
      <c r="V1639" s="201">
        <f t="shared" si="158"/>
        <v>1529.24</v>
      </c>
      <c r="W1639" s="201">
        <f t="shared" si="158"/>
        <v>1529.24</v>
      </c>
      <c r="X1639" s="201">
        <f t="shared" si="158"/>
        <v>0</v>
      </c>
    </row>
    <row r="1640" spans="1:24" s="169" customFormat="1" ht="13.8">
      <c r="A1640" s="192"/>
      <c r="B1640" s="173"/>
      <c r="C1640" s="183" t="str">
        <f t="shared" si="159"/>
        <v/>
      </c>
      <c r="D1640" s="182" t="str">
        <f t="shared" si="160"/>
        <v/>
      </c>
      <c r="E1640" s="192"/>
      <c r="F1640" s="192"/>
      <c r="G1640" s="192"/>
      <c r="H1640" s="210"/>
      <c r="I1640" s="174"/>
      <c r="J1640" s="174"/>
      <c r="K1640" s="174"/>
      <c r="L1640" s="175"/>
      <c r="M1640" s="168">
        <f t="shared" si="161"/>
        <v>0</v>
      </c>
      <c r="N1640" s="175"/>
      <c r="O1640" s="174"/>
      <c r="P1640" s="167">
        <f t="shared" si="162"/>
        <v>0</v>
      </c>
      <c r="Q1640" s="174"/>
      <c r="S1640" s="201">
        <f t="shared" si="163"/>
        <v>0</v>
      </c>
      <c r="T1640" s="201">
        <f t="shared" si="158"/>
        <v>0</v>
      </c>
      <c r="U1640" s="201">
        <f t="shared" si="158"/>
        <v>0</v>
      </c>
      <c r="V1640" s="201">
        <f t="shared" si="158"/>
        <v>0</v>
      </c>
      <c r="W1640" s="201">
        <f t="shared" si="158"/>
        <v>0</v>
      </c>
      <c r="X1640" s="201">
        <f t="shared" si="158"/>
        <v>0</v>
      </c>
    </row>
    <row r="1641" spans="1:24" s="169" customFormat="1" ht="13.8">
      <c r="A1641" s="192" t="s">
        <v>1406</v>
      </c>
      <c r="B1641" s="170" t="s">
        <v>675</v>
      </c>
      <c r="C1641" s="183" t="str">
        <f t="shared" si="159"/>
        <v/>
      </c>
      <c r="D1641" s="182" t="str">
        <f t="shared" si="160"/>
        <v/>
      </c>
      <c r="E1641" s="206"/>
      <c r="F1641" s="207"/>
      <c r="G1641" s="207"/>
      <c r="H1641" s="205"/>
      <c r="I1641" s="167">
        <v>1529240000</v>
      </c>
      <c r="J1641" s="166"/>
      <c r="K1641" s="167">
        <v>548240000</v>
      </c>
      <c r="L1641" s="168">
        <v>981000000</v>
      </c>
      <c r="M1641" s="168">
        <f t="shared" si="161"/>
        <v>1529240000</v>
      </c>
      <c r="N1641" s="168"/>
      <c r="O1641" s="167">
        <v>1529240000</v>
      </c>
      <c r="P1641" s="167">
        <f t="shared" si="162"/>
        <v>1529240000</v>
      </c>
      <c r="Q1641" s="167"/>
      <c r="S1641" s="201">
        <f t="shared" si="163"/>
        <v>1529.24</v>
      </c>
      <c r="T1641" s="201">
        <f t="shared" si="158"/>
        <v>1529.24</v>
      </c>
      <c r="U1641" s="201">
        <f t="shared" si="158"/>
        <v>0</v>
      </c>
      <c r="V1641" s="201">
        <f t="shared" si="158"/>
        <v>1529.24</v>
      </c>
      <c r="W1641" s="201">
        <f t="shared" si="158"/>
        <v>1529.24</v>
      </c>
      <c r="X1641" s="201">
        <f t="shared" si="158"/>
        <v>0</v>
      </c>
    </row>
    <row r="1642" spans="1:24" s="169" customFormat="1" ht="13.8">
      <c r="A1642" s="192"/>
      <c r="B1642" s="170" t="s">
        <v>680</v>
      </c>
      <c r="C1642" s="183" t="str">
        <f t="shared" si="159"/>
        <v/>
      </c>
      <c r="D1642" s="182" t="str">
        <f t="shared" si="160"/>
        <v/>
      </c>
      <c r="E1642" s="206"/>
      <c r="F1642" s="207"/>
      <c r="G1642" s="207"/>
      <c r="H1642" s="205"/>
      <c r="I1642" s="167">
        <v>1529240000</v>
      </c>
      <c r="J1642" s="166"/>
      <c r="K1642" s="167">
        <v>548240000</v>
      </c>
      <c r="L1642" s="168">
        <v>981000000</v>
      </c>
      <c r="M1642" s="168">
        <f t="shared" si="161"/>
        <v>1529240000</v>
      </c>
      <c r="N1642" s="168"/>
      <c r="O1642" s="167">
        <v>1529240000</v>
      </c>
      <c r="P1642" s="167">
        <f t="shared" si="162"/>
        <v>1529240000</v>
      </c>
      <c r="Q1642" s="167"/>
      <c r="S1642" s="201">
        <f t="shared" si="163"/>
        <v>1529.24</v>
      </c>
      <c r="T1642" s="201">
        <f t="shared" si="158"/>
        <v>1529.24</v>
      </c>
      <c r="U1642" s="201">
        <f t="shared" si="158"/>
        <v>0</v>
      </c>
      <c r="V1642" s="201">
        <f t="shared" si="158"/>
        <v>1529.24</v>
      </c>
      <c r="W1642" s="201">
        <f t="shared" si="158"/>
        <v>1529.24</v>
      </c>
      <c r="X1642" s="201">
        <f t="shared" si="158"/>
        <v>0</v>
      </c>
    </row>
    <row r="1643" spans="1:24" s="169" customFormat="1" ht="13.8">
      <c r="A1643" s="193"/>
      <c r="B1643" s="187"/>
      <c r="C1643" s="183" t="str">
        <f t="shared" si="159"/>
        <v/>
      </c>
      <c r="D1643" s="182" t="str">
        <f t="shared" si="160"/>
        <v/>
      </c>
      <c r="E1643" s="192" t="s">
        <v>681</v>
      </c>
      <c r="F1643" s="192" t="s">
        <v>677</v>
      </c>
      <c r="G1643" s="192" t="s">
        <v>678</v>
      </c>
      <c r="H1643" s="210" t="s">
        <v>1440</v>
      </c>
      <c r="I1643" s="167">
        <v>400000000</v>
      </c>
      <c r="J1643" s="166"/>
      <c r="K1643" s="167">
        <v>400000000</v>
      </c>
      <c r="L1643" s="171"/>
      <c r="M1643" s="168">
        <f t="shared" si="161"/>
        <v>400000000</v>
      </c>
      <c r="N1643" s="171"/>
      <c r="O1643" s="167">
        <v>400000000</v>
      </c>
      <c r="P1643" s="167">
        <f t="shared" si="162"/>
        <v>400000000</v>
      </c>
      <c r="Q1643" s="167"/>
      <c r="S1643" s="201">
        <f t="shared" si="163"/>
        <v>400</v>
      </c>
      <c r="T1643" s="201">
        <f t="shared" si="158"/>
        <v>400</v>
      </c>
      <c r="U1643" s="201">
        <f t="shared" si="158"/>
        <v>0</v>
      </c>
      <c r="V1643" s="201">
        <f t="shared" si="158"/>
        <v>400</v>
      </c>
      <c r="W1643" s="201">
        <f t="shared" si="158"/>
        <v>400</v>
      </c>
      <c r="X1643" s="201">
        <f t="shared" si="158"/>
        <v>0</v>
      </c>
    </row>
    <row r="1644" spans="1:24" s="169" customFormat="1" ht="13.8">
      <c r="A1644" s="194"/>
      <c r="B1644" s="184"/>
      <c r="C1644" s="183" t="str">
        <f t="shared" si="159"/>
        <v/>
      </c>
      <c r="D1644" s="182" t="str">
        <f t="shared" si="160"/>
        <v/>
      </c>
      <c r="E1644" s="192" t="s">
        <v>679</v>
      </c>
      <c r="F1644" s="192" t="s">
        <v>677</v>
      </c>
      <c r="G1644" s="192" t="s">
        <v>678</v>
      </c>
      <c r="H1644" s="210" t="s">
        <v>1440</v>
      </c>
      <c r="I1644" s="167">
        <v>120640000</v>
      </c>
      <c r="J1644" s="166"/>
      <c r="K1644" s="167">
        <v>120640000</v>
      </c>
      <c r="L1644" s="171"/>
      <c r="M1644" s="168">
        <f t="shared" si="161"/>
        <v>120640000</v>
      </c>
      <c r="N1644" s="171"/>
      <c r="O1644" s="167">
        <v>120640000</v>
      </c>
      <c r="P1644" s="167">
        <f t="shared" si="162"/>
        <v>120640000</v>
      </c>
      <c r="Q1644" s="167"/>
      <c r="S1644" s="201">
        <f t="shared" si="163"/>
        <v>120.64</v>
      </c>
      <c r="T1644" s="201">
        <f t="shared" si="158"/>
        <v>120.64</v>
      </c>
      <c r="U1644" s="201">
        <f t="shared" si="158"/>
        <v>0</v>
      </c>
      <c r="V1644" s="201">
        <f t="shared" si="158"/>
        <v>120.64</v>
      </c>
      <c r="W1644" s="201">
        <f t="shared" si="158"/>
        <v>120.64</v>
      </c>
      <c r="X1644" s="201">
        <f t="shared" si="158"/>
        <v>0</v>
      </c>
    </row>
    <row r="1645" spans="1:24" s="169" customFormat="1" ht="13.8">
      <c r="A1645" s="194"/>
      <c r="B1645" s="184"/>
      <c r="C1645" s="183" t="str">
        <f t="shared" si="159"/>
        <v/>
      </c>
      <c r="D1645" s="182" t="str">
        <f t="shared" si="160"/>
        <v/>
      </c>
      <c r="E1645" s="192" t="s">
        <v>667</v>
      </c>
      <c r="F1645" s="192" t="s">
        <v>677</v>
      </c>
      <c r="G1645" s="192" t="s">
        <v>678</v>
      </c>
      <c r="H1645" s="210" t="s">
        <v>1440</v>
      </c>
      <c r="I1645" s="167">
        <v>981000000</v>
      </c>
      <c r="J1645" s="166"/>
      <c r="K1645" s="166"/>
      <c r="L1645" s="168">
        <v>981000000</v>
      </c>
      <c r="M1645" s="168">
        <f t="shared" si="161"/>
        <v>981000000</v>
      </c>
      <c r="N1645" s="168"/>
      <c r="O1645" s="167">
        <v>981000000</v>
      </c>
      <c r="P1645" s="167">
        <f t="shared" si="162"/>
        <v>981000000</v>
      </c>
      <c r="Q1645" s="167"/>
      <c r="S1645" s="201">
        <f t="shared" si="163"/>
        <v>981</v>
      </c>
      <c r="T1645" s="201">
        <f t="shared" si="158"/>
        <v>981</v>
      </c>
      <c r="U1645" s="201">
        <f t="shared" si="158"/>
        <v>0</v>
      </c>
      <c r="V1645" s="201">
        <f t="shared" si="158"/>
        <v>981</v>
      </c>
      <c r="W1645" s="201">
        <f t="shared" si="158"/>
        <v>981</v>
      </c>
      <c r="X1645" s="201">
        <f t="shared" si="158"/>
        <v>0</v>
      </c>
    </row>
    <row r="1646" spans="1:24" s="169" customFormat="1" ht="13.8">
      <c r="A1646" s="195"/>
      <c r="B1646" s="188"/>
      <c r="C1646" s="183" t="str">
        <f t="shared" si="159"/>
        <v/>
      </c>
      <c r="D1646" s="182" t="str">
        <f t="shared" si="160"/>
        <v/>
      </c>
      <c r="E1646" s="192" t="s">
        <v>669</v>
      </c>
      <c r="F1646" s="192" t="s">
        <v>677</v>
      </c>
      <c r="G1646" s="192" t="s">
        <v>678</v>
      </c>
      <c r="H1646" s="210" t="s">
        <v>1440</v>
      </c>
      <c r="I1646" s="167">
        <v>27600000</v>
      </c>
      <c r="J1646" s="166"/>
      <c r="K1646" s="167">
        <v>27600000</v>
      </c>
      <c r="L1646" s="171"/>
      <c r="M1646" s="168">
        <f t="shared" si="161"/>
        <v>27600000</v>
      </c>
      <c r="N1646" s="171"/>
      <c r="O1646" s="167">
        <v>27600000</v>
      </c>
      <c r="P1646" s="167">
        <f t="shared" si="162"/>
        <v>27600000</v>
      </c>
      <c r="Q1646" s="167"/>
      <c r="S1646" s="201">
        <f t="shared" si="163"/>
        <v>27.6</v>
      </c>
      <c r="T1646" s="201">
        <f t="shared" si="158"/>
        <v>27.6</v>
      </c>
      <c r="U1646" s="201">
        <f t="shared" si="158"/>
        <v>0</v>
      </c>
      <c r="V1646" s="201">
        <f t="shared" si="158"/>
        <v>27.6</v>
      </c>
      <c r="W1646" s="201">
        <f t="shared" si="158"/>
        <v>27.6</v>
      </c>
      <c r="X1646" s="201">
        <f t="shared" si="158"/>
        <v>0</v>
      </c>
    </row>
    <row r="1647" spans="1:24" s="169" customFormat="1" ht="26.4">
      <c r="A1647" s="192" t="s">
        <v>1407</v>
      </c>
      <c r="B1647" s="165" t="s">
        <v>1408</v>
      </c>
      <c r="C1647" s="183" t="str">
        <f t="shared" si="159"/>
        <v>3007431</v>
      </c>
      <c r="D1647" s="182" t="str">
        <f t="shared" si="160"/>
        <v>-Trung tâm Xúc tiẽn Đău tư :ỉnh Kontum</v>
      </c>
      <c r="E1647" s="206"/>
      <c r="F1647" s="207"/>
      <c r="G1647" s="207"/>
      <c r="H1647" s="205"/>
      <c r="I1647" s="167">
        <v>1826647000</v>
      </c>
      <c r="J1647" s="166"/>
      <c r="K1647" s="167">
        <v>1643000000</v>
      </c>
      <c r="L1647" s="168">
        <v>183647000</v>
      </c>
      <c r="M1647" s="168">
        <f t="shared" si="161"/>
        <v>1826647000</v>
      </c>
      <c r="N1647" s="168"/>
      <c r="O1647" s="167">
        <v>1821979867</v>
      </c>
      <c r="P1647" s="167">
        <f t="shared" si="162"/>
        <v>1821979867</v>
      </c>
      <c r="Q1647" s="167"/>
      <c r="S1647" s="201">
        <f t="shared" si="163"/>
        <v>1826.6469999999999</v>
      </c>
      <c r="T1647" s="201">
        <f t="shared" si="158"/>
        <v>1826.6469999999999</v>
      </c>
      <c r="U1647" s="201">
        <f t="shared" si="158"/>
        <v>0</v>
      </c>
      <c r="V1647" s="201">
        <f t="shared" si="158"/>
        <v>1821.979867</v>
      </c>
      <c r="W1647" s="201">
        <f t="shared" si="158"/>
        <v>1821.979867</v>
      </c>
      <c r="X1647" s="201">
        <f t="shared" si="158"/>
        <v>0</v>
      </c>
    </row>
    <row r="1648" spans="1:24" s="169" customFormat="1" ht="13.8">
      <c r="A1648" s="192" t="s">
        <v>1409</v>
      </c>
      <c r="B1648" s="170" t="s">
        <v>675</v>
      </c>
      <c r="C1648" s="183" t="str">
        <f t="shared" si="159"/>
        <v/>
      </c>
      <c r="D1648" s="182" t="str">
        <f t="shared" si="160"/>
        <v/>
      </c>
      <c r="E1648" s="206"/>
      <c r="F1648" s="207"/>
      <c r="G1648" s="207"/>
      <c r="H1648" s="205"/>
      <c r="I1648" s="167">
        <v>1826647000</v>
      </c>
      <c r="J1648" s="166"/>
      <c r="K1648" s="167">
        <v>1643000000</v>
      </c>
      <c r="L1648" s="168">
        <v>183647000</v>
      </c>
      <c r="M1648" s="168">
        <f t="shared" si="161"/>
        <v>1826647000</v>
      </c>
      <c r="N1648" s="168"/>
      <c r="O1648" s="167">
        <v>1821979867</v>
      </c>
      <c r="P1648" s="167">
        <f t="shared" si="162"/>
        <v>1821979867</v>
      </c>
      <c r="Q1648" s="167"/>
      <c r="S1648" s="201">
        <f t="shared" si="163"/>
        <v>1826.6469999999999</v>
      </c>
      <c r="T1648" s="201">
        <f t="shared" si="158"/>
        <v>1826.6469999999999</v>
      </c>
      <c r="U1648" s="201">
        <f t="shared" si="158"/>
        <v>0</v>
      </c>
      <c r="V1648" s="201">
        <f t="shared" si="158"/>
        <v>1821.979867</v>
      </c>
      <c r="W1648" s="201">
        <f t="shared" si="158"/>
        <v>1821.979867</v>
      </c>
      <c r="X1648" s="201">
        <f t="shared" si="158"/>
        <v>0</v>
      </c>
    </row>
    <row r="1649" spans="1:24" s="169" customFormat="1" ht="13.8">
      <c r="A1649" s="192"/>
      <c r="B1649" s="170" t="s">
        <v>676</v>
      </c>
      <c r="C1649" s="183" t="str">
        <f t="shared" si="159"/>
        <v/>
      </c>
      <c r="D1649" s="182" t="str">
        <f t="shared" si="160"/>
        <v/>
      </c>
      <c r="E1649" s="206"/>
      <c r="F1649" s="207"/>
      <c r="G1649" s="207"/>
      <c r="H1649" s="205"/>
      <c r="I1649" s="167">
        <v>756400000</v>
      </c>
      <c r="J1649" s="166"/>
      <c r="K1649" s="167">
        <v>754000000</v>
      </c>
      <c r="L1649" s="168">
        <v>2400000</v>
      </c>
      <c r="M1649" s="168">
        <f t="shared" si="161"/>
        <v>756400000</v>
      </c>
      <c r="N1649" s="168"/>
      <c r="O1649" s="167">
        <v>756400000</v>
      </c>
      <c r="P1649" s="167">
        <f t="shared" si="162"/>
        <v>756400000</v>
      </c>
      <c r="Q1649" s="167"/>
      <c r="S1649" s="201">
        <f t="shared" si="163"/>
        <v>756.4</v>
      </c>
      <c r="T1649" s="201">
        <f t="shared" si="158"/>
        <v>756.4</v>
      </c>
      <c r="U1649" s="201">
        <f t="shared" si="158"/>
        <v>0</v>
      </c>
      <c r="V1649" s="201">
        <f t="shared" si="158"/>
        <v>756.4</v>
      </c>
      <c r="W1649" s="201">
        <f t="shared" si="158"/>
        <v>756.4</v>
      </c>
      <c r="X1649" s="201">
        <f t="shared" si="158"/>
        <v>0</v>
      </c>
    </row>
    <row r="1650" spans="1:24" s="169" customFormat="1" ht="13.8">
      <c r="A1650" s="193"/>
      <c r="B1650" s="187"/>
      <c r="C1650" s="183" t="str">
        <f t="shared" si="159"/>
        <v/>
      </c>
      <c r="D1650" s="182" t="str">
        <f t="shared" si="160"/>
        <v/>
      </c>
      <c r="E1650" s="192" t="s">
        <v>666</v>
      </c>
      <c r="F1650" s="192" t="s">
        <v>947</v>
      </c>
      <c r="G1650" s="192" t="s">
        <v>855</v>
      </c>
      <c r="H1650" s="210" t="s">
        <v>1440</v>
      </c>
      <c r="I1650" s="167">
        <v>754000000</v>
      </c>
      <c r="J1650" s="166"/>
      <c r="K1650" s="167">
        <v>754000000</v>
      </c>
      <c r="L1650" s="171"/>
      <c r="M1650" s="168">
        <f t="shared" si="161"/>
        <v>754000000</v>
      </c>
      <c r="N1650" s="171"/>
      <c r="O1650" s="167">
        <v>754000000</v>
      </c>
      <c r="P1650" s="167">
        <f t="shared" si="162"/>
        <v>754000000</v>
      </c>
      <c r="Q1650" s="167"/>
      <c r="S1650" s="201">
        <f t="shared" si="163"/>
        <v>754</v>
      </c>
      <c r="T1650" s="201">
        <f t="shared" si="158"/>
        <v>754</v>
      </c>
      <c r="U1650" s="201">
        <f t="shared" si="158"/>
        <v>0</v>
      </c>
      <c r="V1650" s="201">
        <f t="shared" si="158"/>
        <v>754</v>
      </c>
      <c r="W1650" s="201">
        <f t="shared" si="158"/>
        <v>754</v>
      </c>
      <c r="X1650" s="201">
        <f t="shared" si="158"/>
        <v>0</v>
      </c>
    </row>
    <row r="1651" spans="1:24" s="169" customFormat="1" ht="13.8">
      <c r="A1651" s="195"/>
      <c r="B1651" s="188"/>
      <c r="C1651" s="183" t="str">
        <f t="shared" si="159"/>
        <v/>
      </c>
      <c r="D1651" s="182" t="str">
        <f t="shared" si="160"/>
        <v/>
      </c>
      <c r="E1651" s="192" t="s">
        <v>679</v>
      </c>
      <c r="F1651" s="192" t="s">
        <v>947</v>
      </c>
      <c r="G1651" s="192" t="s">
        <v>855</v>
      </c>
      <c r="H1651" s="210" t="s">
        <v>1440</v>
      </c>
      <c r="I1651" s="167">
        <v>2400000</v>
      </c>
      <c r="J1651" s="166"/>
      <c r="K1651" s="166"/>
      <c r="L1651" s="168">
        <v>2400000</v>
      </c>
      <c r="M1651" s="168">
        <f t="shared" si="161"/>
        <v>2400000</v>
      </c>
      <c r="N1651" s="168"/>
      <c r="O1651" s="167">
        <v>2400000</v>
      </c>
      <c r="P1651" s="167">
        <f t="shared" si="162"/>
        <v>2400000</v>
      </c>
      <c r="Q1651" s="167"/>
      <c r="S1651" s="201">
        <f t="shared" si="163"/>
        <v>2.4</v>
      </c>
      <c r="T1651" s="201">
        <f t="shared" si="158"/>
        <v>2.4</v>
      </c>
      <c r="U1651" s="201">
        <f t="shared" si="158"/>
        <v>0</v>
      </c>
      <c r="V1651" s="201">
        <f t="shared" si="158"/>
        <v>2.4</v>
      </c>
      <c r="W1651" s="201">
        <f t="shared" si="158"/>
        <v>2.4</v>
      </c>
      <c r="X1651" s="201">
        <f t="shared" si="158"/>
        <v>0</v>
      </c>
    </row>
    <row r="1652" spans="1:24" s="169" customFormat="1" ht="13.8">
      <c r="A1652" s="192"/>
      <c r="B1652" s="170" t="s">
        <v>680</v>
      </c>
      <c r="C1652" s="183" t="str">
        <f t="shared" si="159"/>
        <v/>
      </c>
      <c r="D1652" s="182" t="str">
        <f t="shared" si="160"/>
        <v/>
      </c>
      <c r="E1652" s="206"/>
      <c r="F1652" s="207"/>
      <c r="G1652" s="207"/>
      <c r="H1652" s="205"/>
      <c r="I1652" s="167">
        <v>1070247000</v>
      </c>
      <c r="J1652" s="166"/>
      <c r="K1652" s="167">
        <v>889000000</v>
      </c>
      <c r="L1652" s="168">
        <v>181247000</v>
      </c>
      <c r="M1652" s="168">
        <f t="shared" si="161"/>
        <v>1070247000</v>
      </c>
      <c r="N1652" s="168"/>
      <c r="O1652" s="167">
        <v>1065579867</v>
      </c>
      <c r="P1652" s="167">
        <f t="shared" si="162"/>
        <v>1065579867</v>
      </c>
      <c r="Q1652" s="167"/>
      <c r="S1652" s="201">
        <f t="shared" si="163"/>
        <v>1070.2470000000001</v>
      </c>
      <c r="T1652" s="201">
        <f t="shared" si="158"/>
        <v>1070.2470000000001</v>
      </c>
      <c r="U1652" s="201">
        <f t="shared" si="158"/>
        <v>0</v>
      </c>
      <c r="V1652" s="201">
        <f t="shared" si="158"/>
        <v>1065.5798669999999</v>
      </c>
      <c r="W1652" s="201">
        <f t="shared" si="158"/>
        <v>1065.5798669999999</v>
      </c>
      <c r="X1652" s="201">
        <f t="shared" si="158"/>
        <v>0</v>
      </c>
    </row>
    <row r="1653" spans="1:24" s="169" customFormat="1" ht="13.8">
      <c r="A1653" s="192"/>
      <c r="B1653" s="164"/>
      <c r="C1653" s="183" t="str">
        <f t="shared" si="159"/>
        <v/>
      </c>
      <c r="D1653" s="182" t="str">
        <f t="shared" si="160"/>
        <v/>
      </c>
      <c r="E1653" s="192" t="s">
        <v>681</v>
      </c>
      <c r="F1653" s="192" t="s">
        <v>947</v>
      </c>
      <c r="G1653" s="192" t="s">
        <v>855</v>
      </c>
      <c r="H1653" s="210" t="s">
        <v>1440</v>
      </c>
      <c r="I1653" s="167">
        <v>1070247000</v>
      </c>
      <c r="J1653" s="166"/>
      <c r="K1653" s="167">
        <v>889000000</v>
      </c>
      <c r="L1653" s="168">
        <v>181247000</v>
      </c>
      <c r="M1653" s="168">
        <f t="shared" si="161"/>
        <v>1070247000</v>
      </c>
      <c r="N1653" s="168"/>
      <c r="O1653" s="167">
        <v>1065579867</v>
      </c>
      <c r="P1653" s="167">
        <f t="shared" si="162"/>
        <v>1065579867</v>
      </c>
      <c r="Q1653" s="167"/>
      <c r="S1653" s="201">
        <f t="shared" si="163"/>
        <v>1070.2470000000001</v>
      </c>
      <c r="T1653" s="201">
        <f t="shared" si="158"/>
        <v>1070.2470000000001</v>
      </c>
      <c r="U1653" s="201">
        <f t="shared" si="158"/>
        <v>0</v>
      </c>
      <c r="V1653" s="201">
        <f t="shared" si="158"/>
        <v>1065.5798669999999</v>
      </c>
      <c r="W1653" s="201">
        <f t="shared" si="158"/>
        <v>1065.5798669999999</v>
      </c>
      <c r="X1653" s="201">
        <f t="shared" si="158"/>
        <v>0</v>
      </c>
    </row>
    <row r="1654" spans="1:24" s="169" customFormat="1" ht="13.8">
      <c r="A1654" s="192" t="s">
        <v>1410</v>
      </c>
      <c r="B1654" s="170" t="s">
        <v>1411</v>
      </c>
      <c r="C1654" s="183" t="str">
        <f t="shared" si="159"/>
        <v>3007905</v>
      </c>
      <c r="D1654" s="182" t="str">
        <f t="shared" si="160"/>
        <v>-Hội bóng bàn tỉnh Kon Tum</v>
      </c>
      <c r="E1654" s="206"/>
      <c r="F1654" s="207"/>
      <c r="G1654" s="207"/>
      <c r="H1654" s="205"/>
      <c r="I1654" s="167">
        <v>20000000</v>
      </c>
      <c r="J1654" s="166"/>
      <c r="K1654" s="167">
        <v>20000000</v>
      </c>
      <c r="L1654" s="171"/>
      <c r="M1654" s="168">
        <f t="shared" si="161"/>
        <v>20000000</v>
      </c>
      <c r="N1654" s="171"/>
      <c r="O1654" s="167">
        <v>20000000</v>
      </c>
      <c r="P1654" s="167">
        <f t="shared" si="162"/>
        <v>20000000</v>
      </c>
      <c r="Q1654" s="167"/>
      <c r="S1654" s="201">
        <f t="shared" si="163"/>
        <v>20</v>
      </c>
      <c r="T1654" s="201">
        <f t="shared" si="158"/>
        <v>20</v>
      </c>
      <c r="U1654" s="201">
        <f t="shared" si="158"/>
        <v>0</v>
      </c>
      <c r="V1654" s="201">
        <f t="shared" si="158"/>
        <v>20</v>
      </c>
      <c r="W1654" s="201">
        <f t="shared" si="158"/>
        <v>20</v>
      </c>
      <c r="X1654" s="201">
        <f t="shared" si="158"/>
        <v>0</v>
      </c>
    </row>
    <row r="1655" spans="1:24" s="169" customFormat="1" ht="13.8">
      <c r="A1655" s="192" t="s">
        <v>1412</v>
      </c>
      <c r="B1655" s="170" t="s">
        <v>675</v>
      </c>
      <c r="C1655" s="183" t="str">
        <f t="shared" si="159"/>
        <v/>
      </c>
      <c r="D1655" s="182" t="str">
        <f t="shared" si="160"/>
        <v/>
      </c>
      <c r="E1655" s="206"/>
      <c r="F1655" s="207"/>
      <c r="G1655" s="207"/>
      <c r="H1655" s="205"/>
      <c r="I1655" s="167">
        <v>20000000</v>
      </c>
      <c r="J1655" s="166"/>
      <c r="K1655" s="167">
        <v>20000000</v>
      </c>
      <c r="L1655" s="171"/>
      <c r="M1655" s="168">
        <f t="shared" si="161"/>
        <v>20000000</v>
      </c>
      <c r="N1655" s="171"/>
      <c r="O1655" s="167">
        <v>20000000</v>
      </c>
      <c r="P1655" s="167">
        <f t="shared" si="162"/>
        <v>20000000</v>
      </c>
      <c r="Q1655" s="167"/>
      <c r="S1655" s="201">
        <f t="shared" si="163"/>
        <v>20</v>
      </c>
      <c r="T1655" s="201">
        <f t="shared" si="158"/>
        <v>20</v>
      </c>
      <c r="U1655" s="201">
        <f t="shared" si="158"/>
        <v>0</v>
      </c>
      <c r="V1655" s="201">
        <f t="shared" si="158"/>
        <v>20</v>
      </c>
      <c r="W1655" s="201">
        <f t="shared" si="158"/>
        <v>20</v>
      </c>
      <c r="X1655" s="201">
        <f t="shared" si="158"/>
        <v>0</v>
      </c>
    </row>
    <row r="1656" spans="1:24" s="169" customFormat="1" ht="13.8">
      <c r="A1656" s="192"/>
      <c r="B1656" s="170" t="s">
        <v>680</v>
      </c>
      <c r="C1656" s="183" t="str">
        <f t="shared" si="159"/>
        <v/>
      </c>
      <c r="D1656" s="182" t="str">
        <f t="shared" si="160"/>
        <v/>
      </c>
      <c r="E1656" s="206"/>
      <c r="F1656" s="207"/>
      <c r="G1656" s="207"/>
      <c r="H1656" s="205"/>
      <c r="I1656" s="167">
        <v>20000000</v>
      </c>
      <c r="J1656" s="166"/>
      <c r="K1656" s="167">
        <v>20000000</v>
      </c>
      <c r="L1656" s="171"/>
      <c r="M1656" s="168">
        <f t="shared" si="161"/>
        <v>20000000</v>
      </c>
      <c r="N1656" s="171"/>
      <c r="O1656" s="167">
        <v>20000000</v>
      </c>
      <c r="P1656" s="167">
        <f t="shared" si="162"/>
        <v>20000000</v>
      </c>
      <c r="Q1656" s="167"/>
      <c r="S1656" s="201">
        <f t="shared" si="163"/>
        <v>20</v>
      </c>
      <c r="T1656" s="201">
        <f t="shared" si="158"/>
        <v>20</v>
      </c>
      <c r="U1656" s="201">
        <f t="shared" si="158"/>
        <v>0</v>
      </c>
      <c r="V1656" s="201">
        <f t="shared" si="158"/>
        <v>20</v>
      </c>
      <c r="W1656" s="201">
        <f t="shared" si="158"/>
        <v>20</v>
      </c>
      <c r="X1656" s="201">
        <f t="shared" si="158"/>
        <v>0</v>
      </c>
    </row>
    <row r="1657" spans="1:24" s="169" customFormat="1" ht="13.8">
      <c r="A1657" s="192"/>
      <c r="B1657" s="164"/>
      <c r="C1657" s="183" t="str">
        <f t="shared" si="159"/>
        <v/>
      </c>
      <c r="D1657" s="182" t="str">
        <f t="shared" si="160"/>
        <v/>
      </c>
      <c r="E1657" s="192" t="s">
        <v>681</v>
      </c>
      <c r="F1657" s="192" t="s">
        <v>760</v>
      </c>
      <c r="G1657" s="192" t="s">
        <v>906</v>
      </c>
      <c r="H1657" s="210" t="s">
        <v>1440</v>
      </c>
      <c r="I1657" s="167">
        <v>20000000</v>
      </c>
      <c r="J1657" s="166"/>
      <c r="K1657" s="167">
        <v>20000000</v>
      </c>
      <c r="L1657" s="171"/>
      <c r="M1657" s="168">
        <f t="shared" si="161"/>
        <v>20000000</v>
      </c>
      <c r="N1657" s="171"/>
      <c r="O1657" s="167">
        <v>20000000</v>
      </c>
      <c r="P1657" s="167">
        <f t="shared" si="162"/>
        <v>20000000</v>
      </c>
      <c r="Q1657" s="167"/>
      <c r="S1657" s="201">
        <f t="shared" si="163"/>
        <v>20</v>
      </c>
      <c r="T1657" s="201">
        <f t="shared" si="158"/>
        <v>20</v>
      </c>
      <c r="U1657" s="201">
        <f t="shared" si="158"/>
        <v>0</v>
      </c>
      <c r="V1657" s="201">
        <f t="shared" si="158"/>
        <v>20</v>
      </c>
      <c r="W1657" s="201">
        <f t="shared" si="158"/>
        <v>20</v>
      </c>
      <c r="X1657" s="201">
        <f t="shared" si="158"/>
        <v>0</v>
      </c>
    </row>
    <row r="1658" spans="1:24" s="169" customFormat="1" ht="39.6">
      <c r="A1658" s="192" t="s">
        <v>1413</v>
      </c>
      <c r="B1658" s="165" t="s">
        <v>1414</v>
      </c>
      <c r="C1658" s="183" t="str">
        <f t="shared" si="159"/>
        <v>3016323</v>
      </c>
      <c r="D1658" s="182" t="str">
        <f t="shared" si="160"/>
        <v>-Văn phòng ĐiỄu phổi chương trinh Mục tiêu quốc gia Xây dựng nông íiôn mới tỉnh Kontum</v>
      </c>
      <c r="E1658" s="206"/>
      <c r="F1658" s="207"/>
      <c r="G1658" s="207"/>
      <c r="H1658" s="205"/>
      <c r="I1658" s="167">
        <v>1059920000</v>
      </c>
      <c r="J1658" s="167">
        <v>162920000</v>
      </c>
      <c r="K1658" s="167">
        <v>350000000</v>
      </c>
      <c r="L1658" s="168">
        <v>547000000</v>
      </c>
      <c r="M1658" s="168">
        <f t="shared" si="161"/>
        <v>1059920000</v>
      </c>
      <c r="N1658" s="168"/>
      <c r="O1658" s="167">
        <v>983381912</v>
      </c>
      <c r="P1658" s="167">
        <f t="shared" si="162"/>
        <v>983381912</v>
      </c>
      <c r="Q1658" s="167"/>
      <c r="S1658" s="201">
        <f t="shared" si="163"/>
        <v>1059.92</v>
      </c>
      <c r="T1658" s="201">
        <f t="shared" si="158"/>
        <v>1059.92</v>
      </c>
      <c r="U1658" s="201">
        <f t="shared" si="158"/>
        <v>0</v>
      </c>
      <c r="V1658" s="201">
        <f t="shared" si="158"/>
        <v>983.38191200000006</v>
      </c>
      <c r="W1658" s="201">
        <f t="shared" si="158"/>
        <v>983.38191200000006</v>
      </c>
      <c r="X1658" s="201">
        <f t="shared" si="158"/>
        <v>0</v>
      </c>
    </row>
    <row r="1659" spans="1:24" s="169" customFormat="1" ht="13.8">
      <c r="A1659" s="192" t="s">
        <v>1415</v>
      </c>
      <c r="B1659" s="170" t="s">
        <v>675</v>
      </c>
      <c r="C1659" s="183" t="str">
        <f t="shared" si="159"/>
        <v/>
      </c>
      <c r="D1659" s="182" t="str">
        <f t="shared" si="160"/>
        <v/>
      </c>
      <c r="E1659" s="206"/>
      <c r="F1659" s="207"/>
      <c r="G1659" s="207"/>
      <c r="H1659" s="205"/>
      <c r="I1659" s="167">
        <v>350000000</v>
      </c>
      <c r="J1659" s="166"/>
      <c r="K1659" s="167">
        <v>350000000</v>
      </c>
      <c r="L1659" s="171"/>
      <c r="M1659" s="168">
        <f t="shared" si="161"/>
        <v>350000000</v>
      </c>
      <c r="N1659" s="171"/>
      <c r="O1659" s="167">
        <v>328271912</v>
      </c>
      <c r="P1659" s="167">
        <f t="shared" si="162"/>
        <v>328271912</v>
      </c>
      <c r="Q1659" s="167"/>
      <c r="S1659" s="201">
        <f t="shared" si="163"/>
        <v>350</v>
      </c>
      <c r="T1659" s="201">
        <f t="shared" si="158"/>
        <v>350</v>
      </c>
      <c r="U1659" s="201">
        <f t="shared" si="158"/>
        <v>0</v>
      </c>
      <c r="V1659" s="201">
        <f t="shared" si="158"/>
        <v>328.27191199999999</v>
      </c>
      <c r="W1659" s="201">
        <f t="shared" si="158"/>
        <v>328.27191199999999</v>
      </c>
      <c r="X1659" s="201">
        <f t="shared" si="158"/>
        <v>0</v>
      </c>
    </row>
    <row r="1660" spans="1:24" s="169" customFormat="1" ht="13.8">
      <c r="A1660" s="192"/>
      <c r="B1660" s="170" t="s">
        <v>680</v>
      </c>
      <c r="C1660" s="183" t="str">
        <f t="shared" si="159"/>
        <v/>
      </c>
      <c r="D1660" s="182" t="str">
        <f t="shared" si="160"/>
        <v/>
      </c>
      <c r="E1660" s="206"/>
      <c r="F1660" s="207"/>
      <c r="G1660" s="207"/>
      <c r="H1660" s="205"/>
      <c r="I1660" s="167">
        <v>350000000</v>
      </c>
      <c r="J1660" s="166"/>
      <c r="K1660" s="167">
        <v>350000000</v>
      </c>
      <c r="L1660" s="171"/>
      <c r="M1660" s="168">
        <f t="shared" si="161"/>
        <v>350000000</v>
      </c>
      <c r="N1660" s="171"/>
      <c r="O1660" s="167">
        <v>328271912</v>
      </c>
      <c r="P1660" s="167">
        <f t="shared" si="162"/>
        <v>328271912</v>
      </c>
      <c r="Q1660" s="167"/>
      <c r="S1660" s="201">
        <f t="shared" si="163"/>
        <v>350</v>
      </c>
      <c r="T1660" s="201">
        <f t="shared" si="158"/>
        <v>350</v>
      </c>
      <c r="U1660" s="201">
        <f t="shared" si="158"/>
        <v>0</v>
      </c>
      <c r="V1660" s="201">
        <f t="shared" si="158"/>
        <v>328.27191199999999</v>
      </c>
      <c r="W1660" s="201">
        <f t="shared" si="158"/>
        <v>328.27191199999999</v>
      </c>
      <c r="X1660" s="201">
        <f t="shared" si="158"/>
        <v>0</v>
      </c>
    </row>
    <row r="1661" spans="1:24" s="169" customFormat="1" ht="13.8">
      <c r="A1661" s="192"/>
      <c r="B1661" s="164"/>
      <c r="C1661" s="183" t="str">
        <f t="shared" si="159"/>
        <v/>
      </c>
      <c r="D1661" s="182" t="str">
        <f t="shared" si="160"/>
        <v/>
      </c>
      <c r="E1661" s="192" t="s">
        <v>681</v>
      </c>
      <c r="F1661" s="192" t="s">
        <v>698</v>
      </c>
      <c r="G1661" s="192" t="s">
        <v>727</v>
      </c>
      <c r="H1661" s="210" t="s">
        <v>1440</v>
      </c>
      <c r="I1661" s="167">
        <v>350000000</v>
      </c>
      <c r="J1661" s="166"/>
      <c r="K1661" s="167">
        <v>350000000</v>
      </c>
      <c r="L1661" s="171"/>
      <c r="M1661" s="168">
        <f t="shared" si="161"/>
        <v>350000000</v>
      </c>
      <c r="N1661" s="171"/>
      <c r="O1661" s="167">
        <v>328271912</v>
      </c>
      <c r="P1661" s="167">
        <f t="shared" si="162"/>
        <v>328271912</v>
      </c>
      <c r="Q1661" s="167"/>
      <c r="S1661" s="201">
        <f t="shared" si="163"/>
        <v>350</v>
      </c>
      <c r="T1661" s="201">
        <f t="shared" ref="T1661:X1688" si="164">M1661/1000000</f>
        <v>350</v>
      </c>
      <c r="U1661" s="201">
        <f t="shared" si="164"/>
        <v>0</v>
      </c>
      <c r="V1661" s="201">
        <f t="shared" si="164"/>
        <v>328.27191199999999</v>
      </c>
      <c r="W1661" s="201">
        <f t="shared" si="164"/>
        <v>328.27191199999999</v>
      </c>
      <c r="X1661" s="201">
        <f t="shared" si="164"/>
        <v>0</v>
      </c>
    </row>
    <row r="1662" spans="1:24" s="169" customFormat="1" ht="13.8">
      <c r="A1662" s="192" t="s">
        <v>1416</v>
      </c>
      <c r="B1662" s="170" t="s">
        <v>731</v>
      </c>
      <c r="C1662" s="183" t="str">
        <f t="shared" si="159"/>
        <v/>
      </c>
      <c r="D1662" s="182" t="str">
        <f t="shared" si="160"/>
        <v/>
      </c>
      <c r="E1662" s="206"/>
      <c r="F1662" s="207"/>
      <c r="G1662" s="207"/>
      <c r="H1662" s="205"/>
      <c r="I1662" s="167">
        <v>709920000</v>
      </c>
      <c r="J1662" s="167">
        <v>162920000</v>
      </c>
      <c r="K1662" s="166"/>
      <c r="L1662" s="168">
        <v>547000000</v>
      </c>
      <c r="M1662" s="168">
        <f t="shared" si="161"/>
        <v>709920000</v>
      </c>
      <c r="N1662" s="168"/>
      <c r="O1662" s="167">
        <v>655110000</v>
      </c>
      <c r="P1662" s="167">
        <f t="shared" si="162"/>
        <v>655110000</v>
      </c>
      <c r="Q1662" s="167"/>
      <c r="S1662" s="201">
        <f t="shared" si="163"/>
        <v>709.92</v>
      </c>
      <c r="T1662" s="201">
        <f t="shared" si="164"/>
        <v>709.92</v>
      </c>
      <c r="U1662" s="201">
        <f t="shared" si="164"/>
        <v>0</v>
      </c>
      <c r="V1662" s="201">
        <f t="shared" si="164"/>
        <v>655.11</v>
      </c>
      <c r="W1662" s="201">
        <f t="shared" si="164"/>
        <v>655.11</v>
      </c>
      <c r="X1662" s="201">
        <f t="shared" si="164"/>
        <v>0</v>
      </c>
    </row>
    <row r="1663" spans="1:24" s="169" customFormat="1" ht="13.8">
      <c r="A1663" s="193"/>
      <c r="B1663" s="187"/>
      <c r="C1663" s="183" t="str">
        <f t="shared" si="159"/>
        <v/>
      </c>
      <c r="D1663" s="182" t="str">
        <f t="shared" si="160"/>
        <v/>
      </c>
      <c r="E1663" s="192" t="s">
        <v>681</v>
      </c>
      <c r="F1663" s="192" t="s">
        <v>698</v>
      </c>
      <c r="G1663" s="192" t="s">
        <v>727</v>
      </c>
      <c r="H1663" s="210" t="s">
        <v>1459</v>
      </c>
      <c r="I1663" s="167">
        <v>162920000</v>
      </c>
      <c r="J1663" s="167">
        <v>162920000</v>
      </c>
      <c r="K1663" s="166"/>
      <c r="L1663" s="171"/>
      <c r="M1663" s="168">
        <f t="shared" si="161"/>
        <v>162920000</v>
      </c>
      <c r="N1663" s="171"/>
      <c r="O1663" s="167">
        <v>162920000</v>
      </c>
      <c r="P1663" s="167">
        <f t="shared" si="162"/>
        <v>162920000</v>
      </c>
      <c r="Q1663" s="167"/>
      <c r="S1663" s="201">
        <f t="shared" si="163"/>
        <v>162.91999999999999</v>
      </c>
      <c r="T1663" s="201">
        <f t="shared" si="164"/>
        <v>162.91999999999999</v>
      </c>
      <c r="U1663" s="201">
        <f t="shared" si="164"/>
        <v>0</v>
      </c>
      <c r="V1663" s="201">
        <f t="shared" si="164"/>
        <v>162.91999999999999</v>
      </c>
      <c r="W1663" s="201">
        <f t="shared" si="164"/>
        <v>162.91999999999999</v>
      </c>
      <c r="X1663" s="201">
        <f t="shared" si="164"/>
        <v>0</v>
      </c>
    </row>
    <row r="1664" spans="1:24" s="169" customFormat="1" ht="13.8">
      <c r="A1664" s="195"/>
      <c r="B1664" s="188"/>
      <c r="C1664" s="183" t="str">
        <f t="shared" si="159"/>
        <v/>
      </c>
      <c r="D1664" s="182" t="str">
        <f t="shared" si="160"/>
        <v/>
      </c>
      <c r="E1664" s="192" t="s">
        <v>681</v>
      </c>
      <c r="F1664" s="192" t="s">
        <v>698</v>
      </c>
      <c r="G1664" s="192" t="s">
        <v>727</v>
      </c>
      <c r="H1664" s="210" t="s">
        <v>1454</v>
      </c>
      <c r="I1664" s="167">
        <v>547000000</v>
      </c>
      <c r="J1664" s="166"/>
      <c r="K1664" s="166"/>
      <c r="L1664" s="168">
        <v>547000000</v>
      </c>
      <c r="M1664" s="168">
        <f t="shared" si="161"/>
        <v>547000000</v>
      </c>
      <c r="N1664" s="168"/>
      <c r="O1664" s="167">
        <v>492190000</v>
      </c>
      <c r="P1664" s="167">
        <f t="shared" si="162"/>
        <v>492190000</v>
      </c>
      <c r="Q1664" s="167"/>
      <c r="S1664" s="201">
        <f t="shared" si="163"/>
        <v>547</v>
      </c>
      <c r="T1664" s="201">
        <f t="shared" si="164"/>
        <v>547</v>
      </c>
      <c r="U1664" s="201">
        <f t="shared" si="164"/>
        <v>0</v>
      </c>
      <c r="V1664" s="201">
        <f t="shared" si="164"/>
        <v>492.19</v>
      </c>
      <c r="W1664" s="201">
        <f t="shared" si="164"/>
        <v>492.19</v>
      </c>
      <c r="X1664" s="201">
        <f t="shared" si="164"/>
        <v>0</v>
      </c>
    </row>
    <row r="1665" spans="1:24" s="169" customFormat="1" ht="26.4">
      <c r="A1665" s="192" t="s">
        <v>1417</v>
      </c>
      <c r="B1665" s="165" t="s">
        <v>1418</v>
      </c>
      <c r="C1665" s="183" t="str">
        <f t="shared" si="159"/>
        <v>3017052</v>
      </c>
      <c r="D1665" s="182" t="str">
        <f t="shared" si="160"/>
        <v>-Ban đại diện Hội người cao :uỗi tỉnh Kon Tum</v>
      </c>
      <c r="E1665" s="206"/>
      <c r="F1665" s="207"/>
      <c r="G1665" s="207"/>
      <c r="H1665" s="205"/>
      <c r="I1665" s="167">
        <v>729700000</v>
      </c>
      <c r="J1665" s="166"/>
      <c r="K1665" s="167">
        <v>632000000</v>
      </c>
      <c r="L1665" s="168">
        <v>97700000</v>
      </c>
      <c r="M1665" s="168">
        <f t="shared" si="161"/>
        <v>729700000</v>
      </c>
      <c r="N1665" s="168"/>
      <c r="O1665" s="167">
        <v>729700000</v>
      </c>
      <c r="P1665" s="167">
        <f t="shared" si="162"/>
        <v>729700000</v>
      </c>
      <c r="Q1665" s="167"/>
      <c r="S1665" s="201">
        <f t="shared" si="163"/>
        <v>729.7</v>
      </c>
      <c r="T1665" s="201">
        <f t="shared" si="164"/>
        <v>729.7</v>
      </c>
      <c r="U1665" s="201">
        <f t="shared" si="164"/>
        <v>0</v>
      </c>
      <c r="V1665" s="201">
        <f t="shared" si="164"/>
        <v>729.7</v>
      </c>
      <c r="W1665" s="201">
        <f t="shared" si="164"/>
        <v>729.7</v>
      </c>
      <c r="X1665" s="201">
        <f t="shared" si="164"/>
        <v>0</v>
      </c>
    </row>
    <row r="1666" spans="1:24" s="169" customFormat="1" ht="13.8">
      <c r="A1666" s="192" t="s">
        <v>1419</v>
      </c>
      <c r="B1666" s="170" t="s">
        <v>675</v>
      </c>
      <c r="C1666" s="183" t="str">
        <f t="shared" si="159"/>
        <v/>
      </c>
      <c r="D1666" s="182" t="str">
        <f t="shared" si="160"/>
        <v/>
      </c>
      <c r="E1666" s="206"/>
      <c r="F1666" s="207"/>
      <c r="G1666" s="207"/>
      <c r="H1666" s="205"/>
      <c r="I1666" s="167">
        <v>729700000</v>
      </c>
      <c r="J1666" s="166"/>
      <c r="K1666" s="167">
        <v>632000000</v>
      </c>
      <c r="L1666" s="168">
        <v>97700000</v>
      </c>
      <c r="M1666" s="168">
        <f t="shared" si="161"/>
        <v>729700000</v>
      </c>
      <c r="N1666" s="168"/>
      <c r="O1666" s="167">
        <v>729700000</v>
      </c>
      <c r="P1666" s="167">
        <f t="shared" si="162"/>
        <v>729700000</v>
      </c>
      <c r="Q1666" s="167"/>
      <c r="S1666" s="201">
        <f t="shared" si="163"/>
        <v>729.7</v>
      </c>
      <c r="T1666" s="201">
        <f t="shared" si="164"/>
        <v>729.7</v>
      </c>
      <c r="U1666" s="201">
        <f t="shared" si="164"/>
        <v>0</v>
      </c>
      <c r="V1666" s="201">
        <f t="shared" si="164"/>
        <v>729.7</v>
      </c>
      <c r="W1666" s="201">
        <f t="shared" si="164"/>
        <v>729.7</v>
      </c>
      <c r="X1666" s="201">
        <f t="shared" si="164"/>
        <v>0</v>
      </c>
    </row>
    <row r="1667" spans="1:24" s="169" customFormat="1" ht="13.8">
      <c r="A1667" s="192"/>
      <c r="B1667" s="170" t="s">
        <v>680</v>
      </c>
      <c r="C1667" s="183" t="str">
        <f t="shared" si="159"/>
        <v/>
      </c>
      <c r="D1667" s="182" t="str">
        <f t="shared" si="160"/>
        <v/>
      </c>
      <c r="E1667" s="206"/>
      <c r="F1667" s="207"/>
      <c r="G1667" s="207"/>
      <c r="H1667" s="205"/>
      <c r="I1667" s="167">
        <v>729700000</v>
      </c>
      <c r="J1667" s="166"/>
      <c r="K1667" s="167">
        <v>632000000</v>
      </c>
      <c r="L1667" s="168">
        <v>97700000</v>
      </c>
      <c r="M1667" s="168">
        <f t="shared" si="161"/>
        <v>729700000</v>
      </c>
      <c r="N1667" s="168"/>
      <c r="O1667" s="167">
        <v>729700000</v>
      </c>
      <c r="P1667" s="167">
        <f t="shared" si="162"/>
        <v>729700000</v>
      </c>
      <c r="Q1667" s="167"/>
      <c r="S1667" s="201">
        <f t="shared" si="163"/>
        <v>729.7</v>
      </c>
      <c r="T1667" s="201">
        <f t="shared" si="164"/>
        <v>729.7</v>
      </c>
      <c r="U1667" s="201">
        <f t="shared" si="164"/>
        <v>0</v>
      </c>
      <c r="V1667" s="201">
        <f t="shared" si="164"/>
        <v>729.7</v>
      </c>
      <c r="W1667" s="201">
        <f t="shared" si="164"/>
        <v>729.7</v>
      </c>
      <c r="X1667" s="201">
        <f t="shared" si="164"/>
        <v>0</v>
      </c>
    </row>
    <row r="1668" spans="1:24" s="169" customFormat="1" ht="13.8">
      <c r="A1668" s="193"/>
      <c r="B1668" s="187"/>
      <c r="C1668" s="183" t="str">
        <f t="shared" si="159"/>
        <v/>
      </c>
      <c r="D1668" s="182" t="str">
        <f t="shared" si="160"/>
        <v/>
      </c>
      <c r="E1668" s="192" t="s">
        <v>681</v>
      </c>
      <c r="F1668" s="192" t="s">
        <v>1420</v>
      </c>
      <c r="G1668" s="192" t="s">
        <v>906</v>
      </c>
      <c r="H1668" s="210" t="s">
        <v>1440</v>
      </c>
      <c r="I1668" s="167">
        <v>727000000</v>
      </c>
      <c r="J1668" s="166"/>
      <c r="K1668" s="167">
        <v>632000000</v>
      </c>
      <c r="L1668" s="168">
        <v>95000000</v>
      </c>
      <c r="M1668" s="168">
        <f t="shared" si="161"/>
        <v>727000000</v>
      </c>
      <c r="N1668" s="168"/>
      <c r="O1668" s="167">
        <v>727000000</v>
      </c>
      <c r="P1668" s="167">
        <f t="shared" si="162"/>
        <v>727000000</v>
      </c>
      <c r="Q1668" s="167"/>
      <c r="S1668" s="201">
        <f t="shared" si="163"/>
        <v>727</v>
      </c>
      <c r="T1668" s="201">
        <f t="shared" si="164"/>
        <v>727</v>
      </c>
      <c r="U1668" s="201">
        <f t="shared" si="164"/>
        <v>0</v>
      </c>
      <c r="V1668" s="201">
        <f t="shared" si="164"/>
        <v>727</v>
      </c>
      <c r="W1668" s="201">
        <f t="shared" si="164"/>
        <v>727</v>
      </c>
      <c r="X1668" s="201">
        <f t="shared" si="164"/>
        <v>0</v>
      </c>
    </row>
    <row r="1669" spans="1:24" s="169" customFormat="1" ht="13.8">
      <c r="A1669" s="195"/>
      <c r="B1669" s="188"/>
      <c r="C1669" s="183" t="str">
        <f t="shared" si="159"/>
        <v/>
      </c>
      <c r="D1669" s="182" t="str">
        <f t="shared" si="160"/>
        <v/>
      </c>
      <c r="E1669" s="192" t="s">
        <v>679</v>
      </c>
      <c r="F1669" s="192" t="s">
        <v>1420</v>
      </c>
      <c r="G1669" s="192" t="s">
        <v>906</v>
      </c>
      <c r="H1669" s="210" t="s">
        <v>1440</v>
      </c>
      <c r="I1669" s="167">
        <v>2700000</v>
      </c>
      <c r="J1669" s="166"/>
      <c r="K1669" s="166"/>
      <c r="L1669" s="168">
        <v>2700000</v>
      </c>
      <c r="M1669" s="168">
        <f t="shared" si="161"/>
        <v>2700000</v>
      </c>
      <c r="N1669" s="168"/>
      <c r="O1669" s="167">
        <v>2700000</v>
      </c>
      <c r="P1669" s="167">
        <f t="shared" si="162"/>
        <v>2700000</v>
      </c>
      <c r="Q1669" s="167"/>
      <c r="S1669" s="201">
        <f t="shared" si="163"/>
        <v>2.7</v>
      </c>
      <c r="T1669" s="201">
        <f t="shared" si="164"/>
        <v>2.7</v>
      </c>
      <c r="U1669" s="201">
        <f t="shared" si="164"/>
        <v>0</v>
      </c>
      <c r="V1669" s="201">
        <f t="shared" si="164"/>
        <v>2.7</v>
      </c>
      <c r="W1669" s="201">
        <f t="shared" si="164"/>
        <v>2.7</v>
      </c>
      <c r="X1669" s="201">
        <f t="shared" si="164"/>
        <v>0</v>
      </c>
    </row>
    <row r="1670" spans="1:24" s="169" customFormat="1" ht="26.4">
      <c r="A1670" s="192" t="s">
        <v>1421</v>
      </c>
      <c r="B1670" s="165" t="s">
        <v>1422</v>
      </c>
      <c r="C1670" s="183" t="str">
        <f t="shared" si="159"/>
        <v>3019708</v>
      </c>
      <c r="D1670" s="182" t="str">
        <f t="shared" si="160"/>
        <v>-Phòng công chứng sổ 2 tỉnh &lt;on Tum</v>
      </c>
      <c r="E1670" s="206"/>
      <c r="F1670" s="207"/>
      <c r="G1670" s="207"/>
      <c r="H1670" s="205"/>
      <c r="I1670" s="167">
        <v>330500000</v>
      </c>
      <c r="J1670" s="166"/>
      <c r="K1670" s="167">
        <v>330500000</v>
      </c>
      <c r="L1670" s="171"/>
      <c r="M1670" s="168">
        <f t="shared" si="161"/>
        <v>330500000</v>
      </c>
      <c r="N1670" s="171"/>
      <c r="O1670" s="167">
        <v>330500000</v>
      </c>
      <c r="P1670" s="167">
        <f t="shared" si="162"/>
        <v>330500000</v>
      </c>
      <c r="Q1670" s="167"/>
      <c r="S1670" s="201">
        <f t="shared" si="163"/>
        <v>330.5</v>
      </c>
      <c r="T1670" s="201">
        <f t="shared" si="164"/>
        <v>330.5</v>
      </c>
      <c r="U1670" s="201">
        <f t="shared" si="164"/>
        <v>0</v>
      </c>
      <c r="V1670" s="201">
        <f t="shared" si="164"/>
        <v>330.5</v>
      </c>
      <c r="W1670" s="201">
        <f t="shared" si="164"/>
        <v>330.5</v>
      </c>
      <c r="X1670" s="201">
        <f t="shared" si="164"/>
        <v>0</v>
      </c>
    </row>
    <row r="1671" spans="1:24" s="169" customFormat="1" ht="13.8">
      <c r="A1671" s="192"/>
      <c r="B1671" s="173"/>
      <c r="C1671" s="183" t="str">
        <f t="shared" si="159"/>
        <v/>
      </c>
      <c r="D1671" s="182" t="str">
        <f t="shared" si="160"/>
        <v/>
      </c>
      <c r="E1671" s="192"/>
      <c r="F1671" s="192"/>
      <c r="G1671" s="192"/>
      <c r="H1671" s="210"/>
      <c r="I1671" s="174"/>
      <c r="J1671" s="174"/>
      <c r="K1671" s="174"/>
      <c r="L1671" s="175"/>
      <c r="M1671" s="168">
        <f t="shared" si="161"/>
        <v>0</v>
      </c>
      <c r="N1671" s="175"/>
      <c r="O1671" s="174"/>
      <c r="P1671" s="167">
        <f t="shared" si="162"/>
        <v>0</v>
      </c>
      <c r="Q1671" s="174"/>
      <c r="S1671" s="201">
        <f t="shared" si="163"/>
        <v>0</v>
      </c>
      <c r="T1671" s="201">
        <f t="shared" si="164"/>
        <v>0</v>
      </c>
      <c r="U1671" s="201">
        <f t="shared" si="164"/>
        <v>0</v>
      </c>
      <c r="V1671" s="201">
        <f t="shared" si="164"/>
        <v>0</v>
      </c>
      <c r="W1671" s="201">
        <f t="shared" si="164"/>
        <v>0</v>
      </c>
      <c r="X1671" s="201">
        <f t="shared" si="164"/>
        <v>0</v>
      </c>
    </row>
    <row r="1672" spans="1:24" s="169" customFormat="1" ht="13.8">
      <c r="A1672" s="192" t="s">
        <v>1423</v>
      </c>
      <c r="B1672" s="170" t="s">
        <v>689</v>
      </c>
      <c r="C1672" s="183" t="str">
        <f t="shared" si="159"/>
        <v/>
      </c>
      <c r="D1672" s="182" t="str">
        <f t="shared" si="160"/>
        <v/>
      </c>
      <c r="E1672" s="206"/>
      <c r="F1672" s="207"/>
      <c r="G1672" s="207"/>
      <c r="H1672" s="205"/>
      <c r="I1672" s="167">
        <v>330500000</v>
      </c>
      <c r="J1672" s="166"/>
      <c r="K1672" s="167">
        <v>330500000</v>
      </c>
      <c r="L1672" s="171"/>
      <c r="M1672" s="168">
        <f t="shared" si="161"/>
        <v>330500000</v>
      </c>
      <c r="N1672" s="171"/>
      <c r="O1672" s="167">
        <v>330500000</v>
      </c>
      <c r="P1672" s="167">
        <f t="shared" si="162"/>
        <v>330500000</v>
      </c>
      <c r="Q1672" s="167"/>
      <c r="S1672" s="201">
        <f t="shared" si="163"/>
        <v>330.5</v>
      </c>
      <c r="T1672" s="201">
        <f t="shared" si="164"/>
        <v>330.5</v>
      </c>
      <c r="U1672" s="201">
        <f t="shared" si="164"/>
        <v>0</v>
      </c>
      <c r="V1672" s="201">
        <f t="shared" si="164"/>
        <v>330.5</v>
      </c>
      <c r="W1672" s="201">
        <f t="shared" si="164"/>
        <v>330.5</v>
      </c>
      <c r="X1672" s="201">
        <f t="shared" si="164"/>
        <v>0</v>
      </c>
    </row>
    <row r="1673" spans="1:24" s="169" customFormat="1" ht="13.8">
      <c r="A1673" s="192"/>
      <c r="B1673" s="170" t="s">
        <v>690</v>
      </c>
      <c r="C1673" s="183" t="str">
        <f t="shared" si="159"/>
        <v/>
      </c>
      <c r="D1673" s="182" t="str">
        <f t="shared" si="160"/>
        <v/>
      </c>
      <c r="E1673" s="206"/>
      <c r="F1673" s="207"/>
      <c r="G1673" s="207"/>
      <c r="H1673" s="205"/>
      <c r="I1673" s="167">
        <v>270500000</v>
      </c>
      <c r="J1673" s="166"/>
      <c r="K1673" s="167">
        <v>270500000</v>
      </c>
      <c r="L1673" s="171"/>
      <c r="M1673" s="168">
        <f t="shared" si="161"/>
        <v>270500000</v>
      </c>
      <c r="N1673" s="171"/>
      <c r="O1673" s="167">
        <v>270500000</v>
      </c>
      <c r="P1673" s="167">
        <f t="shared" si="162"/>
        <v>270500000</v>
      </c>
      <c r="Q1673" s="167"/>
      <c r="S1673" s="201">
        <f t="shared" si="163"/>
        <v>270.5</v>
      </c>
      <c r="T1673" s="201">
        <f t="shared" si="164"/>
        <v>270.5</v>
      </c>
      <c r="U1673" s="201">
        <f t="shared" si="164"/>
        <v>0</v>
      </c>
      <c r="V1673" s="201">
        <f t="shared" si="164"/>
        <v>270.5</v>
      </c>
      <c r="W1673" s="201">
        <f t="shared" si="164"/>
        <v>270.5</v>
      </c>
      <c r="X1673" s="201">
        <f t="shared" si="164"/>
        <v>0</v>
      </c>
    </row>
    <row r="1674" spans="1:24" s="169" customFormat="1" ht="13.8">
      <c r="A1674" s="192"/>
      <c r="B1674" s="164"/>
      <c r="C1674" s="183" t="str">
        <f t="shared" si="159"/>
        <v/>
      </c>
      <c r="D1674" s="182" t="str">
        <f t="shared" si="160"/>
        <v/>
      </c>
      <c r="E1674" s="192" t="s">
        <v>666</v>
      </c>
      <c r="F1674" s="192" t="s">
        <v>854</v>
      </c>
      <c r="G1674" s="192" t="s">
        <v>855</v>
      </c>
      <c r="H1674" s="210" t="s">
        <v>1440</v>
      </c>
      <c r="I1674" s="167">
        <v>270500000</v>
      </c>
      <c r="J1674" s="166"/>
      <c r="K1674" s="167">
        <v>270500000</v>
      </c>
      <c r="L1674" s="171"/>
      <c r="M1674" s="168">
        <f t="shared" si="161"/>
        <v>270500000</v>
      </c>
      <c r="N1674" s="171"/>
      <c r="O1674" s="167">
        <v>270500000</v>
      </c>
      <c r="P1674" s="167">
        <f t="shared" si="162"/>
        <v>270500000</v>
      </c>
      <c r="Q1674" s="167"/>
      <c r="S1674" s="201">
        <f t="shared" si="163"/>
        <v>270.5</v>
      </c>
      <c r="T1674" s="201">
        <f t="shared" si="164"/>
        <v>270.5</v>
      </c>
      <c r="U1674" s="201">
        <f t="shared" si="164"/>
        <v>0</v>
      </c>
      <c r="V1674" s="201">
        <f t="shared" si="164"/>
        <v>270.5</v>
      </c>
      <c r="W1674" s="201">
        <f t="shared" si="164"/>
        <v>270.5</v>
      </c>
      <c r="X1674" s="201">
        <f t="shared" si="164"/>
        <v>0</v>
      </c>
    </row>
    <row r="1675" spans="1:24" s="169" customFormat="1" ht="13.8">
      <c r="A1675" s="192"/>
      <c r="B1675" s="170" t="s">
        <v>686</v>
      </c>
      <c r="C1675" s="183" t="str">
        <f t="shared" si="159"/>
        <v/>
      </c>
      <c r="D1675" s="182" t="str">
        <f t="shared" si="160"/>
        <v/>
      </c>
      <c r="E1675" s="206"/>
      <c r="F1675" s="207"/>
      <c r="G1675" s="207"/>
      <c r="H1675" s="205"/>
      <c r="I1675" s="167">
        <v>60000000</v>
      </c>
      <c r="J1675" s="166"/>
      <c r="K1675" s="167">
        <v>60000000</v>
      </c>
      <c r="L1675" s="171"/>
      <c r="M1675" s="168">
        <f t="shared" si="161"/>
        <v>60000000</v>
      </c>
      <c r="N1675" s="171"/>
      <c r="O1675" s="167">
        <v>60000000</v>
      </c>
      <c r="P1675" s="167">
        <f t="shared" si="162"/>
        <v>60000000</v>
      </c>
      <c r="Q1675" s="167"/>
      <c r="S1675" s="201">
        <f t="shared" si="163"/>
        <v>60</v>
      </c>
      <c r="T1675" s="201">
        <f t="shared" si="164"/>
        <v>60</v>
      </c>
      <c r="U1675" s="201">
        <f t="shared" si="164"/>
        <v>0</v>
      </c>
      <c r="V1675" s="201">
        <f t="shared" si="164"/>
        <v>60</v>
      </c>
      <c r="W1675" s="201">
        <f t="shared" si="164"/>
        <v>60</v>
      </c>
      <c r="X1675" s="201">
        <f t="shared" si="164"/>
        <v>0</v>
      </c>
    </row>
    <row r="1676" spans="1:24" s="169" customFormat="1" ht="13.8">
      <c r="A1676" s="192"/>
      <c r="B1676" s="164"/>
      <c r="C1676" s="183" t="str">
        <f t="shared" si="159"/>
        <v/>
      </c>
      <c r="D1676" s="182" t="str">
        <f t="shared" si="160"/>
        <v/>
      </c>
      <c r="E1676" s="192" t="s">
        <v>681</v>
      </c>
      <c r="F1676" s="192" t="s">
        <v>854</v>
      </c>
      <c r="G1676" s="192" t="s">
        <v>855</v>
      </c>
      <c r="H1676" s="210" t="s">
        <v>1440</v>
      </c>
      <c r="I1676" s="167">
        <v>60000000</v>
      </c>
      <c r="J1676" s="166"/>
      <c r="K1676" s="167">
        <v>60000000</v>
      </c>
      <c r="L1676" s="171"/>
      <c r="M1676" s="168">
        <f t="shared" si="161"/>
        <v>60000000</v>
      </c>
      <c r="N1676" s="171"/>
      <c r="O1676" s="167">
        <v>60000000</v>
      </c>
      <c r="P1676" s="167">
        <f t="shared" si="162"/>
        <v>60000000</v>
      </c>
      <c r="Q1676" s="167"/>
      <c r="S1676" s="201">
        <f t="shared" si="163"/>
        <v>60</v>
      </c>
      <c r="T1676" s="201">
        <f t="shared" si="164"/>
        <v>60</v>
      </c>
      <c r="U1676" s="201">
        <f t="shared" si="164"/>
        <v>0</v>
      </c>
      <c r="V1676" s="201">
        <f t="shared" si="164"/>
        <v>60</v>
      </c>
      <c r="W1676" s="201">
        <f t="shared" si="164"/>
        <v>60</v>
      </c>
      <c r="X1676" s="201">
        <f t="shared" si="164"/>
        <v>0</v>
      </c>
    </row>
    <row r="1677" spans="1:24" s="169" customFormat="1" ht="41.4">
      <c r="A1677" s="192" t="s">
        <v>1424</v>
      </c>
      <c r="B1677" s="165" t="s">
        <v>1425</v>
      </c>
      <c r="C1677" s="183" t="str">
        <f t="shared" si="159"/>
        <v>3023385</v>
      </c>
      <c r="D1677" s="182" t="str">
        <f t="shared" si="160"/>
        <v>-Ban quản lý dự án "Chăm sốc sức khòe nhân dân các tỉnh Tây Nguyên giai đoạn 2" tỉnh Kon Tum.</v>
      </c>
      <c r="E1677" s="206"/>
      <c r="F1677" s="207"/>
      <c r="G1677" s="207"/>
      <c r="H1677" s="205"/>
      <c r="I1677" s="167">
        <v>700000000</v>
      </c>
      <c r="J1677" s="166"/>
      <c r="K1677" s="167">
        <v>700000000</v>
      </c>
      <c r="L1677" s="171"/>
      <c r="M1677" s="168">
        <f t="shared" si="161"/>
        <v>700000000</v>
      </c>
      <c r="N1677" s="171"/>
      <c r="O1677" s="167">
        <v>700000000</v>
      </c>
      <c r="P1677" s="167">
        <f t="shared" si="162"/>
        <v>700000000</v>
      </c>
      <c r="Q1677" s="167"/>
      <c r="S1677" s="201">
        <f t="shared" si="163"/>
        <v>700</v>
      </c>
      <c r="T1677" s="201">
        <f t="shared" si="164"/>
        <v>700</v>
      </c>
      <c r="U1677" s="201">
        <f t="shared" si="164"/>
        <v>0</v>
      </c>
      <c r="V1677" s="201">
        <f t="shared" si="164"/>
        <v>700</v>
      </c>
      <c r="W1677" s="201">
        <f t="shared" si="164"/>
        <v>700</v>
      </c>
      <c r="X1677" s="201">
        <f t="shared" si="164"/>
        <v>0</v>
      </c>
    </row>
    <row r="1678" spans="1:24" s="169" customFormat="1" ht="13.8">
      <c r="A1678" s="192" t="s">
        <v>1426</v>
      </c>
      <c r="B1678" s="170" t="s">
        <v>689</v>
      </c>
      <c r="C1678" s="183" t="str">
        <f t="shared" si="159"/>
        <v/>
      </c>
      <c r="D1678" s="182" t="str">
        <f t="shared" si="160"/>
        <v/>
      </c>
      <c r="E1678" s="206"/>
      <c r="F1678" s="207"/>
      <c r="G1678" s="207"/>
      <c r="H1678" s="205"/>
      <c r="I1678" s="167">
        <v>700000000</v>
      </c>
      <c r="J1678" s="166"/>
      <c r="K1678" s="167">
        <v>700000000</v>
      </c>
      <c r="L1678" s="171"/>
      <c r="M1678" s="168">
        <f t="shared" si="161"/>
        <v>700000000</v>
      </c>
      <c r="N1678" s="171"/>
      <c r="O1678" s="167">
        <v>700000000</v>
      </c>
      <c r="P1678" s="167">
        <f t="shared" si="162"/>
        <v>700000000</v>
      </c>
      <c r="Q1678" s="167"/>
      <c r="S1678" s="201">
        <f t="shared" si="163"/>
        <v>700</v>
      </c>
      <c r="T1678" s="201">
        <f t="shared" si="164"/>
        <v>700</v>
      </c>
      <c r="U1678" s="201">
        <f t="shared" si="164"/>
        <v>0</v>
      </c>
      <c r="V1678" s="201">
        <f t="shared" si="164"/>
        <v>700</v>
      </c>
      <c r="W1678" s="201">
        <f t="shared" si="164"/>
        <v>700</v>
      </c>
      <c r="X1678" s="201">
        <f t="shared" si="164"/>
        <v>0</v>
      </c>
    </row>
    <row r="1679" spans="1:24" s="169" customFormat="1" ht="13.8">
      <c r="A1679" s="192"/>
      <c r="B1679" s="170" t="s">
        <v>686</v>
      </c>
      <c r="C1679" s="183" t="str">
        <f t="shared" si="159"/>
        <v/>
      </c>
      <c r="D1679" s="182" t="str">
        <f t="shared" si="160"/>
        <v/>
      </c>
      <c r="E1679" s="206"/>
      <c r="F1679" s="207"/>
      <c r="G1679" s="207"/>
      <c r="H1679" s="205"/>
      <c r="I1679" s="167">
        <v>700000000</v>
      </c>
      <c r="J1679" s="166"/>
      <c r="K1679" s="167">
        <v>700000000</v>
      </c>
      <c r="L1679" s="171"/>
      <c r="M1679" s="168">
        <f t="shared" si="161"/>
        <v>700000000</v>
      </c>
      <c r="N1679" s="171"/>
      <c r="O1679" s="167">
        <v>700000000</v>
      </c>
      <c r="P1679" s="167">
        <f t="shared" si="162"/>
        <v>700000000</v>
      </c>
      <c r="Q1679" s="167"/>
      <c r="S1679" s="201">
        <f t="shared" si="163"/>
        <v>700</v>
      </c>
      <c r="T1679" s="201">
        <f t="shared" si="164"/>
        <v>700</v>
      </c>
      <c r="U1679" s="201">
        <f t="shared" si="164"/>
        <v>0</v>
      </c>
      <c r="V1679" s="201">
        <f t="shared" si="164"/>
        <v>700</v>
      </c>
      <c r="W1679" s="201">
        <f t="shared" si="164"/>
        <v>700</v>
      </c>
      <c r="X1679" s="201">
        <f t="shared" si="164"/>
        <v>0</v>
      </c>
    </row>
    <row r="1680" spans="1:24" s="169" customFormat="1" ht="13.8">
      <c r="A1680" s="192"/>
      <c r="B1680" s="164"/>
      <c r="C1680" s="183" t="str">
        <f t="shared" si="159"/>
        <v/>
      </c>
      <c r="D1680" s="182" t="str">
        <f t="shared" si="160"/>
        <v/>
      </c>
      <c r="E1680" s="192" t="s">
        <v>681</v>
      </c>
      <c r="F1680" s="192" t="s">
        <v>705</v>
      </c>
      <c r="G1680" s="192" t="s">
        <v>706</v>
      </c>
      <c r="H1680" s="210" t="s">
        <v>1440</v>
      </c>
      <c r="I1680" s="167">
        <v>700000000</v>
      </c>
      <c r="J1680" s="166"/>
      <c r="K1680" s="167">
        <v>700000000</v>
      </c>
      <c r="L1680" s="171"/>
      <c r="M1680" s="168">
        <f t="shared" si="161"/>
        <v>700000000</v>
      </c>
      <c r="N1680" s="171"/>
      <c r="O1680" s="167">
        <v>700000000</v>
      </c>
      <c r="P1680" s="167">
        <f t="shared" si="162"/>
        <v>700000000</v>
      </c>
      <c r="Q1680" s="167"/>
      <c r="S1680" s="201">
        <f t="shared" si="163"/>
        <v>700</v>
      </c>
      <c r="T1680" s="201">
        <f t="shared" si="164"/>
        <v>700</v>
      </c>
      <c r="U1680" s="201">
        <f t="shared" si="164"/>
        <v>0</v>
      </c>
      <c r="V1680" s="201">
        <f t="shared" si="164"/>
        <v>700</v>
      </c>
      <c r="W1680" s="201">
        <f t="shared" si="164"/>
        <v>700</v>
      </c>
      <c r="X1680" s="201">
        <f t="shared" si="164"/>
        <v>0</v>
      </c>
    </row>
    <row r="1681" spans="1:24" s="169" customFormat="1" ht="39.6">
      <c r="A1681" s="192" t="s">
        <v>1427</v>
      </c>
      <c r="B1681" s="165" t="s">
        <v>1428</v>
      </c>
      <c r="C1681" s="183" t="str">
        <f t="shared" si="159"/>
        <v>3024159</v>
      </c>
      <c r="D1681" s="182" t="str">
        <f t="shared" si="160"/>
        <v>-Hội truyỄn thống Trường Sơn Đường HS Chí Minh tỉnh Kon Tum</v>
      </c>
      <c r="E1681" s="206"/>
      <c r="F1681" s="207"/>
      <c r="G1681" s="207"/>
      <c r="H1681" s="205"/>
      <c r="I1681" s="167">
        <v>20000000</v>
      </c>
      <c r="J1681" s="166"/>
      <c r="K1681" s="166"/>
      <c r="L1681" s="168">
        <v>20000000</v>
      </c>
      <c r="M1681" s="168">
        <f t="shared" si="161"/>
        <v>20000000</v>
      </c>
      <c r="N1681" s="168"/>
      <c r="O1681" s="167">
        <v>20000000</v>
      </c>
      <c r="P1681" s="167">
        <f t="shared" si="162"/>
        <v>20000000</v>
      </c>
      <c r="Q1681" s="167"/>
      <c r="S1681" s="201">
        <f t="shared" si="163"/>
        <v>20</v>
      </c>
      <c r="T1681" s="201">
        <f t="shared" si="164"/>
        <v>20</v>
      </c>
      <c r="U1681" s="201">
        <f t="shared" si="164"/>
        <v>0</v>
      </c>
      <c r="V1681" s="201">
        <f t="shared" si="164"/>
        <v>20</v>
      </c>
      <c r="W1681" s="201">
        <f t="shared" si="164"/>
        <v>20</v>
      </c>
      <c r="X1681" s="201">
        <f t="shared" si="164"/>
        <v>0</v>
      </c>
    </row>
    <row r="1682" spans="1:24" s="169" customFormat="1" ht="13.8">
      <c r="A1682" s="192" t="s">
        <v>1429</v>
      </c>
      <c r="B1682" s="170" t="s">
        <v>689</v>
      </c>
      <c r="C1682" s="183" t="str">
        <f t="shared" si="159"/>
        <v/>
      </c>
      <c r="D1682" s="182" t="str">
        <f t="shared" si="160"/>
        <v/>
      </c>
      <c r="E1682" s="206"/>
      <c r="F1682" s="207"/>
      <c r="G1682" s="207"/>
      <c r="H1682" s="205"/>
      <c r="I1682" s="167">
        <v>20000000</v>
      </c>
      <c r="J1682" s="166"/>
      <c r="K1682" s="166"/>
      <c r="L1682" s="168">
        <v>20000000</v>
      </c>
      <c r="M1682" s="168">
        <f t="shared" si="161"/>
        <v>20000000</v>
      </c>
      <c r="N1682" s="168"/>
      <c r="O1682" s="167">
        <v>20000000</v>
      </c>
      <c r="P1682" s="167">
        <f t="shared" si="162"/>
        <v>20000000</v>
      </c>
      <c r="Q1682" s="167"/>
      <c r="S1682" s="201">
        <f t="shared" si="163"/>
        <v>20</v>
      </c>
      <c r="T1682" s="201">
        <f t="shared" si="164"/>
        <v>20</v>
      </c>
      <c r="U1682" s="201">
        <f t="shared" si="164"/>
        <v>0</v>
      </c>
      <c r="V1682" s="201">
        <f t="shared" si="164"/>
        <v>20</v>
      </c>
      <c r="W1682" s="201">
        <f t="shared" si="164"/>
        <v>20</v>
      </c>
      <c r="X1682" s="201">
        <f t="shared" si="164"/>
        <v>0</v>
      </c>
    </row>
    <row r="1683" spans="1:24" s="169" customFormat="1" ht="13.8">
      <c r="A1683" s="192"/>
      <c r="B1683" s="170" t="s">
        <v>686</v>
      </c>
      <c r="C1683" s="183" t="str">
        <f t="shared" si="159"/>
        <v/>
      </c>
      <c r="D1683" s="182" t="str">
        <f t="shared" si="160"/>
        <v/>
      </c>
      <c r="E1683" s="206"/>
      <c r="F1683" s="207"/>
      <c r="G1683" s="207"/>
      <c r="H1683" s="205"/>
      <c r="I1683" s="167">
        <v>20000000</v>
      </c>
      <c r="J1683" s="166"/>
      <c r="K1683" s="166"/>
      <c r="L1683" s="168">
        <v>20000000</v>
      </c>
      <c r="M1683" s="168">
        <f t="shared" si="161"/>
        <v>20000000</v>
      </c>
      <c r="N1683" s="168"/>
      <c r="O1683" s="167">
        <v>20000000</v>
      </c>
      <c r="P1683" s="167">
        <f t="shared" si="162"/>
        <v>20000000</v>
      </c>
      <c r="Q1683" s="167"/>
      <c r="S1683" s="201">
        <f t="shared" si="163"/>
        <v>20</v>
      </c>
      <c r="T1683" s="201">
        <f t="shared" si="164"/>
        <v>20</v>
      </c>
      <c r="U1683" s="201">
        <f t="shared" si="164"/>
        <v>0</v>
      </c>
      <c r="V1683" s="201">
        <f t="shared" si="164"/>
        <v>20</v>
      </c>
      <c r="W1683" s="201">
        <f t="shared" si="164"/>
        <v>20</v>
      </c>
      <c r="X1683" s="201">
        <f t="shared" si="164"/>
        <v>0</v>
      </c>
    </row>
    <row r="1684" spans="1:24" s="169" customFormat="1" ht="13.8">
      <c r="A1684" s="192"/>
      <c r="B1684" s="164"/>
      <c r="C1684" s="183" t="str">
        <f t="shared" si="159"/>
        <v/>
      </c>
      <c r="D1684" s="182" t="str">
        <f t="shared" si="160"/>
        <v/>
      </c>
      <c r="E1684" s="192" t="s">
        <v>681</v>
      </c>
      <c r="F1684" s="192" t="s">
        <v>760</v>
      </c>
      <c r="G1684" s="192" t="s">
        <v>906</v>
      </c>
      <c r="H1684" s="210" t="s">
        <v>1440</v>
      </c>
      <c r="I1684" s="167">
        <v>20000000</v>
      </c>
      <c r="J1684" s="166"/>
      <c r="K1684" s="166"/>
      <c r="L1684" s="168">
        <v>20000000</v>
      </c>
      <c r="M1684" s="168">
        <f t="shared" si="161"/>
        <v>20000000</v>
      </c>
      <c r="N1684" s="168"/>
      <c r="O1684" s="167">
        <v>20000000</v>
      </c>
      <c r="P1684" s="167">
        <f t="shared" si="162"/>
        <v>20000000</v>
      </c>
      <c r="Q1684" s="167"/>
      <c r="S1684" s="201">
        <f t="shared" si="163"/>
        <v>20</v>
      </c>
      <c r="T1684" s="201">
        <f t="shared" si="164"/>
        <v>20</v>
      </c>
      <c r="U1684" s="201">
        <f t="shared" si="164"/>
        <v>0</v>
      </c>
      <c r="V1684" s="201">
        <f t="shared" si="164"/>
        <v>20</v>
      </c>
      <c r="W1684" s="201">
        <f t="shared" si="164"/>
        <v>20</v>
      </c>
      <c r="X1684" s="201">
        <f t="shared" si="164"/>
        <v>0</v>
      </c>
    </row>
    <row r="1685" spans="1:24" s="169" customFormat="1" ht="39.6">
      <c r="A1685" s="192" t="s">
        <v>1430</v>
      </c>
      <c r="B1685" s="165" t="s">
        <v>1431</v>
      </c>
      <c r="C1685" s="183" t="str">
        <f t="shared" si="159"/>
        <v>3027473</v>
      </c>
      <c r="D1685" s="182" t="str">
        <f t="shared" si="160"/>
        <v>-Ban quản lý dự án "An ninh y tẽ khu vực tiều vùng Mê Công mở rộng" tỉnh Kon Tum</v>
      </c>
      <c r="E1685" s="206"/>
      <c r="F1685" s="207"/>
      <c r="G1685" s="207"/>
      <c r="H1685" s="205"/>
      <c r="I1685" s="167">
        <v>130000000</v>
      </c>
      <c r="J1685" s="166"/>
      <c r="K1685" s="167">
        <v>130000000</v>
      </c>
      <c r="L1685" s="171"/>
      <c r="M1685" s="168">
        <f t="shared" si="161"/>
        <v>130000000</v>
      </c>
      <c r="N1685" s="171"/>
      <c r="O1685" s="167">
        <v>130000000</v>
      </c>
      <c r="P1685" s="167">
        <f t="shared" si="162"/>
        <v>130000000</v>
      </c>
      <c r="Q1685" s="167"/>
      <c r="S1685" s="201">
        <f t="shared" si="163"/>
        <v>130</v>
      </c>
      <c r="T1685" s="201">
        <f t="shared" si="164"/>
        <v>130</v>
      </c>
      <c r="U1685" s="201">
        <f t="shared" si="164"/>
        <v>0</v>
      </c>
      <c r="V1685" s="201">
        <f t="shared" si="164"/>
        <v>130</v>
      </c>
      <c r="W1685" s="201">
        <f t="shared" si="164"/>
        <v>130</v>
      </c>
      <c r="X1685" s="201">
        <f t="shared" si="164"/>
        <v>0</v>
      </c>
    </row>
    <row r="1686" spans="1:24" s="169" customFormat="1" ht="13.8">
      <c r="A1686" s="192" t="s">
        <v>1432</v>
      </c>
      <c r="B1686" s="170" t="s">
        <v>689</v>
      </c>
      <c r="C1686" s="183" t="str">
        <f t="shared" ref="C1686:C1688" si="165">IF(B1686&lt;&gt;"",IF(AND(LEFT(B1686,1)&gt;="0",LEFT(B1686,1)&lt;="9"),LEFT(B1686,7),""),"")</f>
        <v/>
      </c>
      <c r="D1686" s="182" t="str">
        <f t="shared" si="160"/>
        <v/>
      </c>
      <c r="E1686" s="206"/>
      <c r="F1686" s="207"/>
      <c r="G1686" s="207"/>
      <c r="H1686" s="205"/>
      <c r="I1686" s="167">
        <v>130000000</v>
      </c>
      <c r="J1686" s="166"/>
      <c r="K1686" s="167">
        <v>130000000</v>
      </c>
      <c r="L1686" s="171"/>
      <c r="M1686" s="168">
        <f t="shared" si="161"/>
        <v>130000000</v>
      </c>
      <c r="N1686" s="171"/>
      <c r="O1686" s="167">
        <v>130000000</v>
      </c>
      <c r="P1686" s="167">
        <f t="shared" si="162"/>
        <v>130000000</v>
      </c>
      <c r="Q1686" s="167"/>
      <c r="S1686" s="201">
        <f t="shared" si="163"/>
        <v>130</v>
      </c>
      <c r="T1686" s="201">
        <f t="shared" si="164"/>
        <v>130</v>
      </c>
      <c r="U1686" s="201">
        <f t="shared" si="164"/>
        <v>0</v>
      </c>
      <c r="V1686" s="201">
        <f t="shared" si="164"/>
        <v>130</v>
      </c>
      <c r="W1686" s="201">
        <f t="shared" si="164"/>
        <v>130</v>
      </c>
      <c r="X1686" s="201">
        <f t="shared" si="164"/>
        <v>0</v>
      </c>
    </row>
    <row r="1687" spans="1:24" s="169" customFormat="1" ht="13.8">
      <c r="A1687" s="192"/>
      <c r="B1687" s="170" t="s">
        <v>686</v>
      </c>
      <c r="C1687" s="183" t="str">
        <f t="shared" si="165"/>
        <v/>
      </c>
      <c r="D1687" s="182" t="str">
        <f t="shared" ref="D1687:D1688" si="166">IF(C1687&lt;&gt;"",RIGHT(B1687,LEN(B1687)-7),"")</f>
        <v/>
      </c>
      <c r="E1687" s="206"/>
      <c r="F1687" s="207"/>
      <c r="G1687" s="207"/>
      <c r="H1687" s="205"/>
      <c r="I1687" s="167">
        <v>130000000</v>
      </c>
      <c r="J1687" s="166"/>
      <c r="K1687" s="167">
        <v>130000000</v>
      </c>
      <c r="L1687" s="171"/>
      <c r="M1687" s="168">
        <f t="shared" ref="M1687:M1688" si="167">I1687-N1687</f>
        <v>130000000</v>
      </c>
      <c r="N1687" s="171"/>
      <c r="O1687" s="167">
        <v>130000000</v>
      </c>
      <c r="P1687" s="167">
        <f t="shared" ref="P1687:P1688" si="168">O1687-Q1687</f>
        <v>130000000</v>
      </c>
      <c r="Q1687" s="167"/>
      <c r="S1687" s="201">
        <f t="shared" ref="S1687:S1688" si="169">I1687/1000000</f>
        <v>130</v>
      </c>
      <c r="T1687" s="201">
        <f t="shared" si="164"/>
        <v>130</v>
      </c>
      <c r="U1687" s="201">
        <f t="shared" si="164"/>
        <v>0</v>
      </c>
      <c r="V1687" s="201">
        <f t="shared" si="164"/>
        <v>130</v>
      </c>
      <c r="W1687" s="201">
        <f t="shared" si="164"/>
        <v>130</v>
      </c>
      <c r="X1687" s="201">
        <f t="shared" si="164"/>
        <v>0</v>
      </c>
    </row>
    <row r="1688" spans="1:24" s="169" customFormat="1" ht="13.8">
      <c r="A1688" s="196"/>
      <c r="B1688" s="177"/>
      <c r="C1688" s="183" t="str">
        <f t="shared" si="165"/>
        <v/>
      </c>
      <c r="D1688" s="182" t="str">
        <f t="shared" si="166"/>
        <v/>
      </c>
      <c r="E1688" s="196" t="s">
        <v>681</v>
      </c>
      <c r="F1688" s="196" t="s">
        <v>705</v>
      </c>
      <c r="G1688" s="196" t="s">
        <v>706</v>
      </c>
      <c r="H1688" s="212" t="s">
        <v>1440</v>
      </c>
      <c r="I1688" s="178">
        <v>130000000</v>
      </c>
      <c r="J1688" s="179"/>
      <c r="K1688" s="178">
        <v>130000000</v>
      </c>
      <c r="L1688" s="180"/>
      <c r="M1688" s="168">
        <f t="shared" si="167"/>
        <v>130000000</v>
      </c>
      <c r="N1688" s="180"/>
      <c r="O1688" s="178">
        <v>130000000</v>
      </c>
      <c r="P1688" s="167">
        <f t="shared" si="168"/>
        <v>130000000</v>
      </c>
      <c r="Q1688" s="178"/>
      <c r="S1688" s="201">
        <f t="shared" si="169"/>
        <v>130</v>
      </c>
      <c r="T1688" s="201">
        <f t="shared" si="164"/>
        <v>130</v>
      </c>
      <c r="U1688" s="201">
        <f t="shared" si="164"/>
        <v>0</v>
      </c>
      <c r="V1688" s="201">
        <f t="shared" si="164"/>
        <v>130</v>
      </c>
      <c r="W1688" s="201">
        <f t="shared" si="164"/>
        <v>130</v>
      </c>
      <c r="X1688" s="201">
        <f t="shared" si="164"/>
        <v>0</v>
      </c>
    </row>
  </sheetData>
  <mergeCells count="30">
    <mergeCell ref="F14:F17"/>
    <mergeCell ref="A14:A17"/>
    <mergeCell ref="B14:B17"/>
    <mergeCell ref="C14:C17"/>
    <mergeCell ref="D14:D17"/>
    <mergeCell ref="E14:E17"/>
    <mergeCell ref="G14:G17"/>
    <mergeCell ref="H14:H17"/>
    <mergeCell ref="I14:N14"/>
    <mergeCell ref="O14:O17"/>
    <mergeCell ref="P14:Q14"/>
    <mergeCell ref="I15:I17"/>
    <mergeCell ref="J15:L15"/>
    <mergeCell ref="M15:N15"/>
    <mergeCell ref="P15:P17"/>
    <mergeCell ref="Q15:Q17"/>
    <mergeCell ref="X15:X17"/>
    <mergeCell ref="J16:J17"/>
    <mergeCell ref="K16:K17"/>
    <mergeCell ref="L16:L17"/>
    <mergeCell ref="M16:M17"/>
    <mergeCell ref="N16:N17"/>
    <mergeCell ref="T16:T17"/>
    <mergeCell ref="U16:U17"/>
    <mergeCell ref="V14:V17"/>
    <mergeCell ref="W14:X14"/>
    <mergeCell ref="S15:S17"/>
    <mergeCell ref="T15:U15"/>
    <mergeCell ref="W15:W17"/>
    <mergeCell ref="S14:U14"/>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11"/>
  <sheetViews>
    <sheetView workbookViewId="0">
      <pane xSplit="2" ySplit="8" topLeftCell="C9" activePane="bottomRight" state="frozen"/>
      <selection activeCell="H101" sqref="H101:K101"/>
      <selection pane="topRight" activeCell="H101" sqref="H101:K101"/>
      <selection pane="bottomLeft" activeCell="H101" sqref="H101:K101"/>
      <selection pane="bottomRight" activeCell="H101" sqref="H101:K101"/>
    </sheetView>
  </sheetViews>
  <sheetFormatPr defaultColWidth="9.109375" defaultRowHeight="13.8" outlineLevelRow="2" outlineLevelCol="1"/>
  <cols>
    <col min="1" max="1" width="6.33203125" style="39" customWidth="1"/>
    <col min="2" max="2" width="42.5546875" style="39" customWidth="1"/>
    <col min="3" max="4" width="12.109375" style="39" customWidth="1"/>
    <col min="5" max="5" width="12.44140625" style="435" customWidth="1"/>
    <col min="6" max="6" width="12.44140625" style="435" customWidth="1" outlineLevel="1"/>
    <col min="7" max="7" width="16.33203125" style="39" customWidth="1"/>
    <col min="8" max="8" width="11.5546875" style="39" customWidth="1"/>
    <col min="9" max="9" width="11.33203125" style="39" customWidth="1"/>
    <col min="10" max="10" width="10.44140625" style="39" customWidth="1"/>
    <col min="11" max="11" width="11.33203125" style="39" customWidth="1"/>
    <col min="12" max="12" width="10.6640625" style="39" customWidth="1"/>
    <col min="13" max="13" width="9.44140625" style="39" bestFit="1" customWidth="1"/>
    <col min="14" max="14" width="12.6640625" style="39" customWidth="1"/>
    <col min="15" max="16384" width="9.109375" style="39"/>
  </cols>
  <sheetData>
    <row r="1" spans="1:14" s="37" customFormat="1" ht="15.6">
      <c r="A1" s="43" t="s">
        <v>202</v>
      </c>
      <c r="E1" s="430"/>
      <c r="F1" s="430"/>
      <c r="H1" s="431"/>
      <c r="L1" s="432" t="s">
        <v>2051</v>
      </c>
    </row>
    <row r="2" spans="1:14" ht="18.75" customHeight="1">
      <c r="A2" s="433"/>
      <c r="B2" s="434"/>
      <c r="C2" s="38"/>
      <c r="D2" s="38"/>
      <c r="H2" s="38"/>
      <c r="I2" s="38"/>
      <c r="J2" s="38"/>
    </row>
    <row r="3" spans="1:14" ht="15.6">
      <c r="A3" s="859" t="s">
        <v>2052</v>
      </c>
      <c r="B3" s="859"/>
      <c r="C3" s="859"/>
      <c r="D3" s="859"/>
      <c r="E3" s="859"/>
      <c r="F3" s="859"/>
      <c r="G3" s="859"/>
      <c r="H3" s="859"/>
      <c r="I3" s="859"/>
      <c r="J3" s="859"/>
      <c r="K3" s="859"/>
      <c r="L3" s="859"/>
    </row>
    <row r="4" spans="1:14" ht="15.6" hidden="1" outlineLevel="2">
      <c r="A4" s="860" t="s">
        <v>2053</v>
      </c>
      <c r="B4" s="860"/>
      <c r="C4" s="860"/>
      <c r="D4" s="860"/>
      <c r="E4" s="860"/>
      <c r="F4" s="860"/>
      <c r="G4" s="860"/>
      <c r="H4" s="860"/>
      <c r="I4" s="860"/>
      <c r="J4" s="860"/>
      <c r="K4" s="860"/>
      <c r="L4" s="860"/>
    </row>
    <row r="5" spans="1:14" ht="15.6" collapsed="1">
      <c r="B5" s="51"/>
      <c r="C5" s="38"/>
      <c r="D5" s="38"/>
      <c r="E5" s="436"/>
      <c r="H5" s="38"/>
      <c r="L5" s="437" t="s">
        <v>305</v>
      </c>
    </row>
    <row r="6" spans="1:14" ht="31.5" customHeight="1">
      <c r="A6" s="828" t="s">
        <v>2</v>
      </c>
      <c r="B6" s="828" t="s">
        <v>161</v>
      </c>
      <c r="C6" s="828" t="s">
        <v>2054</v>
      </c>
      <c r="D6" s="828"/>
      <c r="E6" s="858" t="s">
        <v>2055</v>
      </c>
      <c r="F6" s="438"/>
      <c r="G6" s="828" t="s">
        <v>2056</v>
      </c>
      <c r="H6" s="828"/>
      <c r="I6" s="828"/>
      <c r="J6" s="828"/>
      <c r="K6" s="828" t="s">
        <v>2057</v>
      </c>
      <c r="L6" s="828"/>
    </row>
    <row r="7" spans="1:14" ht="31.2">
      <c r="A7" s="828"/>
      <c r="B7" s="828"/>
      <c r="C7" s="439" t="s">
        <v>252</v>
      </c>
      <c r="D7" s="439" t="s">
        <v>253</v>
      </c>
      <c r="E7" s="858"/>
      <c r="F7" s="438" t="s">
        <v>2266</v>
      </c>
      <c r="G7" s="439" t="s">
        <v>254</v>
      </c>
      <c r="H7" s="439" t="s">
        <v>255</v>
      </c>
      <c r="I7" s="439" t="s">
        <v>256</v>
      </c>
      <c r="J7" s="439" t="s">
        <v>257</v>
      </c>
      <c r="K7" s="439" t="s">
        <v>258</v>
      </c>
      <c r="L7" s="439" t="s">
        <v>253</v>
      </c>
    </row>
    <row r="8" spans="1:14" s="42" customFormat="1" ht="13.2">
      <c r="A8" s="440" t="s">
        <v>7</v>
      </c>
      <c r="B8" s="440"/>
      <c r="C8" s="440">
        <v>1</v>
      </c>
      <c r="D8" s="440">
        <v>2</v>
      </c>
      <c r="E8" s="441" t="s">
        <v>2058</v>
      </c>
      <c r="F8" s="441"/>
      <c r="G8" s="440">
        <v>4</v>
      </c>
      <c r="H8" s="440">
        <v>5</v>
      </c>
      <c r="I8" s="440">
        <v>6</v>
      </c>
      <c r="J8" s="440">
        <v>7</v>
      </c>
      <c r="K8" s="440" t="s">
        <v>2059</v>
      </c>
      <c r="L8" s="440" t="s">
        <v>2060</v>
      </c>
    </row>
    <row r="9" spans="1:14" s="446" customFormat="1" ht="15.6">
      <c r="A9" s="442"/>
      <c r="B9" s="442" t="s">
        <v>2061</v>
      </c>
      <c r="C9" s="443">
        <f t="shared" ref="C9:J9" si="0">C10+C80+C87+C89+C96+C97</f>
        <v>7076211</v>
      </c>
      <c r="D9" s="443">
        <f t="shared" si="0"/>
        <v>7188211</v>
      </c>
      <c r="E9" s="443">
        <f t="shared" si="0"/>
        <v>12625963.629683999</v>
      </c>
      <c r="F9" s="443">
        <f t="shared" si="0"/>
        <v>12083190.424055999</v>
      </c>
      <c r="G9" s="443">
        <f t="shared" si="0"/>
        <v>542773.20562800008</v>
      </c>
      <c r="H9" s="443">
        <f t="shared" si="0"/>
        <v>7543591.2288660007</v>
      </c>
      <c r="I9" s="443">
        <f>I10+I80+I87+I89+I96+I97+0.3</f>
        <v>3932562.5142139997</v>
      </c>
      <c r="J9" s="443">
        <f t="shared" si="0"/>
        <v>607037.18097600003</v>
      </c>
      <c r="K9" s="444">
        <f>E9/C9</f>
        <v>1.7842830901571476</v>
      </c>
      <c r="L9" s="444">
        <f>E9/D9</f>
        <v>1.7564820550876983</v>
      </c>
      <c r="M9" s="445"/>
    </row>
    <row r="10" spans="1:14" s="446" customFormat="1" ht="15.6">
      <c r="A10" s="447" t="s">
        <v>7</v>
      </c>
      <c r="B10" s="448" t="s">
        <v>2062</v>
      </c>
      <c r="C10" s="449">
        <f t="shared" ref="C10:G10" si="1">C11+C65+C70+C71+C74</f>
        <v>2079000</v>
      </c>
      <c r="D10" s="449">
        <f>D11+D65+D70+D71+D74</f>
        <v>2171000</v>
      </c>
      <c r="E10" s="449">
        <f>E11+E65+E70+E71+E74</f>
        <v>2869179.2012399994</v>
      </c>
      <c r="F10" s="450">
        <f>E10-G10</f>
        <v>2391796.3055349994</v>
      </c>
      <c r="G10" s="449">
        <f t="shared" si="1"/>
        <v>477382.89570500009</v>
      </c>
      <c r="H10" s="449">
        <f>H11+H65+H70+H71+H74</f>
        <v>1413344.5683729998</v>
      </c>
      <c r="I10" s="449">
        <f>I11+I65+I70+I71+I74</f>
        <v>923617.80071599991</v>
      </c>
      <c r="J10" s="449">
        <f>J11+J65+J70+J71+J74</f>
        <v>54834.136446000004</v>
      </c>
      <c r="K10" s="451">
        <f>E10/C10</f>
        <v>1.3800765758730156</v>
      </c>
      <c r="L10" s="451">
        <f>E10/D10</f>
        <v>1.3215933676830951</v>
      </c>
      <c r="M10" s="445"/>
    </row>
    <row r="11" spans="1:14" s="446" customFormat="1" ht="15.6">
      <c r="A11" s="447" t="s">
        <v>45</v>
      </c>
      <c r="B11" s="448" t="s">
        <v>46</v>
      </c>
      <c r="C11" s="450">
        <f>C12+C19+C26+C32+C39+C40+C41+C42+C43+C46+C50+C53+C54+C55+C56+C59+C62+C63+C64</f>
        <v>1827000</v>
      </c>
      <c r="D11" s="450">
        <f>D12+D19+D26+D32+D39+D40+D41+D42+D43+D46+D50+D53+D54+D55+D56+D59+D62+D63+D64</f>
        <v>1919000</v>
      </c>
      <c r="E11" s="450">
        <f>E12+E19+E26+E32+E39+E40+E41+E42+E43+E46+E50+E53+E54+E55+E56+E59+E62+E63+E64</f>
        <v>2585279.7757479991</v>
      </c>
      <c r="F11" s="450">
        <f>E11-G11</f>
        <v>2388797.3055349989</v>
      </c>
      <c r="G11" s="450">
        <f t="shared" ref="G11:I11" si="2">G12+G19+G26+G32+G39+G40+G41+G42+G43+G46+G50+G53+G54+G55+G56+G59+G62+G63+G64</f>
        <v>196482.47021300002</v>
      </c>
      <c r="H11" s="450">
        <f t="shared" si="2"/>
        <v>1413344.5683729998</v>
      </c>
      <c r="I11" s="450">
        <f t="shared" si="2"/>
        <v>920629.80071599991</v>
      </c>
      <c r="J11" s="450">
        <f>J12+J19+J26+J32+J39+J40+J41+J42+J43+J46+J50+J53+J54+J55+J56+J59+J62+J63+J64</f>
        <v>54823.136446000004</v>
      </c>
      <c r="K11" s="451">
        <f t="shared" ref="K11:K68" si="3">E11/C11</f>
        <v>1.4150409281598244</v>
      </c>
      <c r="L11" s="451">
        <f t="shared" ref="L11:L68" si="4">E11/D11</f>
        <v>1.3472015506763935</v>
      </c>
      <c r="M11" s="445"/>
    </row>
    <row r="12" spans="1:14" s="446" customFormat="1" ht="31.2">
      <c r="A12" s="447">
        <v>1</v>
      </c>
      <c r="B12" s="448" t="s">
        <v>2063</v>
      </c>
      <c r="C12" s="450">
        <f>C13+C14+C15+C16+C17+C18</f>
        <v>652000</v>
      </c>
      <c r="D12" s="450">
        <f t="shared" ref="D12:E12" si="5">D13+D14+D15+D16+D17+D18</f>
        <v>667000</v>
      </c>
      <c r="E12" s="450">
        <f t="shared" si="5"/>
        <v>851209.55515499995</v>
      </c>
      <c r="F12" s="450">
        <f t="shared" ref="F12:F76" si="6">E12-G12</f>
        <v>851209.55515499995</v>
      </c>
      <c r="G12" s="450">
        <f t="shared" ref="G12:J12" si="7">G13+G14+G15+G16+G17+G18</f>
        <v>0</v>
      </c>
      <c r="H12" s="450">
        <f>H13+H14+H15+H16+H17+H18+0.2</f>
        <v>812111.83500900003</v>
      </c>
      <c r="I12" s="450">
        <f t="shared" si="7"/>
        <v>39097.920145999997</v>
      </c>
      <c r="J12" s="450">
        <f t="shared" si="7"/>
        <v>0</v>
      </c>
      <c r="K12" s="451">
        <f t="shared" si="3"/>
        <v>1.3055361275383435</v>
      </c>
      <c r="L12" s="451">
        <f t="shared" si="4"/>
        <v>1.2761762446101947</v>
      </c>
      <c r="M12" s="445"/>
      <c r="N12" s="445"/>
    </row>
    <row r="13" spans="1:14" ht="15.6">
      <c r="A13" s="452"/>
      <c r="B13" s="307" t="s">
        <v>242</v>
      </c>
      <c r="C13" s="329">
        <v>322000</v>
      </c>
      <c r="D13" s="329">
        <v>321900</v>
      </c>
      <c r="E13" s="329">
        <f>G13+H13+I13+J13</f>
        <v>382306.00894199999</v>
      </c>
      <c r="F13" s="450">
        <f t="shared" si="6"/>
        <v>382306.00894199999</v>
      </c>
      <c r="G13" s="329"/>
      <c r="H13" s="329">
        <v>344075.40787300002</v>
      </c>
      <c r="I13" s="329">
        <v>38230.601068999997</v>
      </c>
      <c r="J13" s="329"/>
      <c r="K13" s="453">
        <f t="shared" si="3"/>
        <v>1.1872857420559007</v>
      </c>
      <c r="L13" s="453">
        <f t="shared" si="4"/>
        <v>1.1876545788816402</v>
      </c>
      <c r="M13" s="445"/>
    </row>
    <row r="14" spans="1:14" ht="15.6">
      <c r="A14" s="452"/>
      <c r="B14" s="307" t="s">
        <v>243</v>
      </c>
      <c r="C14" s="329">
        <v>10000</v>
      </c>
      <c r="D14" s="329">
        <v>10000</v>
      </c>
      <c r="E14" s="329">
        <f>G14+H14+I14+J14</f>
        <v>6637.3667569999998</v>
      </c>
      <c r="F14" s="450">
        <f>E14-G14</f>
        <v>6637.3667569999998</v>
      </c>
      <c r="G14" s="329"/>
      <c r="H14" s="329">
        <v>5973.6300670000001</v>
      </c>
      <c r="I14" s="329">
        <v>663.73668999999995</v>
      </c>
      <c r="J14" s="329"/>
      <c r="K14" s="453">
        <f t="shared" si="3"/>
        <v>0.66373667569999995</v>
      </c>
      <c r="L14" s="453">
        <f t="shared" si="4"/>
        <v>0.66373667569999995</v>
      </c>
      <c r="M14" s="445"/>
    </row>
    <row r="15" spans="1:14" ht="15.6" hidden="1" outlineLevel="1">
      <c r="A15" s="452"/>
      <c r="B15" s="307" t="s">
        <v>244</v>
      </c>
      <c r="C15" s="329"/>
      <c r="D15" s="329"/>
      <c r="E15" s="329">
        <f t="shared" ref="E15:E18" si="8">G15+H15+I15+J15</f>
        <v>0</v>
      </c>
      <c r="F15" s="450">
        <f t="shared" si="6"/>
        <v>0</v>
      </c>
      <c r="G15" s="329"/>
      <c r="H15" s="329"/>
      <c r="I15" s="329"/>
      <c r="J15" s="329"/>
      <c r="K15" s="453"/>
      <c r="L15" s="453"/>
      <c r="M15" s="445"/>
    </row>
    <row r="16" spans="1:14" ht="15.6" collapsed="1">
      <c r="A16" s="452"/>
      <c r="B16" s="307" t="s">
        <v>245</v>
      </c>
      <c r="C16" s="329">
        <v>320000</v>
      </c>
      <c r="D16" s="329">
        <v>335100</v>
      </c>
      <c r="E16" s="329">
        <f>G16+H16+I16+J16</f>
        <v>462266.17945599998</v>
      </c>
      <c r="F16" s="450">
        <f t="shared" si="6"/>
        <v>462266.17945599998</v>
      </c>
      <c r="G16" s="329"/>
      <c r="H16" s="329">
        <v>462062.59706900001</v>
      </c>
      <c r="I16" s="329">
        <v>203.58238700000001</v>
      </c>
      <c r="J16" s="329"/>
      <c r="K16" s="453">
        <f t="shared" si="3"/>
        <v>1.4445818107999999</v>
      </c>
      <c r="L16" s="453">
        <f t="shared" si="4"/>
        <v>1.3794872559116682</v>
      </c>
      <c r="M16" s="445"/>
    </row>
    <row r="17" spans="1:13" ht="15.6" hidden="1" outlineLevel="1">
      <c r="A17" s="452"/>
      <c r="B17" s="454" t="s">
        <v>2064</v>
      </c>
      <c r="C17" s="329"/>
      <c r="D17" s="329"/>
      <c r="E17" s="329">
        <f t="shared" si="8"/>
        <v>0</v>
      </c>
      <c r="F17" s="450">
        <f t="shared" si="6"/>
        <v>0</v>
      </c>
      <c r="G17" s="329"/>
      <c r="H17" s="329"/>
      <c r="I17" s="329"/>
      <c r="J17" s="329"/>
      <c r="K17" s="453"/>
      <c r="L17" s="453"/>
      <c r="M17" s="445"/>
    </row>
    <row r="18" spans="1:13" ht="15.6" hidden="1" outlineLevel="1" collapsed="1">
      <c r="A18" s="452"/>
      <c r="B18" s="454" t="s">
        <v>246</v>
      </c>
      <c r="C18" s="329"/>
      <c r="D18" s="329"/>
      <c r="E18" s="329">
        <f t="shared" si="8"/>
        <v>0</v>
      </c>
      <c r="F18" s="450">
        <f t="shared" si="6"/>
        <v>0</v>
      </c>
      <c r="G18" s="329"/>
      <c r="H18" s="329"/>
      <c r="I18" s="329"/>
      <c r="J18" s="329"/>
      <c r="K18" s="453"/>
      <c r="L18" s="453"/>
      <c r="M18" s="445"/>
    </row>
    <row r="19" spans="1:13" s="446" customFormat="1" ht="31.2" collapsed="1">
      <c r="A19" s="447">
        <v>2</v>
      </c>
      <c r="B19" s="448" t="s">
        <v>2065</v>
      </c>
      <c r="C19" s="450">
        <f>C20+C21+C22+C23+C24+C25</f>
        <v>28000</v>
      </c>
      <c r="D19" s="450">
        <f t="shared" ref="D19:E19" si="9">D20+D21+D22+D23+D24+D25</f>
        <v>28000</v>
      </c>
      <c r="E19" s="450">
        <f t="shared" si="9"/>
        <v>23291.132604999999</v>
      </c>
      <c r="F19" s="450">
        <f t="shared" si="6"/>
        <v>23291.132604999999</v>
      </c>
      <c r="G19" s="450">
        <f t="shared" ref="G19:J19" si="10">G20+G21+G22+G23+G24+G25</f>
        <v>0</v>
      </c>
      <c r="H19" s="450">
        <f t="shared" si="10"/>
        <v>21154.472890000001</v>
      </c>
      <c r="I19" s="450">
        <f t="shared" si="10"/>
        <v>2136.6597150000002</v>
      </c>
      <c r="J19" s="455">
        <f t="shared" si="10"/>
        <v>0</v>
      </c>
      <c r="K19" s="451">
        <f t="shared" si="3"/>
        <v>0.8318261644642857</v>
      </c>
      <c r="L19" s="451">
        <f t="shared" si="4"/>
        <v>0.8318261644642857</v>
      </c>
      <c r="M19" s="445"/>
    </row>
    <row r="20" spans="1:13" ht="15.6">
      <c r="A20" s="452"/>
      <c r="B20" s="307" t="s">
        <v>242</v>
      </c>
      <c r="C20" s="329">
        <v>17200</v>
      </c>
      <c r="D20" s="329">
        <v>17200</v>
      </c>
      <c r="E20" s="329">
        <f t="shared" ref="E20:E25" si="11">G20+H20+I20+J20</f>
        <v>12867.761408999999</v>
      </c>
      <c r="F20" s="450">
        <f t="shared" si="6"/>
        <v>12867.761408999999</v>
      </c>
      <c r="G20" s="329">
        <v>0</v>
      </c>
      <c r="H20" s="329">
        <v>11580.985196</v>
      </c>
      <c r="I20" s="329">
        <v>1286.7762130000001</v>
      </c>
      <c r="J20" s="329">
        <v>0</v>
      </c>
      <c r="K20" s="453">
        <f t="shared" si="3"/>
        <v>0.74812566331395347</v>
      </c>
      <c r="L20" s="453">
        <f t="shared" si="4"/>
        <v>0.74812566331395347</v>
      </c>
      <c r="M20" s="445"/>
    </row>
    <row r="21" spans="1:13" ht="15.6">
      <c r="A21" s="452"/>
      <c r="B21" s="307" t="s">
        <v>243</v>
      </c>
      <c r="C21" s="329">
        <v>7800</v>
      </c>
      <c r="D21" s="329">
        <v>7800</v>
      </c>
      <c r="E21" s="329">
        <f t="shared" si="11"/>
        <v>8112.6469700000007</v>
      </c>
      <c r="F21" s="450">
        <f t="shared" si="6"/>
        <v>8112.6469700000007</v>
      </c>
      <c r="G21" s="329">
        <v>0</v>
      </c>
      <c r="H21" s="329">
        <v>7301.3822170000003</v>
      </c>
      <c r="I21" s="329">
        <v>811.26475300000004</v>
      </c>
      <c r="J21" s="329">
        <v>0</v>
      </c>
      <c r="K21" s="453">
        <f t="shared" si="3"/>
        <v>1.040082944871795</v>
      </c>
      <c r="L21" s="453">
        <f t="shared" si="4"/>
        <v>1.040082944871795</v>
      </c>
      <c r="M21" s="445"/>
    </row>
    <row r="22" spans="1:13" ht="15.6">
      <c r="A22" s="452"/>
      <c r="B22" s="307" t="s">
        <v>244</v>
      </c>
      <c r="C22" s="329"/>
      <c r="D22" s="329"/>
      <c r="E22" s="329">
        <f t="shared" si="11"/>
        <v>0</v>
      </c>
      <c r="F22" s="450">
        <f t="shared" si="6"/>
        <v>0</v>
      </c>
      <c r="G22" s="329">
        <v>0</v>
      </c>
      <c r="H22" s="329">
        <v>0</v>
      </c>
      <c r="I22" s="329">
        <v>0</v>
      </c>
      <c r="J22" s="329">
        <v>0</v>
      </c>
      <c r="K22" s="453"/>
      <c r="L22" s="453"/>
      <c r="M22" s="445"/>
    </row>
    <row r="23" spans="1:13" ht="15.6">
      <c r="A23" s="452"/>
      <c r="B23" s="307" t="s">
        <v>245</v>
      </c>
      <c r="C23" s="329">
        <v>3000</v>
      </c>
      <c r="D23" s="329">
        <v>3000</v>
      </c>
      <c r="E23" s="329">
        <f t="shared" si="11"/>
        <v>2310.7242260000003</v>
      </c>
      <c r="F23" s="450">
        <f t="shared" si="6"/>
        <v>2310.7242260000003</v>
      </c>
      <c r="G23" s="329">
        <v>0</v>
      </c>
      <c r="H23" s="329">
        <v>2272.1054770000001</v>
      </c>
      <c r="I23" s="329">
        <v>38.618749000000001</v>
      </c>
      <c r="J23" s="329">
        <v>0</v>
      </c>
      <c r="K23" s="453">
        <f t="shared" si="3"/>
        <v>0.77024140866666679</v>
      </c>
      <c r="L23" s="453">
        <f t="shared" si="4"/>
        <v>0.77024140866666679</v>
      </c>
      <c r="M23" s="445"/>
    </row>
    <row r="24" spans="1:13" ht="15.6" hidden="1" outlineLevel="1">
      <c r="A24" s="452"/>
      <c r="B24" s="454" t="s">
        <v>2064</v>
      </c>
      <c r="C24" s="329"/>
      <c r="D24" s="329"/>
      <c r="E24" s="329">
        <f t="shared" si="11"/>
        <v>0</v>
      </c>
      <c r="F24" s="450">
        <f t="shared" si="6"/>
        <v>0</v>
      </c>
      <c r="G24" s="329">
        <v>0</v>
      </c>
      <c r="H24" s="329">
        <v>0</v>
      </c>
      <c r="I24" s="329">
        <v>0</v>
      </c>
      <c r="J24" s="329">
        <v>0</v>
      </c>
      <c r="K24" s="453"/>
      <c r="L24" s="453"/>
      <c r="M24" s="445"/>
    </row>
    <row r="25" spans="1:13" ht="15.6" hidden="1" outlineLevel="1" collapsed="1">
      <c r="A25" s="452"/>
      <c r="B25" s="454" t="s">
        <v>246</v>
      </c>
      <c r="C25" s="329"/>
      <c r="D25" s="329"/>
      <c r="E25" s="329">
        <f t="shared" si="11"/>
        <v>0</v>
      </c>
      <c r="F25" s="450">
        <f t="shared" si="6"/>
        <v>0</v>
      </c>
      <c r="G25" s="329"/>
      <c r="H25" s="329"/>
      <c r="I25" s="329"/>
      <c r="J25" s="330">
        <v>0</v>
      </c>
      <c r="K25" s="453"/>
      <c r="L25" s="453"/>
      <c r="M25" s="445"/>
    </row>
    <row r="26" spans="1:13" s="446" customFormat="1" ht="31.2" collapsed="1">
      <c r="A26" s="447">
        <v>3</v>
      </c>
      <c r="B26" s="448" t="s">
        <v>2066</v>
      </c>
      <c r="C26" s="450">
        <f>C27+C28+C29+C30+C31</f>
        <v>11000</v>
      </c>
      <c r="D26" s="450">
        <f>D27+D28+D29+D30+D31</f>
        <v>11000</v>
      </c>
      <c r="E26" s="450">
        <f>E27+E28+E29+E30+E31</f>
        <v>24998.025104999997</v>
      </c>
      <c r="F26" s="450">
        <f t="shared" si="6"/>
        <v>24998.025104999997</v>
      </c>
      <c r="G26" s="450">
        <f t="shared" ref="G26:J26" si="12">G27+G28+G29+G30</f>
        <v>0</v>
      </c>
      <c r="H26" s="450">
        <f t="shared" si="12"/>
        <v>22497.725357999996</v>
      </c>
      <c r="I26" s="450">
        <f t="shared" si="12"/>
        <v>2500.299747</v>
      </c>
      <c r="J26" s="450">
        <f t="shared" si="12"/>
        <v>0</v>
      </c>
      <c r="K26" s="451">
        <f t="shared" si="3"/>
        <v>2.2725477368181815</v>
      </c>
      <c r="L26" s="451">
        <f t="shared" si="4"/>
        <v>2.2725477368181815</v>
      </c>
      <c r="M26" s="445"/>
    </row>
    <row r="27" spans="1:13" ht="15.6">
      <c r="A27" s="452"/>
      <c r="B27" s="307" t="s">
        <v>242</v>
      </c>
      <c r="C27" s="329">
        <v>6000</v>
      </c>
      <c r="D27" s="329">
        <v>5700</v>
      </c>
      <c r="E27" s="329">
        <f>G27+H27+I27+J27</f>
        <v>10976.642531</v>
      </c>
      <c r="F27" s="450">
        <f t="shared" si="6"/>
        <v>10976.642531</v>
      </c>
      <c r="G27" s="329">
        <v>0</v>
      </c>
      <c r="H27" s="329">
        <v>9878.9782539999997</v>
      </c>
      <c r="I27" s="329">
        <v>1097.6642770000001</v>
      </c>
      <c r="J27" s="329">
        <v>0</v>
      </c>
      <c r="K27" s="453">
        <f t="shared" si="3"/>
        <v>1.8294404218333333</v>
      </c>
      <c r="L27" s="453">
        <f t="shared" si="4"/>
        <v>1.9257267598245613</v>
      </c>
      <c r="M27" s="445"/>
    </row>
    <row r="28" spans="1:13" ht="15.6">
      <c r="A28" s="452"/>
      <c r="B28" s="307" t="s">
        <v>243</v>
      </c>
      <c r="C28" s="329">
        <v>5000</v>
      </c>
      <c r="D28" s="329">
        <v>5300</v>
      </c>
      <c r="E28" s="329">
        <f>G28+H28+I28+J28</f>
        <v>14020.605528</v>
      </c>
      <c r="F28" s="450">
        <f t="shared" si="6"/>
        <v>14020.605528</v>
      </c>
      <c r="G28" s="329">
        <v>0</v>
      </c>
      <c r="H28" s="329">
        <v>12618.544948999999</v>
      </c>
      <c r="I28" s="329">
        <v>1402.060579</v>
      </c>
      <c r="J28" s="329">
        <v>0</v>
      </c>
      <c r="K28" s="453">
        <f t="shared" si="3"/>
        <v>2.8041211056000002</v>
      </c>
      <c r="L28" s="453">
        <f t="shared" si="4"/>
        <v>2.6453972694339623</v>
      </c>
      <c r="M28" s="445"/>
    </row>
    <row r="29" spans="1:13" ht="15.6" hidden="1" outlineLevel="1">
      <c r="A29" s="452"/>
      <c r="B29" s="307" t="s">
        <v>244</v>
      </c>
      <c r="C29" s="329"/>
      <c r="D29" s="329"/>
      <c r="E29" s="329">
        <f>G29+H29+I29+J29</f>
        <v>0</v>
      </c>
      <c r="F29" s="450">
        <f t="shared" si="6"/>
        <v>0</v>
      </c>
      <c r="G29" s="329">
        <v>0</v>
      </c>
      <c r="H29" s="329">
        <v>0</v>
      </c>
      <c r="I29" s="329">
        <v>0</v>
      </c>
      <c r="J29" s="329">
        <v>0</v>
      </c>
      <c r="K29" s="453"/>
      <c r="L29" s="453"/>
      <c r="M29" s="445"/>
    </row>
    <row r="30" spans="1:13" ht="15.6" collapsed="1">
      <c r="A30" s="452"/>
      <c r="B30" s="307" t="s">
        <v>245</v>
      </c>
      <c r="C30" s="329"/>
      <c r="D30" s="329"/>
      <c r="E30" s="329">
        <f>G30+H30+I30+J30</f>
        <v>0.77704600000000001</v>
      </c>
      <c r="F30" s="450">
        <f t="shared" si="6"/>
        <v>0.77704600000000001</v>
      </c>
      <c r="G30" s="329">
        <v>0</v>
      </c>
      <c r="H30" s="329">
        <v>0.202155</v>
      </c>
      <c r="I30" s="329">
        <v>0.57489100000000004</v>
      </c>
      <c r="J30" s="329">
        <v>0</v>
      </c>
      <c r="K30" s="453"/>
      <c r="L30" s="453"/>
      <c r="M30" s="445"/>
    </row>
    <row r="31" spans="1:13" ht="15.6" hidden="1" outlineLevel="1">
      <c r="A31" s="452"/>
      <c r="B31" s="454" t="s">
        <v>246</v>
      </c>
      <c r="C31" s="329"/>
      <c r="D31" s="329"/>
      <c r="E31" s="329">
        <f>G31+H31+I31+J31</f>
        <v>0</v>
      </c>
      <c r="F31" s="450">
        <f t="shared" si="6"/>
        <v>0</v>
      </c>
      <c r="G31" s="329">
        <v>0</v>
      </c>
      <c r="H31" s="329">
        <v>0</v>
      </c>
      <c r="I31" s="329">
        <v>0</v>
      </c>
      <c r="J31" s="329">
        <v>0</v>
      </c>
      <c r="K31" s="453"/>
      <c r="L31" s="453"/>
      <c r="M31" s="445"/>
    </row>
    <row r="32" spans="1:13" s="446" customFormat="1" ht="15.6" collapsed="1">
      <c r="A32" s="447">
        <v>4</v>
      </c>
      <c r="B32" s="448" t="s">
        <v>259</v>
      </c>
      <c r="C32" s="450">
        <f>C33+C34+C35+C36</f>
        <v>523000</v>
      </c>
      <c r="D32" s="450">
        <f>D33+D34+D35+D36</f>
        <v>523000</v>
      </c>
      <c r="E32" s="450">
        <f>E33+E34+E35+E36+E37+E38</f>
        <v>567524.17543299997</v>
      </c>
      <c r="F32" s="450">
        <f t="shared" si="6"/>
        <v>567524.17543299997</v>
      </c>
      <c r="G32" s="450">
        <f t="shared" ref="G32:J32" si="13">G33+G34+G35+G36+G37+G38</f>
        <v>0</v>
      </c>
      <c r="H32" s="450">
        <f t="shared" si="13"/>
        <v>101767.30639399998</v>
      </c>
      <c r="I32" s="450">
        <f t="shared" si="13"/>
        <v>465756.86903900001</v>
      </c>
      <c r="J32" s="450">
        <f t="shared" si="13"/>
        <v>0</v>
      </c>
      <c r="K32" s="451">
        <f t="shared" si="3"/>
        <v>1.0851322666022944</v>
      </c>
      <c r="L32" s="451">
        <f t="shared" si="4"/>
        <v>1.0851322666022944</v>
      </c>
      <c r="M32" s="445"/>
    </row>
    <row r="33" spans="1:14" ht="15.6">
      <c r="A33" s="452"/>
      <c r="B33" s="307" t="s">
        <v>242</v>
      </c>
      <c r="C33" s="329">
        <v>431300</v>
      </c>
      <c r="D33" s="329">
        <v>416300</v>
      </c>
      <c r="E33" s="329">
        <f t="shared" ref="E33:E42" si="14">G33+H33+I33+J33</f>
        <v>446800.404003</v>
      </c>
      <c r="F33" s="450">
        <f t="shared" si="6"/>
        <v>446800.404003</v>
      </c>
      <c r="G33" s="329">
        <v>0</v>
      </c>
      <c r="H33" s="329">
        <v>70765.559741999998</v>
      </c>
      <c r="I33" s="329">
        <v>376034.84426099999</v>
      </c>
      <c r="J33" s="329">
        <v>0</v>
      </c>
      <c r="K33" s="453">
        <f t="shared" si="3"/>
        <v>1.0359387989867841</v>
      </c>
      <c r="L33" s="453">
        <f t="shared" si="4"/>
        <v>1.0732654431972135</v>
      </c>
      <c r="M33" s="445"/>
    </row>
    <row r="34" spans="1:14" ht="15.6">
      <c r="A34" s="452"/>
      <c r="B34" s="307" t="s">
        <v>243</v>
      </c>
      <c r="C34" s="329">
        <v>24000</v>
      </c>
      <c r="D34" s="329">
        <v>24000</v>
      </c>
      <c r="E34" s="329">
        <f t="shared" si="14"/>
        <v>26938.861175999999</v>
      </c>
      <c r="F34" s="450">
        <f t="shared" si="6"/>
        <v>26938.861175999999</v>
      </c>
      <c r="G34" s="329">
        <v>0</v>
      </c>
      <c r="H34" s="329">
        <v>7076.4646750000002</v>
      </c>
      <c r="I34" s="329">
        <v>19862.396500999999</v>
      </c>
      <c r="J34" s="329">
        <v>0</v>
      </c>
      <c r="K34" s="453">
        <f t="shared" si="3"/>
        <v>1.1224525489999999</v>
      </c>
      <c r="L34" s="453">
        <f t="shared" si="4"/>
        <v>1.1224525489999999</v>
      </c>
      <c r="M34" s="445"/>
    </row>
    <row r="35" spans="1:14" ht="15.6">
      <c r="A35" s="452"/>
      <c r="B35" s="307" t="s">
        <v>244</v>
      </c>
      <c r="C35" s="329">
        <v>1700</v>
      </c>
      <c r="D35" s="329">
        <v>1700</v>
      </c>
      <c r="E35" s="329">
        <f t="shared" si="14"/>
        <v>2514.5786250000001</v>
      </c>
      <c r="F35" s="450">
        <f t="shared" si="6"/>
        <v>2514.5786250000001</v>
      </c>
      <c r="G35" s="329">
        <v>0</v>
      </c>
      <c r="H35" s="329">
        <v>0</v>
      </c>
      <c r="I35" s="329">
        <v>2514.5786250000001</v>
      </c>
      <c r="J35" s="329">
        <v>0</v>
      </c>
      <c r="K35" s="453">
        <f t="shared" si="3"/>
        <v>1.4791638970588237</v>
      </c>
      <c r="L35" s="453">
        <f t="shared" si="4"/>
        <v>1.4791638970588237</v>
      </c>
      <c r="M35" s="445"/>
    </row>
    <row r="36" spans="1:14" ht="15.6">
      <c r="A36" s="452"/>
      <c r="B36" s="307" t="s">
        <v>245</v>
      </c>
      <c r="C36" s="329">
        <v>66000</v>
      </c>
      <c r="D36" s="329">
        <v>81000</v>
      </c>
      <c r="E36" s="329">
        <f t="shared" si="14"/>
        <v>91270.331628999993</v>
      </c>
      <c r="F36" s="450">
        <f t="shared" si="6"/>
        <v>91270.331628999993</v>
      </c>
      <c r="G36" s="329">
        <v>0</v>
      </c>
      <c r="H36" s="329">
        <v>23925.281976999999</v>
      </c>
      <c r="I36" s="329">
        <v>67345.049652000002</v>
      </c>
      <c r="J36" s="329">
        <v>0</v>
      </c>
      <c r="K36" s="453">
        <f t="shared" si="3"/>
        <v>1.382883812560606</v>
      </c>
      <c r="L36" s="453">
        <f t="shared" si="4"/>
        <v>1.1267942176419752</v>
      </c>
      <c r="M36" s="445"/>
    </row>
    <row r="37" spans="1:14" ht="15.6" hidden="1" outlineLevel="1">
      <c r="A37" s="452"/>
      <c r="B37" s="454" t="s">
        <v>2064</v>
      </c>
      <c r="C37" s="329"/>
      <c r="D37" s="329"/>
      <c r="E37" s="329">
        <f t="shared" si="14"/>
        <v>0</v>
      </c>
      <c r="F37" s="450">
        <f t="shared" si="6"/>
        <v>0</v>
      </c>
      <c r="G37" s="329">
        <v>0</v>
      </c>
      <c r="H37" s="329">
        <v>0</v>
      </c>
      <c r="I37" s="329">
        <v>0</v>
      </c>
      <c r="J37" s="329">
        <v>0</v>
      </c>
      <c r="K37" s="453"/>
      <c r="L37" s="453"/>
      <c r="M37" s="445"/>
    </row>
    <row r="38" spans="1:14" ht="15.6" hidden="1" outlineLevel="1" collapsed="1">
      <c r="A38" s="452"/>
      <c r="B38" s="454" t="s">
        <v>246</v>
      </c>
      <c r="C38" s="329"/>
      <c r="D38" s="329"/>
      <c r="E38" s="329">
        <f t="shared" si="14"/>
        <v>0</v>
      </c>
      <c r="F38" s="450">
        <f t="shared" si="6"/>
        <v>0</v>
      </c>
      <c r="G38" s="329">
        <v>0</v>
      </c>
      <c r="H38" s="329">
        <v>0</v>
      </c>
      <c r="I38" s="329">
        <v>0</v>
      </c>
      <c r="J38" s="329">
        <v>0</v>
      </c>
      <c r="K38" s="453"/>
      <c r="L38" s="453"/>
      <c r="M38" s="445"/>
    </row>
    <row r="39" spans="1:14" s="446" customFormat="1" ht="15.6" collapsed="1">
      <c r="A39" s="447">
        <v>5</v>
      </c>
      <c r="B39" s="448" t="s">
        <v>55</v>
      </c>
      <c r="C39" s="450">
        <v>65000</v>
      </c>
      <c r="D39" s="450">
        <v>65000</v>
      </c>
      <c r="E39" s="450">
        <f t="shared" si="14"/>
        <v>74409.53259100001</v>
      </c>
      <c r="F39" s="450">
        <f t="shared" si="6"/>
        <v>74409.53259100001</v>
      </c>
      <c r="G39" s="450">
        <v>0</v>
      </c>
      <c r="H39" s="450">
        <v>0</v>
      </c>
      <c r="I39" s="450">
        <v>67241.016243000005</v>
      </c>
      <c r="J39" s="450">
        <v>7168.5163480000001</v>
      </c>
      <c r="K39" s="451">
        <f t="shared" si="3"/>
        <v>1.1447620398615386</v>
      </c>
      <c r="L39" s="451">
        <f t="shared" si="4"/>
        <v>1.1447620398615386</v>
      </c>
      <c r="M39" s="445"/>
    </row>
    <row r="40" spans="1:14" s="446" customFormat="1" ht="15.6">
      <c r="A40" s="447">
        <v>6</v>
      </c>
      <c r="B40" s="448" t="s">
        <v>57</v>
      </c>
      <c r="C40" s="450">
        <v>500</v>
      </c>
      <c r="D40" s="450">
        <v>500</v>
      </c>
      <c r="E40" s="450">
        <f t="shared" si="14"/>
        <v>358.97890899999999</v>
      </c>
      <c r="F40" s="450">
        <f t="shared" si="6"/>
        <v>358.97890899999999</v>
      </c>
      <c r="G40" s="450">
        <v>0</v>
      </c>
      <c r="H40" s="450">
        <v>0</v>
      </c>
      <c r="I40" s="450">
        <v>0</v>
      </c>
      <c r="J40" s="450">
        <v>358.97890899999999</v>
      </c>
      <c r="K40" s="451">
        <f t="shared" si="3"/>
        <v>0.71795781800000003</v>
      </c>
      <c r="L40" s="451">
        <f t="shared" si="4"/>
        <v>0.71795781800000003</v>
      </c>
      <c r="M40" s="445"/>
    </row>
    <row r="41" spans="1:14" s="446" customFormat="1" ht="15.6">
      <c r="A41" s="447">
        <v>7</v>
      </c>
      <c r="B41" s="448" t="s">
        <v>58</v>
      </c>
      <c r="C41" s="450">
        <v>3000</v>
      </c>
      <c r="D41" s="450">
        <v>3000</v>
      </c>
      <c r="E41" s="450">
        <f t="shared" si="14"/>
        <v>3660.0989020000002</v>
      </c>
      <c r="F41" s="450">
        <f t="shared" si="6"/>
        <v>3660.0989020000002</v>
      </c>
      <c r="G41" s="450">
        <v>0</v>
      </c>
      <c r="H41" s="450">
        <v>0</v>
      </c>
      <c r="I41" s="450">
        <v>0</v>
      </c>
      <c r="J41" s="450">
        <v>3660.0989020000002</v>
      </c>
      <c r="K41" s="451">
        <f t="shared" si="3"/>
        <v>1.2200329673333334</v>
      </c>
      <c r="L41" s="451">
        <f t="shared" si="4"/>
        <v>1.2200329673333334</v>
      </c>
      <c r="M41" s="445"/>
    </row>
    <row r="42" spans="1:14" s="446" customFormat="1" ht="15.6">
      <c r="A42" s="447">
        <v>8</v>
      </c>
      <c r="B42" s="448" t="s">
        <v>51</v>
      </c>
      <c r="C42" s="450">
        <v>80500</v>
      </c>
      <c r="D42" s="450">
        <v>80500</v>
      </c>
      <c r="E42" s="450">
        <f t="shared" si="14"/>
        <v>94595.452225999994</v>
      </c>
      <c r="F42" s="450">
        <f t="shared" si="6"/>
        <v>94595.452225999994</v>
      </c>
      <c r="G42" s="450">
        <v>0</v>
      </c>
      <c r="H42" s="450">
        <v>9459.5449430000008</v>
      </c>
      <c r="I42" s="450">
        <v>85135.907282999993</v>
      </c>
      <c r="J42" s="450">
        <v>0</v>
      </c>
      <c r="K42" s="451">
        <f t="shared" si="3"/>
        <v>1.175098785416149</v>
      </c>
      <c r="L42" s="451">
        <f t="shared" si="4"/>
        <v>1.175098785416149</v>
      </c>
      <c r="M42" s="445"/>
      <c r="N42" s="456"/>
    </row>
    <row r="43" spans="1:14" s="446" customFormat="1" ht="15.6">
      <c r="A43" s="447">
        <v>9</v>
      </c>
      <c r="B43" s="448" t="s">
        <v>52</v>
      </c>
      <c r="C43" s="450">
        <f>C44+C45</f>
        <v>172000</v>
      </c>
      <c r="D43" s="450">
        <f>D44+D45</f>
        <v>172000</v>
      </c>
      <c r="E43" s="450">
        <f t="shared" ref="E43:J43" si="15">E44+E45</f>
        <v>181883.249756</v>
      </c>
      <c r="F43" s="450">
        <f>E43-G43</f>
        <v>67659.908174000011</v>
      </c>
      <c r="G43" s="450">
        <f t="shared" si="15"/>
        <v>114223.34158199999</v>
      </c>
      <c r="H43" s="450">
        <f t="shared" si="15"/>
        <v>67659.908173999997</v>
      </c>
      <c r="I43" s="450">
        <f t="shared" si="15"/>
        <v>0</v>
      </c>
      <c r="J43" s="450">
        <f t="shared" si="15"/>
        <v>0</v>
      </c>
      <c r="K43" s="451">
        <f t="shared" si="3"/>
        <v>1.0574607543953489</v>
      </c>
      <c r="L43" s="451">
        <f t="shared" si="4"/>
        <v>1.0574607543953489</v>
      </c>
      <c r="M43" s="445"/>
    </row>
    <row r="44" spans="1:14" s="463" customFormat="1" ht="16.2">
      <c r="A44" s="457"/>
      <c r="B44" s="458" t="s">
        <v>260</v>
      </c>
      <c r="C44" s="459">
        <v>108000</v>
      </c>
      <c r="D44" s="459">
        <v>108000</v>
      </c>
      <c r="E44" s="459">
        <f>G44+H44+I44+J44</f>
        <v>114223.34158199999</v>
      </c>
      <c r="F44" s="460">
        <f t="shared" si="6"/>
        <v>0</v>
      </c>
      <c r="G44" s="459">
        <v>114223.34158199999</v>
      </c>
      <c r="H44" s="459"/>
      <c r="I44" s="459"/>
      <c r="J44" s="459"/>
      <c r="K44" s="461">
        <f t="shared" si="3"/>
        <v>1.0576235331666666</v>
      </c>
      <c r="L44" s="461">
        <f t="shared" si="4"/>
        <v>1.0576235331666666</v>
      </c>
      <c r="M44" s="462"/>
    </row>
    <row r="45" spans="1:14" s="463" customFormat="1" ht="31.2">
      <c r="A45" s="457"/>
      <c r="B45" s="458" t="s">
        <v>2067</v>
      </c>
      <c r="C45" s="459">
        <v>64000</v>
      </c>
      <c r="D45" s="459">
        <v>64000</v>
      </c>
      <c r="E45" s="459">
        <f>G45+H45+I45+J45</f>
        <v>67659.908173999997</v>
      </c>
      <c r="F45" s="460">
        <f t="shared" si="6"/>
        <v>67659.908173999997</v>
      </c>
      <c r="G45" s="459"/>
      <c r="H45" s="459">
        <v>67659.908173999997</v>
      </c>
      <c r="I45" s="459">
        <v>0</v>
      </c>
      <c r="J45" s="459">
        <v>0</v>
      </c>
      <c r="K45" s="461">
        <f t="shared" si="3"/>
        <v>1.0571860652187499</v>
      </c>
      <c r="L45" s="461">
        <f t="shared" si="4"/>
        <v>1.0571860652187499</v>
      </c>
      <c r="M45" s="462"/>
    </row>
    <row r="46" spans="1:14" s="446" customFormat="1" ht="15.6">
      <c r="A46" s="447">
        <v>10</v>
      </c>
      <c r="B46" s="448" t="s">
        <v>261</v>
      </c>
      <c r="C46" s="450">
        <f>C47+C48</f>
        <v>45000</v>
      </c>
      <c r="D46" s="450">
        <f>D47+D48</f>
        <v>52000</v>
      </c>
      <c r="E46" s="450">
        <f>E47+E48</f>
        <v>45770.586964999995</v>
      </c>
      <c r="F46" s="450">
        <f t="shared" si="6"/>
        <v>37504.318005999994</v>
      </c>
      <c r="G46" s="450">
        <f t="shared" ref="G46:J46" si="16">G47+G48</f>
        <v>8266.2689590000009</v>
      </c>
      <c r="H46" s="450">
        <f>H47+H48</f>
        <v>14415.301958</v>
      </c>
      <c r="I46" s="450">
        <f t="shared" si="16"/>
        <v>10953.769562000001</v>
      </c>
      <c r="J46" s="450">
        <f t="shared" si="16"/>
        <v>12135.246486</v>
      </c>
      <c r="K46" s="451">
        <f t="shared" si="3"/>
        <v>1.0171241547777776</v>
      </c>
      <c r="L46" s="451">
        <f t="shared" si="4"/>
        <v>0.8802035954807691</v>
      </c>
      <c r="M46" s="445"/>
    </row>
    <row r="47" spans="1:14" s="463" customFormat="1" ht="31.2">
      <c r="A47" s="457"/>
      <c r="B47" s="458" t="s">
        <v>2068</v>
      </c>
      <c r="C47" s="459">
        <v>4000</v>
      </c>
      <c r="D47" s="459">
        <v>4000</v>
      </c>
      <c r="E47" s="459">
        <f>G47+H47+I47+J47</f>
        <v>11102.856256000001</v>
      </c>
      <c r="F47" s="460">
        <f t="shared" si="6"/>
        <v>2836.587297</v>
      </c>
      <c r="G47" s="459">
        <v>8266.2689590000009</v>
      </c>
      <c r="H47" s="459"/>
      <c r="I47" s="459">
        <v>2604.5722970000002</v>
      </c>
      <c r="J47" s="459">
        <v>232.01499999999999</v>
      </c>
      <c r="K47" s="461">
        <f t="shared" si="3"/>
        <v>2.7757140640000002</v>
      </c>
      <c r="L47" s="461">
        <f t="shared" si="4"/>
        <v>2.7757140640000002</v>
      </c>
      <c r="M47" s="462"/>
    </row>
    <row r="48" spans="1:14" s="463" customFormat="1" ht="31.2">
      <c r="A48" s="457"/>
      <c r="B48" s="458" t="s">
        <v>2069</v>
      </c>
      <c r="C48" s="459">
        <v>41000</v>
      </c>
      <c r="D48" s="459">
        <v>48000</v>
      </c>
      <c r="E48" s="459">
        <f>G48+H48+I48+J48</f>
        <v>34667.730708999996</v>
      </c>
      <c r="F48" s="460">
        <f t="shared" si="6"/>
        <v>34667.730708999996</v>
      </c>
      <c r="G48" s="459"/>
      <c r="H48" s="459">
        <v>14415.301958</v>
      </c>
      <c r="I48" s="459">
        <v>8349.1972650000007</v>
      </c>
      <c r="J48" s="459">
        <v>11903.231486000001</v>
      </c>
      <c r="K48" s="461">
        <f t="shared" si="3"/>
        <v>0.84555440753658528</v>
      </c>
      <c r="L48" s="461">
        <f t="shared" si="4"/>
        <v>0.72224438977083327</v>
      </c>
      <c r="M48" s="462"/>
    </row>
    <row r="49" spans="1:13" s="463" customFormat="1" ht="31.2">
      <c r="A49" s="457"/>
      <c r="B49" s="458" t="s">
        <v>2070</v>
      </c>
      <c r="C49" s="459">
        <v>5500</v>
      </c>
      <c r="D49" s="459">
        <v>7500</v>
      </c>
      <c r="E49" s="459">
        <f>G49+H49+I49+J49</f>
        <v>9366.0207570000002</v>
      </c>
      <c r="F49" s="460">
        <f t="shared" si="6"/>
        <v>9366.0207570000002</v>
      </c>
      <c r="G49" s="459">
        <v>0</v>
      </c>
      <c r="H49" s="459">
        <v>0</v>
      </c>
      <c r="I49" s="459">
        <v>9366.0207570000002</v>
      </c>
      <c r="J49" s="459">
        <v>0</v>
      </c>
      <c r="K49" s="461">
        <f t="shared" si="3"/>
        <v>1.702912864909091</v>
      </c>
      <c r="L49" s="461">
        <f t="shared" si="4"/>
        <v>1.2488027676</v>
      </c>
      <c r="M49" s="462"/>
    </row>
    <row r="50" spans="1:13" s="446" customFormat="1" ht="15.6">
      <c r="A50" s="447">
        <v>11</v>
      </c>
      <c r="B50" s="448" t="s">
        <v>262</v>
      </c>
      <c r="C50" s="450">
        <f>C51+C52</f>
        <v>110000</v>
      </c>
      <c r="D50" s="450">
        <f>D51+D52</f>
        <v>180000</v>
      </c>
      <c r="E50" s="450">
        <f t="shared" ref="E50:J50" si="17">E51+E52</f>
        <v>449669.57589500002</v>
      </c>
      <c r="F50" s="450">
        <f t="shared" si="6"/>
        <v>449669.57589500002</v>
      </c>
      <c r="G50" s="450">
        <f t="shared" si="17"/>
        <v>0</v>
      </c>
      <c r="H50" s="450">
        <f t="shared" si="17"/>
        <v>226299.879789</v>
      </c>
      <c r="I50" s="450">
        <f t="shared" si="17"/>
        <v>196019.19152299999</v>
      </c>
      <c r="J50" s="450">
        <f t="shared" si="17"/>
        <v>27350.504583000002</v>
      </c>
      <c r="K50" s="451">
        <f t="shared" si="3"/>
        <v>4.0879052354090915</v>
      </c>
      <c r="L50" s="451">
        <f t="shared" si="4"/>
        <v>2.4981643105277778</v>
      </c>
      <c r="M50" s="445"/>
    </row>
    <row r="51" spans="1:13" ht="31.2">
      <c r="A51" s="452"/>
      <c r="B51" s="458" t="s">
        <v>263</v>
      </c>
      <c r="C51" s="329"/>
      <c r="D51" s="329"/>
      <c r="E51" s="329">
        <f t="shared" ref="E51:E57" si="18">G51+H51+I51+J51</f>
        <v>0</v>
      </c>
      <c r="F51" s="450">
        <f t="shared" si="6"/>
        <v>0</v>
      </c>
      <c r="G51" s="329"/>
      <c r="H51" s="329"/>
      <c r="I51" s="329"/>
      <c r="J51" s="329"/>
      <c r="K51" s="453"/>
      <c r="L51" s="453"/>
      <c r="M51" s="445"/>
    </row>
    <row r="52" spans="1:13" ht="31.2">
      <c r="A52" s="452"/>
      <c r="B52" s="458" t="s">
        <v>264</v>
      </c>
      <c r="C52" s="329">
        <v>110000</v>
      </c>
      <c r="D52" s="329">
        <v>180000</v>
      </c>
      <c r="E52" s="329">
        <f t="shared" si="18"/>
        <v>449669.57589500002</v>
      </c>
      <c r="F52" s="450">
        <f t="shared" si="6"/>
        <v>449669.57589500002</v>
      </c>
      <c r="G52" s="329">
        <v>0</v>
      </c>
      <c r="H52" s="329">
        <v>226299.879789</v>
      </c>
      <c r="I52" s="329">
        <v>196019.19152299999</v>
      </c>
      <c r="J52" s="329">
        <v>27350.504583000002</v>
      </c>
      <c r="K52" s="453">
        <f t="shared" si="3"/>
        <v>4.0879052354090915</v>
      </c>
      <c r="L52" s="453">
        <f t="shared" si="4"/>
        <v>2.4981643105277778</v>
      </c>
      <c r="M52" s="445"/>
    </row>
    <row r="53" spans="1:13" s="446" customFormat="1" ht="15.6">
      <c r="A53" s="447" t="s">
        <v>222</v>
      </c>
      <c r="B53" s="448" t="s">
        <v>265</v>
      </c>
      <c r="C53" s="450">
        <v>9000</v>
      </c>
      <c r="D53" s="450">
        <v>9000</v>
      </c>
      <c r="E53" s="450">
        <f t="shared" si="18"/>
        <v>26610.033073999999</v>
      </c>
      <c r="F53" s="450">
        <f t="shared" si="6"/>
        <v>26610.033073999999</v>
      </c>
      <c r="G53" s="450">
        <v>0</v>
      </c>
      <c r="H53" s="450">
        <v>5322.0065119999999</v>
      </c>
      <c r="I53" s="450">
        <v>21288.026561999999</v>
      </c>
      <c r="J53" s="450">
        <v>0</v>
      </c>
      <c r="K53" s="451">
        <f t="shared" si="3"/>
        <v>2.9566703415555553</v>
      </c>
      <c r="L53" s="451">
        <f t="shared" si="4"/>
        <v>2.9566703415555553</v>
      </c>
      <c r="M53" s="445"/>
    </row>
    <row r="54" spans="1:13" s="446" customFormat="1" ht="31.2">
      <c r="A54" s="447">
        <v>13</v>
      </c>
      <c r="B54" s="448" t="s">
        <v>266</v>
      </c>
      <c r="C54" s="450">
        <v>200</v>
      </c>
      <c r="D54" s="450">
        <v>200</v>
      </c>
      <c r="E54" s="450">
        <f t="shared" si="18"/>
        <v>0</v>
      </c>
      <c r="F54" s="450">
        <f t="shared" si="6"/>
        <v>0</v>
      </c>
      <c r="G54" s="450">
        <v>0</v>
      </c>
      <c r="H54" s="450">
        <v>0</v>
      </c>
      <c r="I54" s="450">
        <v>0</v>
      </c>
      <c r="J54" s="450">
        <v>0</v>
      </c>
      <c r="K54" s="451">
        <f t="shared" si="3"/>
        <v>0</v>
      </c>
      <c r="L54" s="451">
        <f t="shared" si="4"/>
        <v>0</v>
      </c>
      <c r="M54" s="445"/>
    </row>
    <row r="55" spans="1:13" s="446" customFormat="1" ht="15.6">
      <c r="A55" s="447">
        <v>14</v>
      </c>
      <c r="B55" s="448" t="s">
        <v>249</v>
      </c>
      <c r="C55" s="450"/>
      <c r="D55" s="450"/>
      <c r="E55" s="450">
        <f t="shared" si="18"/>
        <v>0</v>
      </c>
      <c r="F55" s="450">
        <f t="shared" si="6"/>
        <v>0</v>
      </c>
      <c r="G55" s="450">
        <v>0</v>
      </c>
      <c r="H55" s="450">
        <v>0</v>
      </c>
      <c r="I55" s="450">
        <v>0</v>
      </c>
      <c r="J55" s="450">
        <v>0</v>
      </c>
      <c r="K55" s="451"/>
      <c r="L55" s="451"/>
      <c r="M55" s="445"/>
    </row>
    <row r="56" spans="1:13" s="446" customFormat="1" ht="15.6">
      <c r="A56" s="447">
        <v>15</v>
      </c>
      <c r="B56" s="448" t="s">
        <v>63</v>
      </c>
      <c r="C56" s="450">
        <v>50000</v>
      </c>
      <c r="D56" s="450">
        <v>50000</v>
      </c>
      <c r="E56" s="450">
        <f t="shared" si="18"/>
        <v>77612.276361000011</v>
      </c>
      <c r="F56" s="450">
        <f t="shared" si="6"/>
        <v>50902.672580000013</v>
      </c>
      <c r="G56" s="450">
        <v>26709.603781000002</v>
      </c>
      <c r="H56" s="450">
        <v>31118.285105999999</v>
      </c>
      <c r="I56" s="450">
        <v>16989.975599000001</v>
      </c>
      <c r="J56" s="450">
        <v>2794.4118749999998</v>
      </c>
      <c r="K56" s="451">
        <f t="shared" si="3"/>
        <v>1.5522455272200002</v>
      </c>
      <c r="L56" s="451">
        <f t="shared" si="4"/>
        <v>1.5522455272200002</v>
      </c>
      <c r="M56" s="445"/>
    </row>
    <row r="57" spans="1:13" s="463" customFormat="1" ht="20.25" customHeight="1">
      <c r="A57" s="458"/>
      <c r="B57" s="458" t="s">
        <v>2071</v>
      </c>
      <c r="C57" s="459">
        <v>23000</v>
      </c>
      <c r="D57" s="459">
        <v>23000</v>
      </c>
      <c r="E57" s="459">
        <f t="shared" si="18"/>
        <v>26709.603781000002</v>
      </c>
      <c r="F57" s="460">
        <f t="shared" si="6"/>
        <v>0</v>
      </c>
      <c r="G57" s="459">
        <v>26709.603781000002</v>
      </c>
      <c r="H57" s="459">
        <v>0</v>
      </c>
      <c r="I57" s="459"/>
      <c r="J57" s="459"/>
      <c r="K57" s="461">
        <f t="shared" si="3"/>
        <v>1.1612871209130435</v>
      </c>
      <c r="L57" s="461">
        <f t="shared" si="4"/>
        <v>1.1612871209130435</v>
      </c>
      <c r="M57" s="462"/>
    </row>
    <row r="58" spans="1:13" s="463" customFormat="1" ht="16.2">
      <c r="A58" s="458" t="s">
        <v>267</v>
      </c>
      <c r="B58" s="458" t="s">
        <v>2072</v>
      </c>
      <c r="C58" s="459"/>
      <c r="D58" s="459"/>
      <c r="E58" s="459">
        <f>G58+H58+I58+J58</f>
        <v>0</v>
      </c>
      <c r="F58" s="460"/>
      <c r="G58" s="459"/>
      <c r="H58" s="459"/>
      <c r="I58" s="459"/>
      <c r="J58" s="459"/>
      <c r="K58" s="461"/>
      <c r="L58" s="461"/>
      <c r="M58" s="462" t="s">
        <v>2073</v>
      </c>
    </row>
    <row r="59" spans="1:13" s="446" customFormat="1" ht="15.6">
      <c r="A59" s="447">
        <v>16</v>
      </c>
      <c r="B59" s="448" t="s">
        <v>62</v>
      </c>
      <c r="C59" s="450">
        <f>C60+C61</f>
        <v>8000</v>
      </c>
      <c r="D59" s="450">
        <f>D60+D61</f>
        <v>8000</v>
      </c>
      <c r="E59" s="450">
        <f t="shared" ref="E59:J59" si="19">E60+E61</f>
        <v>80484.641852000001</v>
      </c>
      <c r="F59" s="450">
        <f t="shared" si="6"/>
        <v>33201.385961</v>
      </c>
      <c r="G59" s="450">
        <f>G60+G61</f>
        <v>47283.255891000001</v>
      </c>
      <c r="H59" s="450">
        <f t="shared" si="19"/>
        <v>20264.252525</v>
      </c>
      <c r="I59" s="450">
        <f t="shared" si="19"/>
        <v>12937.133436</v>
      </c>
      <c r="J59" s="450">
        <f t="shared" si="19"/>
        <v>0</v>
      </c>
      <c r="K59" s="451">
        <f t="shared" si="3"/>
        <v>10.060580231499999</v>
      </c>
      <c r="L59" s="451">
        <f t="shared" si="4"/>
        <v>10.060580231499999</v>
      </c>
      <c r="M59" s="445"/>
    </row>
    <row r="60" spans="1:13" s="463" customFormat="1" ht="16.2">
      <c r="A60" s="458"/>
      <c r="B60" s="458" t="s">
        <v>268</v>
      </c>
      <c r="C60" s="459"/>
      <c r="D60" s="459"/>
      <c r="E60" s="459">
        <f>G60+H60+I60+J60</f>
        <v>47283.255891000001</v>
      </c>
      <c r="F60" s="460">
        <f t="shared" si="6"/>
        <v>0</v>
      </c>
      <c r="G60" s="459">
        <v>47283.255891000001</v>
      </c>
      <c r="H60" s="459"/>
      <c r="I60" s="459"/>
      <c r="J60" s="459"/>
      <c r="K60" s="464" t="e">
        <f t="shared" si="3"/>
        <v>#DIV/0!</v>
      </c>
      <c r="L60" s="464" t="e">
        <f t="shared" si="4"/>
        <v>#DIV/0!</v>
      </c>
      <c r="M60" s="462"/>
    </row>
    <row r="61" spans="1:13" s="463" customFormat="1" ht="31.2">
      <c r="A61" s="457"/>
      <c r="B61" s="458" t="s">
        <v>269</v>
      </c>
      <c r="C61" s="459">
        <v>8000</v>
      </c>
      <c r="D61" s="459">
        <v>8000</v>
      </c>
      <c r="E61" s="459">
        <f>G61+H61+I61+J61</f>
        <v>33201.385961</v>
      </c>
      <c r="F61" s="460">
        <f t="shared" si="6"/>
        <v>33201.385961</v>
      </c>
      <c r="G61" s="459"/>
      <c r="H61" s="459">
        <v>20264.252525</v>
      </c>
      <c r="I61" s="459">
        <v>12937.133436</v>
      </c>
      <c r="J61" s="459">
        <v>0</v>
      </c>
      <c r="K61" s="461">
        <f t="shared" si="3"/>
        <v>4.150173245125</v>
      </c>
      <c r="L61" s="461">
        <f t="shared" si="4"/>
        <v>4.150173245125</v>
      </c>
      <c r="M61" s="462"/>
    </row>
    <row r="62" spans="1:13" s="446" customFormat="1" ht="31.2">
      <c r="A62" s="447">
        <v>17</v>
      </c>
      <c r="B62" s="448" t="s">
        <v>270</v>
      </c>
      <c r="C62" s="450">
        <v>3100</v>
      </c>
      <c r="D62" s="450">
        <v>3100</v>
      </c>
      <c r="E62" s="450">
        <f>G62+H62+I62+J62</f>
        <v>1928.411204</v>
      </c>
      <c r="F62" s="450">
        <f t="shared" si="6"/>
        <v>1928.411204</v>
      </c>
      <c r="G62" s="450">
        <v>0</v>
      </c>
      <c r="H62" s="450">
        <v>0</v>
      </c>
      <c r="I62" s="450">
        <v>573.03186100000005</v>
      </c>
      <c r="J62" s="450">
        <v>1355.3793430000001</v>
      </c>
      <c r="K62" s="451">
        <f t="shared" si="3"/>
        <v>0.62206813032258068</v>
      </c>
      <c r="L62" s="451">
        <f t="shared" si="4"/>
        <v>0.62206813032258068</v>
      </c>
      <c r="M62" s="445"/>
    </row>
    <row r="63" spans="1:13" s="446" customFormat="1" ht="15.6">
      <c r="A63" s="447">
        <v>18</v>
      </c>
      <c r="B63" s="448" t="s">
        <v>271</v>
      </c>
      <c r="C63" s="450">
        <v>700</v>
      </c>
      <c r="D63" s="450">
        <v>700</v>
      </c>
      <c r="E63" s="450">
        <f>G63+H63+I63+J63</f>
        <v>1209.362938</v>
      </c>
      <c r="F63" s="450">
        <f t="shared" si="6"/>
        <v>1209.362938</v>
      </c>
      <c r="G63" s="450">
        <v>0</v>
      </c>
      <c r="H63" s="450">
        <v>1209.362938</v>
      </c>
      <c r="I63" s="450">
        <v>0</v>
      </c>
      <c r="J63" s="450">
        <v>0</v>
      </c>
      <c r="K63" s="451"/>
      <c r="L63" s="451"/>
      <c r="M63" s="445"/>
    </row>
    <row r="64" spans="1:13" s="446" customFormat="1" ht="31.2">
      <c r="A64" s="447">
        <v>19</v>
      </c>
      <c r="B64" s="448" t="s">
        <v>272</v>
      </c>
      <c r="C64" s="450">
        <v>66000</v>
      </c>
      <c r="D64" s="450">
        <v>66000</v>
      </c>
      <c r="E64" s="450">
        <f>G64+H64+I64+J64</f>
        <v>80064.686776999995</v>
      </c>
      <c r="F64" s="450">
        <f t="shared" si="6"/>
        <v>80064.686776999995</v>
      </c>
      <c r="G64" s="450">
        <v>0</v>
      </c>
      <c r="H64" s="450">
        <v>80064.686776999995</v>
      </c>
      <c r="I64" s="450">
        <v>0</v>
      </c>
      <c r="J64" s="450">
        <v>0</v>
      </c>
      <c r="K64" s="451">
        <f t="shared" si="3"/>
        <v>1.2131013148030303</v>
      </c>
      <c r="L64" s="451">
        <f t="shared" si="4"/>
        <v>1.2131013148030303</v>
      </c>
      <c r="M64" s="445"/>
    </row>
    <row r="65" spans="1:13" s="446" customFormat="1" ht="15.6">
      <c r="A65" s="447" t="s">
        <v>29</v>
      </c>
      <c r="B65" s="448" t="s">
        <v>273</v>
      </c>
      <c r="C65" s="450">
        <f>SUM(C66:C69)</f>
        <v>252000</v>
      </c>
      <c r="D65" s="450">
        <f>SUM(D66:D69)</f>
        <v>252000</v>
      </c>
      <c r="E65" s="450">
        <f t="shared" ref="E65:J65" si="20">SUM(E66:E69)</f>
        <v>280900.42549200007</v>
      </c>
      <c r="F65" s="450">
        <f t="shared" si="6"/>
        <v>0</v>
      </c>
      <c r="G65" s="450">
        <f t="shared" si="20"/>
        <v>280900.42549200007</v>
      </c>
      <c r="H65" s="450">
        <f t="shared" si="20"/>
        <v>0</v>
      </c>
      <c r="I65" s="450">
        <f t="shared" si="20"/>
        <v>0</v>
      </c>
      <c r="J65" s="450">
        <f t="shared" si="20"/>
        <v>0</v>
      </c>
      <c r="K65" s="451">
        <f t="shared" si="3"/>
        <v>1.1146842281428575</v>
      </c>
      <c r="L65" s="451">
        <f t="shared" si="4"/>
        <v>1.1146842281428575</v>
      </c>
      <c r="M65" s="445"/>
    </row>
    <row r="66" spans="1:13" ht="15.6">
      <c r="A66" s="452">
        <v>1</v>
      </c>
      <c r="B66" s="307" t="s">
        <v>67</v>
      </c>
      <c r="C66" s="329">
        <v>4000</v>
      </c>
      <c r="D66" s="329">
        <v>4000</v>
      </c>
      <c r="E66" s="329">
        <f t="shared" ref="E66:E73" si="21">G66+H66+I66+J66</f>
        <v>2273.7626329999998</v>
      </c>
      <c r="F66" s="450">
        <f t="shared" si="6"/>
        <v>0</v>
      </c>
      <c r="G66" s="329">
        <v>2273.7626329999998</v>
      </c>
      <c r="H66" s="329"/>
      <c r="I66" s="329"/>
      <c r="J66" s="329"/>
      <c r="K66" s="453">
        <f t="shared" si="3"/>
        <v>0.56844065825000001</v>
      </c>
      <c r="L66" s="453">
        <f t="shared" si="4"/>
        <v>0.56844065825000001</v>
      </c>
      <c r="M66" s="445"/>
    </row>
    <row r="67" spans="1:13" ht="15.6">
      <c r="A67" s="452">
        <v>2</v>
      </c>
      <c r="B67" s="307" t="s">
        <v>68</v>
      </c>
      <c r="C67" s="329">
        <v>101000</v>
      </c>
      <c r="D67" s="329">
        <v>101000</v>
      </c>
      <c r="E67" s="329">
        <f t="shared" si="21"/>
        <v>5829.5162039999996</v>
      </c>
      <c r="F67" s="450">
        <f t="shared" si="6"/>
        <v>0</v>
      </c>
      <c r="G67" s="329">
        <v>5829.5162039999996</v>
      </c>
      <c r="H67" s="329"/>
      <c r="I67" s="329"/>
      <c r="J67" s="329"/>
      <c r="K67" s="453">
        <f t="shared" si="3"/>
        <v>5.7717982217821776E-2</v>
      </c>
      <c r="L67" s="453">
        <f t="shared" si="4"/>
        <v>5.7717982217821776E-2</v>
      </c>
      <c r="M67" s="445"/>
    </row>
    <row r="68" spans="1:13" ht="15.6">
      <c r="A68" s="452">
        <v>3</v>
      </c>
      <c r="B68" s="307" t="s">
        <v>274</v>
      </c>
      <c r="C68" s="329">
        <v>147000</v>
      </c>
      <c r="D68" s="329">
        <v>147000</v>
      </c>
      <c r="E68" s="329">
        <f t="shared" si="21"/>
        <v>272471.78061900003</v>
      </c>
      <c r="F68" s="450">
        <f t="shared" si="6"/>
        <v>0</v>
      </c>
      <c r="G68" s="329">
        <v>272471.78061900003</v>
      </c>
      <c r="H68" s="329"/>
      <c r="I68" s="329"/>
      <c r="J68" s="329"/>
      <c r="K68" s="453">
        <f t="shared" si="3"/>
        <v>1.8535495280204084</v>
      </c>
      <c r="L68" s="453">
        <f t="shared" si="4"/>
        <v>1.8535495280204084</v>
      </c>
      <c r="M68" s="445"/>
    </row>
    <row r="69" spans="1:13" ht="15.6">
      <c r="A69" s="452">
        <v>4</v>
      </c>
      <c r="B69" s="307" t="s">
        <v>70</v>
      </c>
      <c r="C69" s="329"/>
      <c r="D69" s="329"/>
      <c r="E69" s="329">
        <f t="shared" si="21"/>
        <v>325.36603600000001</v>
      </c>
      <c r="F69" s="450">
        <f t="shared" si="6"/>
        <v>0</v>
      </c>
      <c r="G69" s="329">
        <v>325.36603600000001</v>
      </c>
      <c r="H69" s="329"/>
      <c r="I69" s="329"/>
      <c r="J69" s="329"/>
      <c r="K69" s="453"/>
      <c r="L69" s="453"/>
      <c r="M69" s="445"/>
    </row>
    <row r="70" spans="1:13" s="446" customFormat="1" ht="15.6">
      <c r="A70" s="447" t="s">
        <v>33</v>
      </c>
      <c r="B70" s="448" t="s">
        <v>18</v>
      </c>
      <c r="C70" s="450"/>
      <c r="D70" s="450"/>
      <c r="E70" s="450">
        <f t="shared" si="21"/>
        <v>0</v>
      </c>
      <c r="F70" s="450">
        <f>E70-G70</f>
        <v>0</v>
      </c>
      <c r="G70" s="450">
        <v>0</v>
      </c>
      <c r="H70" s="450">
        <v>0</v>
      </c>
      <c r="I70" s="450"/>
      <c r="J70" s="450"/>
      <c r="K70" s="453"/>
      <c r="L70" s="453"/>
      <c r="M70" s="445"/>
    </row>
    <row r="71" spans="1:13" s="446" customFormat="1" ht="15.6">
      <c r="A71" s="447" t="s">
        <v>71</v>
      </c>
      <c r="B71" s="448" t="s">
        <v>275</v>
      </c>
      <c r="C71" s="450">
        <f>C72+C73</f>
        <v>0</v>
      </c>
      <c r="D71" s="450">
        <v>0</v>
      </c>
      <c r="E71" s="450">
        <f t="shared" si="21"/>
        <v>2999</v>
      </c>
      <c r="F71" s="450"/>
      <c r="G71" s="450">
        <f>G72+G73</f>
        <v>0</v>
      </c>
      <c r="H71" s="450">
        <f t="shared" ref="H71" si="22">H72+H73</f>
        <v>0</v>
      </c>
      <c r="I71" s="450">
        <v>2988</v>
      </c>
      <c r="J71" s="450">
        <v>11</v>
      </c>
      <c r="K71" s="453"/>
      <c r="L71" s="453"/>
      <c r="M71" s="445"/>
    </row>
    <row r="72" spans="1:13" ht="31.2" hidden="1">
      <c r="A72" s="452">
        <v>1</v>
      </c>
      <c r="B72" s="307" t="s">
        <v>2074</v>
      </c>
      <c r="C72" s="329"/>
      <c r="D72" s="329"/>
      <c r="E72" s="329">
        <f t="shared" si="21"/>
        <v>0</v>
      </c>
      <c r="F72" s="450"/>
      <c r="G72" s="329"/>
      <c r="H72" s="329"/>
      <c r="I72" s="329"/>
      <c r="J72" s="329"/>
      <c r="K72" s="453"/>
      <c r="L72" s="453"/>
      <c r="M72" s="445"/>
    </row>
    <row r="73" spans="1:13" ht="31.5" hidden="1" customHeight="1">
      <c r="A73" s="452">
        <v>2</v>
      </c>
      <c r="B73" s="307" t="s">
        <v>2075</v>
      </c>
      <c r="C73" s="329"/>
      <c r="D73" s="329"/>
      <c r="E73" s="329">
        <f t="shared" si="21"/>
        <v>0</v>
      </c>
      <c r="F73" s="450"/>
      <c r="G73" s="329"/>
      <c r="H73" s="329"/>
      <c r="I73" s="329"/>
      <c r="J73" s="329"/>
      <c r="K73" s="453"/>
      <c r="L73" s="453"/>
      <c r="M73" s="445"/>
    </row>
    <row r="74" spans="1:13" ht="31.5" customHeight="1">
      <c r="A74" s="447" t="s">
        <v>96</v>
      </c>
      <c r="B74" s="448" t="s">
        <v>2076</v>
      </c>
      <c r="C74" s="329"/>
      <c r="D74" s="329"/>
      <c r="E74" s="329"/>
      <c r="F74" s="450">
        <f t="shared" si="6"/>
        <v>0</v>
      </c>
      <c r="G74" s="329"/>
      <c r="H74" s="329"/>
      <c r="I74" s="329"/>
      <c r="J74" s="329"/>
      <c r="K74" s="453">
        <v>0</v>
      </c>
      <c r="L74" s="453">
        <v>0</v>
      </c>
      <c r="M74" s="445"/>
    </row>
    <row r="75" spans="1:13" ht="31.5" hidden="1" customHeight="1" outlineLevel="1">
      <c r="A75" s="465">
        <v>1</v>
      </c>
      <c r="B75" s="466" t="s">
        <v>2077</v>
      </c>
      <c r="C75" s="329"/>
      <c r="D75" s="329"/>
      <c r="E75" s="329"/>
      <c r="F75" s="450">
        <f t="shared" si="6"/>
        <v>0</v>
      </c>
      <c r="G75" s="329"/>
      <c r="H75" s="329"/>
      <c r="I75" s="329"/>
      <c r="J75" s="329"/>
      <c r="K75" s="453"/>
      <c r="L75" s="453"/>
      <c r="M75" s="445"/>
    </row>
    <row r="76" spans="1:13" ht="15.75" hidden="1" customHeight="1" outlineLevel="1">
      <c r="A76" s="465">
        <v>2</v>
      </c>
      <c r="B76" s="466" t="s">
        <v>2078</v>
      </c>
      <c r="C76" s="329"/>
      <c r="D76" s="329"/>
      <c r="E76" s="329"/>
      <c r="F76" s="450">
        <f t="shared" si="6"/>
        <v>0</v>
      </c>
      <c r="G76" s="329"/>
      <c r="H76" s="329"/>
      <c r="I76" s="329"/>
      <c r="J76" s="329"/>
      <c r="K76" s="453"/>
      <c r="L76" s="453"/>
      <c r="M76" s="445"/>
    </row>
    <row r="77" spans="1:13" ht="15.75" hidden="1" customHeight="1" outlineLevel="1">
      <c r="A77" s="452" t="s">
        <v>295</v>
      </c>
      <c r="B77" s="307" t="s">
        <v>2079</v>
      </c>
      <c r="C77" s="329"/>
      <c r="D77" s="329"/>
      <c r="E77" s="329"/>
      <c r="F77" s="450">
        <f t="shared" ref="F77:F96" si="23">E77-G77</f>
        <v>0</v>
      </c>
      <c r="G77" s="329"/>
      <c r="H77" s="329"/>
      <c r="I77" s="329"/>
      <c r="J77" s="329"/>
      <c r="K77" s="453"/>
      <c r="L77" s="453"/>
      <c r="M77" s="445"/>
    </row>
    <row r="78" spans="1:13" ht="15.75" hidden="1" customHeight="1" outlineLevel="1">
      <c r="A78" s="452" t="s">
        <v>296</v>
      </c>
      <c r="B78" s="307" t="s">
        <v>2080</v>
      </c>
      <c r="C78" s="329"/>
      <c r="D78" s="329"/>
      <c r="E78" s="329"/>
      <c r="F78" s="450">
        <f t="shared" si="23"/>
        <v>0</v>
      </c>
      <c r="G78" s="329"/>
      <c r="H78" s="329"/>
      <c r="I78" s="329"/>
      <c r="J78" s="329"/>
      <c r="K78" s="453"/>
      <c r="L78" s="453"/>
      <c r="M78" s="445"/>
    </row>
    <row r="79" spans="1:13" ht="31.5" hidden="1" customHeight="1" outlineLevel="1">
      <c r="A79" s="465">
        <v>3</v>
      </c>
      <c r="B79" s="466" t="s">
        <v>18</v>
      </c>
      <c r="C79" s="329"/>
      <c r="D79" s="329"/>
      <c r="E79" s="329"/>
      <c r="F79" s="450">
        <f t="shared" si="23"/>
        <v>0</v>
      </c>
      <c r="G79" s="329"/>
      <c r="H79" s="329"/>
      <c r="I79" s="329"/>
      <c r="J79" s="329"/>
      <c r="K79" s="453"/>
      <c r="L79" s="453"/>
      <c r="M79" s="445"/>
    </row>
    <row r="80" spans="1:13" s="446" customFormat="1" ht="15.75" customHeight="1" collapsed="1">
      <c r="A80" s="447" t="s">
        <v>8</v>
      </c>
      <c r="B80" s="448" t="s">
        <v>2081</v>
      </c>
      <c r="C80" s="450"/>
      <c r="D80" s="450"/>
      <c r="E80" s="450">
        <f>E81+E84</f>
        <v>3454</v>
      </c>
      <c r="F80" s="450">
        <f t="shared" si="23"/>
        <v>3454</v>
      </c>
      <c r="G80" s="450">
        <f>G81+G84</f>
        <v>0</v>
      </c>
      <c r="H80" s="450">
        <f t="shared" ref="H80:J80" si="24">H81+H84</f>
        <v>3454</v>
      </c>
      <c r="I80" s="450">
        <f t="shared" si="24"/>
        <v>0</v>
      </c>
      <c r="J80" s="450">
        <f t="shared" si="24"/>
        <v>0</v>
      </c>
      <c r="K80" s="451"/>
      <c r="L80" s="453"/>
      <c r="M80" s="445"/>
    </row>
    <row r="81" spans="1:13" s="446" customFormat="1" ht="15.75" customHeight="1">
      <c r="A81" s="447" t="s">
        <v>45</v>
      </c>
      <c r="B81" s="448" t="s">
        <v>2082</v>
      </c>
      <c r="C81" s="450"/>
      <c r="D81" s="450"/>
      <c r="E81" s="450">
        <f t="shared" ref="E81:E82" si="25">G81+H81+I81+J81</f>
        <v>3454</v>
      </c>
      <c r="F81" s="450">
        <f t="shared" si="23"/>
        <v>3454</v>
      </c>
      <c r="G81" s="450">
        <f>G83+G82</f>
        <v>0</v>
      </c>
      <c r="H81" s="450">
        <f t="shared" ref="H81:J81" si="26">H83+H82</f>
        <v>3454</v>
      </c>
      <c r="I81" s="450">
        <f t="shared" si="26"/>
        <v>0</v>
      </c>
      <c r="J81" s="450">
        <f t="shared" si="26"/>
        <v>0</v>
      </c>
      <c r="K81" s="451"/>
      <c r="L81" s="453"/>
      <c r="M81" s="445"/>
    </row>
    <row r="82" spans="1:13" ht="15.75" customHeight="1">
      <c r="A82" s="452">
        <v>1</v>
      </c>
      <c r="B82" s="307" t="s">
        <v>2083</v>
      </c>
      <c r="C82" s="329"/>
      <c r="D82" s="329"/>
      <c r="E82" s="329">
        <f t="shared" si="25"/>
        <v>3454</v>
      </c>
      <c r="F82" s="329">
        <f t="shared" si="23"/>
        <v>3454</v>
      </c>
      <c r="G82" s="329"/>
      <c r="H82" s="329">
        <v>3454</v>
      </c>
      <c r="I82" s="329"/>
      <c r="J82" s="329"/>
      <c r="K82" s="453"/>
      <c r="L82" s="453"/>
      <c r="M82" s="38"/>
    </row>
    <row r="83" spans="1:13" ht="15.75" customHeight="1">
      <c r="A83" s="452">
        <v>2</v>
      </c>
      <c r="B83" s="307" t="s">
        <v>2084</v>
      </c>
      <c r="C83" s="329"/>
      <c r="D83" s="329"/>
      <c r="E83" s="329">
        <f>G83+H83+I83+J83</f>
        <v>0</v>
      </c>
      <c r="F83" s="450">
        <f t="shared" si="23"/>
        <v>0</v>
      </c>
      <c r="G83" s="329"/>
      <c r="H83" s="329"/>
      <c r="I83" s="329"/>
      <c r="J83" s="329"/>
      <c r="K83" s="453"/>
      <c r="L83" s="453"/>
      <c r="M83" s="445"/>
    </row>
    <row r="84" spans="1:13" ht="15.75" customHeight="1">
      <c r="A84" s="447" t="s">
        <v>29</v>
      </c>
      <c r="B84" s="448" t="s">
        <v>2085</v>
      </c>
      <c r="C84" s="329"/>
      <c r="D84" s="329"/>
      <c r="E84" s="329"/>
      <c r="F84" s="450">
        <f t="shared" si="23"/>
        <v>0</v>
      </c>
      <c r="G84" s="329"/>
      <c r="H84" s="329"/>
      <c r="I84" s="329"/>
      <c r="J84" s="329"/>
      <c r="K84" s="453"/>
      <c r="L84" s="453"/>
      <c r="M84" s="445"/>
    </row>
    <row r="85" spans="1:13" ht="15.75" hidden="1" customHeight="1">
      <c r="A85" s="452">
        <v>1</v>
      </c>
      <c r="B85" s="307" t="s">
        <v>2083</v>
      </c>
      <c r="C85" s="329"/>
      <c r="D85" s="329"/>
      <c r="E85" s="329"/>
      <c r="F85" s="450">
        <f t="shared" si="23"/>
        <v>0</v>
      </c>
      <c r="G85" s="329"/>
      <c r="H85" s="329"/>
      <c r="I85" s="329"/>
      <c r="J85" s="329"/>
      <c r="K85" s="453"/>
      <c r="L85" s="453" t="e">
        <f t="shared" ref="L85:L87" si="27">E85/D85</f>
        <v>#DIV/0!</v>
      </c>
      <c r="M85" s="445"/>
    </row>
    <row r="86" spans="1:13" ht="15.6" hidden="1" collapsed="1">
      <c r="A86" s="452">
        <v>2</v>
      </c>
      <c r="B86" s="307" t="s">
        <v>2084</v>
      </c>
      <c r="C86" s="329"/>
      <c r="D86" s="329"/>
      <c r="E86" s="329"/>
      <c r="F86" s="450">
        <f t="shared" si="23"/>
        <v>0</v>
      </c>
      <c r="G86" s="329"/>
      <c r="H86" s="329"/>
      <c r="I86" s="329"/>
      <c r="J86" s="329"/>
      <c r="K86" s="453"/>
      <c r="L86" s="453" t="e">
        <f t="shared" si="27"/>
        <v>#DIV/0!</v>
      </c>
      <c r="M86" s="445"/>
    </row>
    <row r="87" spans="1:13" s="446" customFormat="1" ht="15.6">
      <c r="A87" s="447" t="s">
        <v>35</v>
      </c>
      <c r="B87" s="448" t="s">
        <v>276</v>
      </c>
      <c r="C87" s="450">
        <f>C88</f>
        <v>0</v>
      </c>
      <c r="D87" s="450">
        <f>D88</f>
        <v>20000</v>
      </c>
      <c r="E87" s="450">
        <f t="shared" ref="E87:J87" si="28">E88</f>
        <v>0</v>
      </c>
      <c r="F87" s="450">
        <f t="shared" si="28"/>
        <v>0</v>
      </c>
      <c r="G87" s="450">
        <f t="shared" si="28"/>
        <v>0</v>
      </c>
      <c r="H87" s="450">
        <f t="shared" si="28"/>
        <v>0</v>
      </c>
      <c r="I87" s="450">
        <f t="shared" si="28"/>
        <v>0</v>
      </c>
      <c r="J87" s="450">
        <f t="shared" si="28"/>
        <v>0</v>
      </c>
      <c r="K87" s="451"/>
      <c r="L87" s="453">
        <f t="shared" si="27"/>
        <v>0</v>
      </c>
      <c r="M87" s="445"/>
    </row>
    <row r="88" spans="1:13" ht="15.6">
      <c r="A88" s="452">
        <v>1</v>
      </c>
      <c r="B88" s="307" t="s">
        <v>2086</v>
      </c>
      <c r="C88" s="329"/>
      <c r="D88" s="329">
        <v>20000</v>
      </c>
      <c r="E88" s="329">
        <f>G88+H88+I88+J88</f>
        <v>0</v>
      </c>
      <c r="F88" s="450"/>
      <c r="G88" s="329">
        <v>0</v>
      </c>
      <c r="H88" s="329">
        <v>0</v>
      </c>
      <c r="I88" s="329">
        <v>0</v>
      </c>
      <c r="J88" s="329">
        <v>0</v>
      </c>
      <c r="K88" s="453"/>
      <c r="L88" s="453"/>
      <c r="M88" s="445"/>
    </row>
    <row r="89" spans="1:13" s="446" customFormat="1" ht="15.6">
      <c r="A89" s="447" t="s">
        <v>36</v>
      </c>
      <c r="B89" s="448" t="s">
        <v>2087</v>
      </c>
      <c r="C89" s="450">
        <f>C90+C95</f>
        <v>4997211</v>
      </c>
      <c r="D89" s="450">
        <f>D90+D95</f>
        <v>4997211</v>
      </c>
      <c r="E89" s="450">
        <f>E90+E95</f>
        <v>8459339.3128580004</v>
      </c>
      <c r="F89" s="450">
        <f t="shared" si="23"/>
        <v>8393949.0029349998</v>
      </c>
      <c r="G89" s="450">
        <f t="shared" ref="G89:J89" si="29">G90+G95</f>
        <v>65390.309923000001</v>
      </c>
      <c r="H89" s="450">
        <f t="shared" si="29"/>
        <v>5193492.6420460008</v>
      </c>
      <c r="I89" s="450">
        <f t="shared" si="29"/>
        <v>2699313.538224</v>
      </c>
      <c r="J89" s="450">
        <f t="shared" si="29"/>
        <v>501142.82266499999</v>
      </c>
      <c r="K89" s="451">
        <f t="shared" ref="K89:K94" si="30">E89/C89</f>
        <v>1.6928121131683254</v>
      </c>
      <c r="L89" s="451">
        <f t="shared" ref="L89:L94" si="31">E89/D89</f>
        <v>1.6928121131683254</v>
      </c>
      <c r="M89" s="445"/>
    </row>
    <row r="90" spans="1:13" s="446" customFormat="1" ht="15.6">
      <c r="A90" s="447" t="s">
        <v>45</v>
      </c>
      <c r="B90" s="448" t="s">
        <v>278</v>
      </c>
      <c r="C90" s="450">
        <f>C91+C92</f>
        <v>4997211</v>
      </c>
      <c r="D90" s="450">
        <f>D91+D92</f>
        <v>4997211</v>
      </c>
      <c r="E90" s="450">
        <f>E91+E92</f>
        <v>8317286.5438090004</v>
      </c>
      <c r="F90" s="450">
        <f t="shared" si="23"/>
        <v>8317286.5438090004</v>
      </c>
      <c r="G90" s="450">
        <f t="shared" ref="G90:J90" si="32">G91+G92</f>
        <v>0</v>
      </c>
      <c r="H90" s="450">
        <f t="shared" si="32"/>
        <v>5122473.5367440004</v>
      </c>
      <c r="I90" s="450">
        <f t="shared" si="32"/>
        <v>2693670.1844000001</v>
      </c>
      <c r="J90" s="450">
        <f t="shared" si="32"/>
        <v>501142.82266499999</v>
      </c>
      <c r="K90" s="451">
        <f t="shared" si="30"/>
        <v>1.6643857031069931</v>
      </c>
      <c r="L90" s="451">
        <f t="shared" si="31"/>
        <v>1.6643857031069931</v>
      </c>
      <c r="M90" s="445"/>
    </row>
    <row r="91" spans="1:13" s="446" customFormat="1" ht="15.6">
      <c r="A91" s="447" t="s">
        <v>2088</v>
      </c>
      <c r="B91" s="448" t="s">
        <v>279</v>
      </c>
      <c r="C91" s="450">
        <v>3030369</v>
      </c>
      <c r="D91" s="450">
        <v>3030369</v>
      </c>
      <c r="E91" s="450">
        <f>G91+H91+I91+J91</f>
        <v>5278117.8990000002</v>
      </c>
      <c r="F91" s="450">
        <f t="shared" si="23"/>
        <v>5278117.8990000002</v>
      </c>
      <c r="G91" s="450">
        <v>0</v>
      </c>
      <c r="H91" s="450">
        <v>3030369</v>
      </c>
      <c r="I91" s="450">
        <v>1863299.774</v>
      </c>
      <c r="J91" s="450">
        <v>384449.125</v>
      </c>
      <c r="K91" s="451">
        <f t="shared" si="30"/>
        <v>1.7417409889686701</v>
      </c>
      <c r="L91" s="451">
        <f t="shared" si="31"/>
        <v>1.7417409889686701</v>
      </c>
      <c r="M91" s="445"/>
    </row>
    <row r="92" spans="1:13" s="446" customFormat="1" ht="15.6">
      <c r="A92" s="447" t="s">
        <v>2089</v>
      </c>
      <c r="B92" s="448" t="s">
        <v>150</v>
      </c>
      <c r="C92" s="450">
        <f>C93+C94</f>
        <v>1966842</v>
      </c>
      <c r="D92" s="450">
        <f>D93+D94</f>
        <v>1966842</v>
      </c>
      <c r="E92" s="450">
        <f>E93+E94</f>
        <v>3039168.6448089997</v>
      </c>
      <c r="F92" s="450">
        <f t="shared" si="23"/>
        <v>3039168.6448089997</v>
      </c>
      <c r="G92" s="450">
        <f t="shared" ref="G92:J92" si="33">G93+G94</f>
        <v>0</v>
      </c>
      <c r="H92" s="450">
        <f t="shared" si="33"/>
        <v>2092104.5367440002</v>
      </c>
      <c r="I92" s="450">
        <f t="shared" si="33"/>
        <v>830370.41040000005</v>
      </c>
      <c r="J92" s="450">
        <f t="shared" si="33"/>
        <v>116693.697665</v>
      </c>
      <c r="K92" s="451">
        <f t="shared" si="30"/>
        <v>1.5452022301786315</v>
      </c>
      <c r="L92" s="451">
        <f t="shared" si="31"/>
        <v>1.5452022301786315</v>
      </c>
      <c r="M92" s="445"/>
    </row>
    <row r="93" spans="1:13" s="463" customFormat="1" ht="30" customHeight="1">
      <c r="A93" s="457" t="s">
        <v>295</v>
      </c>
      <c r="B93" s="458" t="s">
        <v>2090</v>
      </c>
      <c r="C93" s="459">
        <f>1966842-C94</f>
        <v>1520432</v>
      </c>
      <c r="D93" s="459">
        <f>1966842-D94</f>
        <v>1520432</v>
      </c>
      <c r="E93" s="459">
        <f>G93+H93+I93+J93</f>
        <v>2743832.5545649999</v>
      </c>
      <c r="F93" s="459">
        <f t="shared" si="23"/>
        <v>2743832.5545649999</v>
      </c>
      <c r="G93" s="459">
        <v>0</v>
      </c>
      <c r="H93" s="459">
        <v>1796768.4465000001</v>
      </c>
      <c r="I93" s="459">
        <v>830370.41040000005</v>
      </c>
      <c r="J93" s="459">
        <v>116693.697665</v>
      </c>
      <c r="K93" s="461">
        <f t="shared" si="30"/>
        <v>1.8046400987120765</v>
      </c>
      <c r="L93" s="461">
        <f t="shared" si="31"/>
        <v>1.8046400987120765</v>
      </c>
      <c r="M93" s="445"/>
    </row>
    <row r="94" spans="1:13" s="463" customFormat="1" ht="36" customHeight="1">
      <c r="A94" s="457" t="s">
        <v>296</v>
      </c>
      <c r="B94" s="458" t="s">
        <v>2091</v>
      </c>
      <c r="C94" s="459">
        <f>358110+88300</f>
        <v>446410</v>
      </c>
      <c r="D94" s="459">
        <f>358110+88300</f>
        <v>446410</v>
      </c>
      <c r="E94" s="459">
        <f>G94+H94+I94+J94</f>
        <v>295336.09024400002</v>
      </c>
      <c r="F94" s="459">
        <f t="shared" si="23"/>
        <v>295336.09024400002</v>
      </c>
      <c r="G94" s="459">
        <v>0</v>
      </c>
      <c r="H94" s="459">
        <v>295336.09024400002</v>
      </c>
      <c r="I94" s="459">
        <v>0</v>
      </c>
      <c r="J94" s="459">
        <v>0</v>
      </c>
      <c r="K94" s="461">
        <f t="shared" si="30"/>
        <v>0.66158036388969788</v>
      </c>
      <c r="L94" s="461">
        <f t="shared" si="31"/>
        <v>0.66158036388969788</v>
      </c>
      <c r="M94" s="445"/>
    </row>
    <row r="95" spans="1:13" s="446" customFormat="1" ht="15.75" customHeight="1">
      <c r="A95" s="447" t="s">
        <v>29</v>
      </c>
      <c r="B95" s="448" t="s">
        <v>277</v>
      </c>
      <c r="C95" s="450"/>
      <c r="D95" s="450"/>
      <c r="E95" s="450">
        <f>G95+H95+I95+J95</f>
        <v>142052.76904899999</v>
      </c>
      <c r="F95" s="450">
        <f>E95-G95</f>
        <v>76662.459126000002</v>
      </c>
      <c r="G95" s="450">
        <v>65390.309923000001</v>
      </c>
      <c r="H95" s="450">
        <v>71019.105301999996</v>
      </c>
      <c r="I95" s="450">
        <v>5643.3538239999998</v>
      </c>
      <c r="J95" s="450">
        <v>0</v>
      </c>
      <c r="K95" s="451"/>
      <c r="L95" s="451"/>
      <c r="M95" s="445"/>
    </row>
    <row r="96" spans="1:13" s="446" customFormat="1" ht="15.6">
      <c r="A96" s="447" t="s">
        <v>37</v>
      </c>
      <c r="B96" s="448" t="s">
        <v>2092</v>
      </c>
      <c r="C96" s="450"/>
      <c r="D96" s="450"/>
      <c r="E96" s="450">
        <f>G96+H96+I96+J96</f>
        <v>1185342.1747400002</v>
      </c>
      <c r="F96" s="450">
        <f t="shared" si="23"/>
        <v>1185342.1747400002</v>
      </c>
      <c r="G96" s="450">
        <v>0</v>
      </c>
      <c r="H96" s="450">
        <v>901819.66535200004</v>
      </c>
      <c r="I96" s="450">
        <v>241773.11695299999</v>
      </c>
      <c r="J96" s="450">
        <v>41749.392435000002</v>
      </c>
      <c r="K96" s="451"/>
      <c r="L96" s="451"/>
      <c r="M96" s="445"/>
    </row>
    <row r="97" spans="1:13" s="446" customFormat="1" ht="15.6">
      <c r="A97" s="467" t="s">
        <v>2093</v>
      </c>
      <c r="B97" s="468" t="s">
        <v>2094</v>
      </c>
      <c r="C97" s="469"/>
      <c r="D97" s="469"/>
      <c r="E97" s="469">
        <f>G97+H97+I97+J97</f>
        <v>108648.940846</v>
      </c>
      <c r="F97" s="469">
        <f>E97-G97</f>
        <v>108648.940846</v>
      </c>
      <c r="G97" s="469">
        <v>0</v>
      </c>
      <c r="H97" s="469">
        <v>31480.353094999999</v>
      </c>
      <c r="I97" s="469">
        <v>67857.758321000001</v>
      </c>
      <c r="J97" s="469">
        <v>9310.8294299999998</v>
      </c>
      <c r="K97" s="470"/>
      <c r="L97" s="470"/>
      <c r="M97" s="445"/>
    </row>
    <row r="98" spans="1:13" ht="9" customHeight="1">
      <c r="A98" s="47"/>
    </row>
    <row r="99" spans="1:13" s="471" customFormat="1" ht="15.75" customHeight="1">
      <c r="A99" s="862" t="s">
        <v>2095</v>
      </c>
      <c r="B99" s="862"/>
      <c r="C99" s="862" t="s">
        <v>2048</v>
      </c>
      <c r="D99" s="862"/>
      <c r="E99" s="862"/>
      <c r="F99" s="862"/>
      <c r="G99" s="862"/>
      <c r="H99" s="862" t="s">
        <v>2049</v>
      </c>
      <c r="I99" s="862"/>
      <c r="J99" s="862"/>
      <c r="K99" s="862"/>
    </row>
    <row r="100" spans="1:13" s="471" customFormat="1" ht="15.75" customHeight="1">
      <c r="A100" s="813" t="s">
        <v>331</v>
      </c>
      <c r="B100" s="813"/>
      <c r="C100" s="813" t="s">
        <v>332</v>
      </c>
      <c r="D100" s="813"/>
      <c r="E100" s="813"/>
      <c r="F100" s="813"/>
      <c r="G100" s="813"/>
      <c r="H100" s="861" t="s">
        <v>333</v>
      </c>
      <c r="I100" s="861"/>
      <c r="J100" s="861"/>
      <c r="K100" s="861"/>
    </row>
    <row r="101" spans="1:13" s="471" customFormat="1" ht="15.75" customHeight="1">
      <c r="A101" s="813" t="s">
        <v>2096</v>
      </c>
      <c r="B101" s="813"/>
      <c r="C101" s="813" t="s">
        <v>2097</v>
      </c>
      <c r="D101" s="813"/>
      <c r="E101" s="813"/>
      <c r="F101" s="813"/>
      <c r="G101" s="813"/>
      <c r="H101" s="861" t="s">
        <v>336</v>
      </c>
      <c r="I101" s="861"/>
      <c r="J101" s="861"/>
      <c r="K101" s="861"/>
    </row>
    <row r="102" spans="1:13" ht="15.6">
      <c r="A102" s="472"/>
      <c r="B102" s="472"/>
      <c r="D102" s="472"/>
      <c r="E102" s="473"/>
      <c r="F102" s="473"/>
      <c r="G102" s="472"/>
      <c r="H102" s="472"/>
      <c r="J102" s="472"/>
      <c r="K102" s="472"/>
      <c r="L102" s="472"/>
    </row>
    <row r="103" spans="1:13" ht="15.6">
      <c r="A103" s="474" t="s">
        <v>2098</v>
      </c>
    </row>
    <row r="108" spans="1:13" s="446" customFormat="1">
      <c r="D108" s="445">
        <f>D11</f>
        <v>1919000</v>
      </c>
      <c r="E108" s="475"/>
      <c r="F108" s="475"/>
      <c r="G108" s="445">
        <f>H108+I108+J108</f>
        <v>2388797.505535</v>
      </c>
      <c r="H108" s="445">
        <f>H11</f>
        <v>1413344.5683729998</v>
      </c>
      <c r="I108" s="445">
        <f>I11</f>
        <v>920629.80071599991</v>
      </c>
      <c r="J108" s="445">
        <f>J11</f>
        <v>54823.136446000004</v>
      </c>
    </row>
    <row r="109" spans="1:13" s="446" customFormat="1">
      <c r="B109" s="446" t="s">
        <v>2099</v>
      </c>
      <c r="D109" s="445">
        <f>D13+D14+D15+D20+D21+D22+D27+D28+D29+D33+D34+D35+D42+D45</f>
        <v>954400</v>
      </c>
      <c r="E109" s="475"/>
      <c r="F109" s="475"/>
      <c r="G109" s="445">
        <f>H109+I109+J109</f>
        <v>1073430.2363410001</v>
      </c>
      <c r="H109" s="445">
        <f>H13+H14+H15+H20+H21+H22+H27+H28+H29+H33+H34+H35+H42+H45</f>
        <v>546390.40609000006</v>
      </c>
      <c r="I109" s="445">
        <f>I13+I14+I15+I20+I21+I22+I27+I28+I29+I33+I34+I35+I42+I45</f>
        <v>527039.83025100001</v>
      </c>
      <c r="J109" s="445">
        <f>J13+J14+J15+J20+J21+J22+J27+J28+J29+J33+J34+J35+J42+J45</f>
        <v>0</v>
      </c>
    </row>
    <row r="110" spans="1:13" s="446" customFormat="1">
      <c r="B110" s="446" t="s">
        <v>2100</v>
      </c>
      <c r="D110" s="445">
        <f>D108-D109</f>
        <v>964600</v>
      </c>
      <c r="E110" s="475"/>
      <c r="F110" s="475"/>
      <c r="G110" s="445">
        <f>H110+I110+J110</f>
        <v>1315367.2691939997</v>
      </c>
      <c r="H110" s="445">
        <f>H108-H109</f>
        <v>866954.16228299972</v>
      </c>
      <c r="I110" s="445">
        <f>I108-I109</f>
        <v>393589.9704649999</v>
      </c>
      <c r="J110" s="445">
        <f t="shared" ref="J110" si="34">J108-J109</f>
        <v>54823.136446000004</v>
      </c>
    </row>
    <row r="111" spans="1:13" s="446" customFormat="1">
      <c r="E111" s="475"/>
      <c r="F111" s="475"/>
    </row>
  </sheetData>
  <mergeCells count="17">
    <mergeCell ref="A101:B101"/>
    <mergeCell ref="C101:G101"/>
    <mergeCell ref="H101:K101"/>
    <mergeCell ref="A99:B99"/>
    <mergeCell ref="C99:G99"/>
    <mergeCell ref="H99:K99"/>
    <mergeCell ref="A100:B100"/>
    <mergeCell ref="C100:G100"/>
    <mergeCell ref="H100:K100"/>
    <mergeCell ref="E6:E7"/>
    <mergeCell ref="A6:A7"/>
    <mergeCell ref="B6:B7"/>
    <mergeCell ref="C6:D6"/>
    <mergeCell ref="A3:L3"/>
    <mergeCell ref="A4:L4"/>
    <mergeCell ref="G6:J6"/>
    <mergeCell ref="K6:L6"/>
  </mergeCells>
  <dataValidations count="1">
    <dataValidation allowBlank="1" showInputMessage="1" showErrorMessage="1" prompt="- Trừ số tỉnh nộp TW đã hạch toan 62990,309923 trđ_x000a_- Trừ 2,4 trđ nộp trả TW,  Thanh đã có chứng từ gửi KBNN tỉnh chờ hạch toán" sqref="E95" xr:uid="{00000000-0002-0000-0F00-000000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76"/>
  <sheetViews>
    <sheetView workbookViewId="0">
      <pane xSplit="2" ySplit="8" topLeftCell="C9" activePane="bottomRight" state="frozen"/>
      <selection activeCell="H101" sqref="H101:K101"/>
      <selection pane="topRight" activeCell="H101" sqref="H101:K101"/>
      <selection pane="bottomLeft" activeCell="H101" sqref="H101:K101"/>
      <selection pane="bottomRight" activeCell="H101" sqref="H101:K101"/>
    </sheetView>
  </sheetViews>
  <sheetFormatPr defaultColWidth="9.109375" defaultRowHeight="13.8" outlineLevelRow="1" outlineLevelCol="1"/>
  <cols>
    <col min="1" max="1" width="5.44140625" style="39" customWidth="1"/>
    <col min="2" max="2" width="48.88671875" style="39" customWidth="1"/>
    <col min="3" max="4" width="11.33203125" style="39" customWidth="1"/>
    <col min="5" max="6" width="11.33203125" style="39" customWidth="1" outlineLevel="1"/>
    <col min="7" max="7" width="13" style="39" customWidth="1"/>
    <col min="8" max="8" width="12" style="39" customWidth="1"/>
    <col min="9" max="10" width="11.33203125" style="39" customWidth="1"/>
    <col min="11" max="11" width="10.88671875" style="39" customWidth="1"/>
    <col min="12" max="12" width="11.33203125" style="39" customWidth="1"/>
    <col min="13" max="13" width="9.109375" style="39"/>
    <col min="14" max="14" width="9.88671875" style="39" bestFit="1" customWidth="1"/>
    <col min="15" max="16384" width="9.109375" style="39"/>
  </cols>
  <sheetData>
    <row r="1" spans="1:12" s="37" customFormat="1" ht="15.6">
      <c r="A1" s="43" t="s">
        <v>202</v>
      </c>
      <c r="C1" s="431"/>
      <c r="D1" s="431"/>
      <c r="E1" s="431"/>
      <c r="F1" s="431"/>
      <c r="G1" s="430"/>
      <c r="H1" s="430"/>
      <c r="I1" s="430"/>
      <c r="J1" s="430"/>
      <c r="K1" s="859" t="s">
        <v>2101</v>
      </c>
      <c r="L1" s="859"/>
    </row>
    <row r="2" spans="1:12" ht="15.6">
      <c r="A2" s="433"/>
      <c r="C2" s="38"/>
      <c r="D2" s="38"/>
      <c r="E2" s="38"/>
      <c r="F2" s="38"/>
    </row>
    <row r="3" spans="1:12" ht="15.6">
      <c r="A3" s="859" t="s">
        <v>2102</v>
      </c>
      <c r="B3" s="859"/>
      <c r="C3" s="859"/>
      <c r="D3" s="859"/>
      <c r="E3" s="859"/>
      <c r="F3" s="859"/>
      <c r="G3" s="859"/>
      <c r="H3" s="859"/>
      <c r="I3" s="859"/>
      <c r="J3" s="859"/>
      <c r="K3" s="859"/>
      <c r="L3" s="859"/>
    </row>
    <row r="4" spans="1:12" ht="6.75" customHeight="1">
      <c r="A4" s="860"/>
      <c r="B4" s="860"/>
      <c r="C4" s="860"/>
      <c r="D4" s="860"/>
      <c r="E4" s="860"/>
      <c r="F4" s="860"/>
      <c r="G4" s="860"/>
      <c r="H4" s="860"/>
      <c r="I4" s="860"/>
      <c r="J4" s="860"/>
      <c r="K4" s="860"/>
      <c r="L4" s="860"/>
    </row>
    <row r="5" spans="1:12" ht="15.6">
      <c r="B5" s="51"/>
      <c r="C5" s="38"/>
      <c r="D5" s="38"/>
      <c r="E5" s="38"/>
      <c r="F5" s="38"/>
      <c r="G5" s="38">
        <f>'CD QT'!G12-'Chi NSDP_trinh HDND'!G28-'Chi NSDP_trinh HDND'!G47-'Chi NSDP_trinh HDND'!G52</f>
        <v>-9.3132257461547852E-10</v>
      </c>
      <c r="H5" s="38">
        <f>H10</f>
        <v>1255540.2626</v>
      </c>
      <c r="L5" s="437" t="s">
        <v>305</v>
      </c>
    </row>
    <row r="6" spans="1:12" s="446" customFormat="1" ht="15.75" customHeight="1">
      <c r="A6" s="828" t="s">
        <v>2</v>
      </c>
      <c r="B6" s="828" t="s">
        <v>280</v>
      </c>
      <c r="C6" s="828" t="s">
        <v>2054</v>
      </c>
      <c r="D6" s="828"/>
      <c r="E6" s="863" t="s">
        <v>162</v>
      </c>
      <c r="F6" s="864"/>
      <c r="G6" s="828" t="s">
        <v>2055</v>
      </c>
      <c r="H6" s="828"/>
      <c r="I6" s="828"/>
      <c r="J6" s="828"/>
      <c r="K6" s="828" t="s">
        <v>2103</v>
      </c>
      <c r="L6" s="828"/>
    </row>
    <row r="7" spans="1:12" s="446" customFormat="1" ht="60" customHeight="1">
      <c r="A7" s="828"/>
      <c r="B7" s="828"/>
      <c r="C7" s="439" t="s">
        <v>2104</v>
      </c>
      <c r="D7" s="439" t="s">
        <v>253</v>
      </c>
      <c r="E7" s="595" t="s">
        <v>2268</v>
      </c>
      <c r="F7" s="595" t="s">
        <v>2269</v>
      </c>
      <c r="G7" s="439" t="s">
        <v>281</v>
      </c>
      <c r="H7" s="439" t="s">
        <v>282</v>
      </c>
      <c r="I7" s="439" t="s">
        <v>283</v>
      </c>
      <c r="J7" s="439" t="s">
        <v>284</v>
      </c>
      <c r="K7" s="439" t="s">
        <v>2104</v>
      </c>
      <c r="L7" s="439" t="s">
        <v>253</v>
      </c>
    </row>
    <row r="8" spans="1:12" s="42" customFormat="1" ht="13.2">
      <c r="A8" s="440" t="s">
        <v>7</v>
      </c>
      <c r="B8" s="440" t="s">
        <v>8</v>
      </c>
      <c r="C8" s="440">
        <v>1</v>
      </c>
      <c r="D8" s="440">
        <v>2</v>
      </c>
      <c r="E8" s="440"/>
      <c r="F8" s="440"/>
      <c r="G8" s="440" t="s">
        <v>2105</v>
      </c>
      <c r="H8" s="440">
        <v>4</v>
      </c>
      <c r="I8" s="440">
        <v>5</v>
      </c>
      <c r="J8" s="440">
        <v>6</v>
      </c>
      <c r="K8" s="440" t="s">
        <v>2106</v>
      </c>
      <c r="L8" s="440" t="s">
        <v>2107</v>
      </c>
    </row>
    <row r="9" spans="1:12" s="446" customFormat="1" ht="15.6">
      <c r="A9" s="54" t="s">
        <v>7</v>
      </c>
      <c r="B9" s="476" t="s">
        <v>285</v>
      </c>
      <c r="C9" s="443">
        <f t="shared" ref="C9:D9" si="0">C10+C27+C28+C42+C43+C44+C45+C46+C47</f>
        <v>6677911</v>
      </c>
      <c r="D9" s="443">
        <f t="shared" si="0"/>
        <v>6769911</v>
      </c>
      <c r="E9" s="443">
        <f t="shared" ref="E9:F9" si="1">E10+E27+E28+E42+E43+E44+E45+E46+E47</f>
        <v>3628229</v>
      </c>
      <c r="F9" s="443">
        <f t="shared" si="1"/>
        <v>3141682</v>
      </c>
      <c r="G9" s="443">
        <f>G10+G27+G28+G42+G43+G44+G45+G46+G47+G48</f>
        <v>8660743.4579370003</v>
      </c>
      <c r="H9" s="443">
        <f t="shared" ref="H9:J9" si="2">H10+H27+H28+H42+H43+H44+H45+H46+H47+H48</f>
        <v>4774061.4805350006</v>
      </c>
      <c r="I9" s="443">
        <f t="shared" si="2"/>
        <v>3295194.6563690002</v>
      </c>
      <c r="J9" s="443">
        <f t="shared" si="2"/>
        <v>591487.32103300001</v>
      </c>
      <c r="K9" s="477">
        <f t="shared" ref="K9:K40" si="3">IF((C9&gt;0),(G9/C9)*100,0)</f>
        <v>129.69240617218469</v>
      </c>
      <c r="L9" s="477">
        <f t="shared" ref="L9:L40" si="4">IF((D9&gt;0),(G9/D9)*100,0)</f>
        <v>127.92994557737909</v>
      </c>
    </row>
    <row r="10" spans="1:12" s="446" customFormat="1" ht="15.6">
      <c r="A10" s="105" t="s">
        <v>45</v>
      </c>
      <c r="B10" s="57" t="s">
        <v>2108</v>
      </c>
      <c r="C10" s="450">
        <v>2214304</v>
      </c>
      <c r="D10" s="450">
        <v>2284304</v>
      </c>
      <c r="E10" s="450">
        <f t="shared" ref="E10" si="5">SUM(E11)+E25+E26</f>
        <v>1781508</v>
      </c>
      <c r="F10" s="450">
        <f>SUM(F11)+F25+F26</f>
        <v>502795.99999999994</v>
      </c>
      <c r="G10" s="450">
        <f>SUM(G11)+G25+G26</f>
        <v>1913197.7696189999</v>
      </c>
      <c r="H10" s="450">
        <f t="shared" ref="H10:J10" si="6">SUM(H11)+H25+H26</f>
        <v>1255540.2626</v>
      </c>
      <c r="I10" s="450">
        <f t="shared" si="6"/>
        <v>638444.6194979999</v>
      </c>
      <c r="J10" s="450">
        <f t="shared" si="6"/>
        <v>19212.887521000001</v>
      </c>
      <c r="K10" s="455">
        <f t="shared" si="3"/>
        <v>86.401766406916124</v>
      </c>
      <c r="L10" s="455">
        <f t="shared" si="4"/>
        <v>83.754078687381366</v>
      </c>
    </row>
    <row r="11" spans="1:12" ht="31.2">
      <c r="A11" s="106">
        <v>1</v>
      </c>
      <c r="B11" s="60" t="s">
        <v>2109</v>
      </c>
      <c r="C11" s="329">
        <v>2214304</v>
      </c>
      <c r="D11" s="329">
        <f t="shared" ref="D11:I11" si="7">SUM(D12:D24)</f>
        <v>2277514</v>
      </c>
      <c r="E11" s="329">
        <f>SUM(E12:E24)</f>
        <v>1774718</v>
      </c>
      <c r="F11" s="329">
        <f t="shared" si="7"/>
        <v>502795.99999999994</v>
      </c>
      <c r="G11" s="329">
        <f t="shared" si="7"/>
        <v>1899487.7696189999</v>
      </c>
      <c r="H11" s="329">
        <f t="shared" si="7"/>
        <v>1243190.2626</v>
      </c>
      <c r="I11" s="329">
        <f t="shared" si="7"/>
        <v>637084.6194979999</v>
      </c>
      <c r="J11" s="329">
        <f t="shared" ref="J11" si="8">SUM(J12:J24)</f>
        <v>19212.887521000001</v>
      </c>
      <c r="K11" s="330">
        <f t="shared" si="3"/>
        <v>85.782610229625206</v>
      </c>
      <c r="L11" s="330">
        <f t="shared" si="4"/>
        <v>83.401804319051394</v>
      </c>
    </row>
    <row r="12" spans="1:12" ht="15.6">
      <c r="A12" s="106" t="s">
        <v>103</v>
      </c>
      <c r="B12" s="307" t="s">
        <v>286</v>
      </c>
      <c r="C12" s="329">
        <v>0</v>
      </c>
      <c r="D12" s="329">
        <v>49130</v>
      </c>
      <c r="E12" s="329">
        <v>49130</v>
      </c>
      <c r="F12" s="329">
        <v>0</v>
      </c>
      <c r="G12" s="329">
        <f>H12+I12+J12</f>
        <v>32264.843000000001</v>
      </c>
      <c r="H12" s="329">
        <v>32264.843000000001</v>
      </c>
      <c r="I12" s="329">
        <v>0</v>
      </c>
      <c r="J12" s="329">
        <v>0</v>
      </c>
      <c r="K12" s="330">
        <f t="shared" si="3"/>
        <v>0</v>
      </c>
      <c r="L12" s="330">
        <f t="shared" si="4"/>
        <v>65.672385507836353</v>
      </c>
    </row>
    <row r="13" spans="1:12" ht="15.6">
      <c r="A13" s="106" t="s">
        <v>104</v>
      </c>
      <c r="B13" s="307" t="s">
        <v>287</v>
      </c>
      <c r="C13" s="329">
        <v>0</v>
      </c>
      <c r="D13" s="329">
        <v>0</v>
      </c>
      <c r="E13" s="329">
        <v>0</v>
      </c>
      <c r="F13" s="329">
        <v>0</v>
      </c>
      <c r="G13" s="329">
        <f t="shared" ref="G13:G58" si="9">H13+I13+J13</f>
        <v>2.298</v>
      </c>
      <c r="H13" s="329">
        <v>0</v>
      </c>
      <c r="I13" s="329">
        <v>2.298</v>
      </c>
      <c r="J13" s="329">
        <v>0</v>
      </c>
      <c r="K13" s="330">
        <f t="shared" si="3"/>
        <v>0</v>
      </c>
      <c r="L13" s="330">
        <f t="shared" si="4"/>
        <v>0</v>
      </c>
    </row>
    <row r="14" spans="1:12" ht="15.6">
      <c r="A14" s="106" t="s">
        <v>105</v>
      </c>
      <c r="B14" s="307" t="s">
        <v>88</v>
      </c>
      <c r="C14" s="329">
        <v>0</v>
      </c>
      <c r="D14" s="329">
        <v>153105</v>
      </c>
      <c r="E14" s="329">
        <v>74516</v>
      </c>
      <c r="F14" s="329">
        <v>78589</v>
      </c>
      <c r="G14" s="329">
        <f t="shared" si="9"/>
        <v>226870.35270999998</v>
      </c>
      <c r="H14" s="329">
        <v>109331.94187</v>
      </c>
      <c r="I14" s="329">
        <v>116929.05084</v>
      </c>
      <c r="J14" s="329">
        <v>609.36</v>
      </c>
      <c r="K14" s="330">
        <f t="shared" si="3"/>
        <v>0</v>
      </c>
      <c r="L14" s="330">
        <f t="shared" si="4"/>
        <v>148.17958440939222</v>
      </c>
    </row>
    <row r="15" spans="1:12" ht="15.6">
      <c r="A15" s="106" t="s">
        <v>107</v>
      </c>
      <c r="B15" s="307" t="s">
        <v>89</v>
      </c>
      <c r="C15" s="329">
        <v>0</v>
      </c>
      <c r="D15" s="329">
        <v>10000</v>
      </c>
      <c r="E15" s="329">
        <v>10000</v>
      </c>
      <c r="F15" s="329">
        <v>0</v>
      </c>
      <c r="G15" s="329">
        <f t="shared" si="9"/>
        <v>13576.4252</v>
      </c>
      <c r="H15" s="329">
        <v>13548.91</v>
      </c>
      <c r="I15" s="329">
        <v>27.5152</v>
      </c>
      <c r="J15" s="329">
        <v>0</v>
      </c>
      <c r="K15" s="330">
        <f t="shared" si="3"/>
        <v>0</v>
      </c>
      <c r="L15" s="330">
        <f t="shared" si="4"/>
        <v>135.764252</v>
      </c>
    </row>
    <row r="16" spans="1:12" ht="15.6">
      <c r="A16" s="106" t="s">
        <v>109</v>
      </c>
      <c r="B16" s="307" t="s">
        <v>106</v>
      </c>
      <c r="C16" s="329">
        <v>0</v>
      </c>
      <c r="D16" s="329">
        <v>77769</v>
      </c>
      <c r="E16" s="329">
        <v>77769</v>
      </c>
      <c r="F16" s="329">
        <v>0</v>
      </c>
      <c r="G16" s="329">
        <f t="shared" si="9"/>
        <v>63313.145955</v>
      </c>
      <c r="H16" s="329">
        <v>62343.226954999998</v>
      </c>
      <c r="I16" s="329">
        <v>969.91899999999998</v>
      </c>
      <c r="J16" s="329">
        <v>0</v>
      </c>
      <c r="K16" s="330">
        <f t="shared" si="3"/>
        <v>0</v>
      </c>
      <c r="L16" s="330">
        <f t="shared" si="4"/>
        <v>81.411804131466269</v>
      </c>
    </row>
    <row r="17" spans="1:29" ht="15.6">
      <c r="A17" s="106" t="s">
        <v>111</v>
      </c>
      <c r="B17" s="307" t="s">
        <v>108</v>
      </c>
      <c r="C17" s="329">
        <v>0</v>
      </c>
      <c r="D17" s="329">
        <v>43945.321000000004</v>
      </c>
      <c r="E17" s="329">
        <v>15960</v>
      </c>
      <c r="F17" s="329">
        <v>27985.321</v>
      </c>
      <c r="G17" s="329">
        <f t="shared" si="9"/>
        <v>39641.984539999998</v>
      </c>
      <c r="H17" s="329">
        <v>4664.894311</v>
      </c>
      <c r="I17" s="329">
        <v>34030.878428999997</v>
      </c>
      <c r="J17" s="329">
        <v>946.21180000000004</v>
      </c>
      <c r="K17" s="330">
        <f t="shared" si="3"/>
        <v>0</v>
      </c>
      <c r="L17" s="330">
        <f t="shared" si="4"/>
        <v>90.20752070510531</v>
      </c>
    </row>
    <row r="18" spans="1:29" ht="15.6">
      <c r="A18" s="106" t="s">
        <v>113</v>
      </c>
      <c r="B18" s="307" t="s">
        <v>110</v>
      </c>
      <c r="C18" s="329">
        <v>0</v>
      </c>
      <c r="D18" s="329">
        <v>9610</v>
      </c>
      <c r="E18" s="329">
        <v>8500</v>
      </c>
      <c r="F18" s="329">
        <v>1110</v>
      </c>
      <c r="G18" s="329">
        <f t="shared" si="9"/>
        <v>15790.055257999999</v>
      </c>
      <c r="H18" s="329">
        <v>15591.878817999999</v>
      </c>
      <c r="I18" s="329">
        <v>198.17644000000001</v>
      </c>
      <c r="J18" s="329">
        <v>0</v>
      </c>
      <c r="K18" s="330">
        <f t="shared" si="3"/>
        <v>0</v>
      </c>
      <c r="L18" s="378">
        <f t="shared" si="4"/>
        <v>164.30858749219561</v>
      </c>
    </row>
    <row r="19" spans="1:29" ht="15.6">
      <c r="A19" s="106" t="s">
        <v>115</v>
      </c>
      <c r="B19" s="307" t="s">
        <v>112</v>
      </c>
      <c r="C19" s="329">
        <v>0</v>
      </c>
      <c r="D19" s="329">
        <v>2310</v>
      </c>
      <c r="E19" s="329">
        <v>0</v>
      </c>
      <c r="F19" s="329">
        <v>2310</v>
      </c>
      <c r="G19" s="329">
        <f t="shared" si="9"/>
        <v>3799.6260000000002</v>
      </c>
      <c r="H19" s="329">
        <v>0</v>
      </c>
      <c r="I19" s="329">
        <v>3799.6260000000002</v>
      </c>
      <c r="J19" s="329">
        <v>0</v>
      </c>
      <c r="K19" s="330">
        <f t="shared" si="3"/>
        <v>0</v>
      </c>
      <c r="L19" s="330">
        <f t="shared" si="4"/>
        <v>164.48597402597403</v>
      </c>
    </row>
    <row r="20" spans="1:29" ht="15.6">
      <c r="A20" s="106" t="s">
        <v>117</v>
      </c>
      <c r="B20" s="307" t="s">
        <v>114</v>
      </c>
      <c r="C20" s="329">
        <v>0</v>
      </c>
      <c r="D20" s="329">
        <v>20698</v>
      </c>
      <c r="E20" s="329">
        <v>20156</v>
      </c>
      <c r="F20" s="329">
        <v>542</v>
      </c>
      <c r="G20" s="329">
        <f t="shared" si="9"/>
        <v>20120.133807000002</v>
      </c>
      <c r="H20" s="329">
        <v>19244.894807000001</v>
      </c>
      <c r="I20" s="329">
        <v>875.23900000000003</v>
      </c>
      <c r="J20" s="329">
        <v>0</v>
      </c>
      <c r="K20" s="330">
        <f t="shared" si="3"/>
        <v>0</v>
      </c>
      <c r="L20" s="330">
        <f t="shared" si="4"/>
        <v>97.208106131027165</v>
      </c>
    </row>
    <row r="21" spans="1:29" ht="15.6">
      <c r="A21" s="106" t="s">
        <v>119</v>
      </c>
      <c r="B21" s="307" t="s">
        <v>116</v>
      </c>
      <c r="C21" s="329">
        <v>0</v>
      </c>
      <c r="D21" s="329">
        <v>1855184.763</v>
      </c>
      <c r="E21" s="329">
        <v>1500067</v>
      </c>
      <c r="F21" s="329">
        <v>355117.76299999998</v>
      </c>
      <c r="G21" s="329">
        <f t="shared" si="9"/>
        <v>1435908.3211030001</v>
      </c>
      <c r="H21" s="329">
        <v>963407.93683899997</v>
      </c>
      <c r="I21" s="329">
        <v>456785.91447100003</v>
      </c>
      <c r="J21" s="329">
        <v>15714.469793</v>
      </c>
      <c r="K21" s="330">
        <f t="shared" si="3"/>
        <v>0</v>
      </c>
      <c r="L21" s="330">
        <f t="shared" si="4"/>
        <v>77.399747439764838</v>
      </c>
    </row>
    <row r="22" spans="1:29" ht="31.2">
      <c r="A22" s="106" t="s">
        <v>288</v>
      </c>
      <c r="B22" s="307" t="s">
        <v>289</v>
      </c>
      <c r="C22" s="329">
        <v>0</v>
      </c>
      <c r="D22" s="329">
        <v>33618.315999999999</v>
      </c>
      <c r="E22" s="329">
        <v>18620</v>
      </c>
      <c r="F22" s="329">
        <v>14998.316000000001</v>
      </c>
      <c r="G22" s="329">
        <f t="shared" si="9"/>
        <v>48200.584046000004</v>
      </c>
      <c r="H22" s="329">
        <v>22791.736000000001</v>
      </c>
      <c r="I22" s="329">
        <v>23466.002118</v>
      </c>
      <c r="J22" s="329">
        <v>1942.845928</v>
      </c>
      <c r="K22" s="330">
        <f t="shared" si="3"/>
        <v>0</v>
      </c>
      <c r="L22" s="330">
        <f t="shared" si="4"/>
        <v>143.37596221654886</v>
      </c>
      <c r="M22" s="478"/>
      <c r="N22" s="478"/>
      <c r="O22" s="478"/>
      <c r="P22" s="478"/>
      <c r="Q22" s="478"/>
    </row>
    <row r="23" spans="1:29" ht="15.6">
      <c r="A23" s="106" t="s">
        <v>290</v>
      </c>
      <c r="B23" s="307" t="s">
        <v>120</v>
      </c>
      <c r="C23" s="329">
        <v>0</v>
      </c>
      <c r="D23" s="329">
        <v>12089</v>
      </c>
      <c r="E23" s="329">
        <v>0</v>
      </c>
      <c r="F23" s="329">
        <v>12089</v>
      </c>
      <c r="G23" s="329">
        <f t="shared" si="9"/>
        <v>0</v>
      </c>
      <c r="H23" s="329">
        <v>0</v>
      </c>
      <c r="I23" s="329">
        <v>0</v>
      </c>
      <c r="J23" s="329">
        <v>0</v>
      </c>
      <c r="K23" s="330">
        <f t="shared" si="3"/>
        <v>0</v>
      </c>
      <c r="L23" s="330">
        <f t="shared" si="4"/>
        <v>0</v>
      </c>
    </row>
    <row r="24" spans="1:29" ht="15.6">
      <c r="A24" s="106" t="s">
        <v>291</v>
      </c>
      <c r="B24" s="307" t="s">
        <v>292</v>
      </c>
      <c r="C24" s="329">
        <v>0</v>
      </c>
      <c r="D24" s="329">
        <v>10054.6</v>
      </c>
      <c r="E24" s="329">
        <v>0</v>
      </c>
      <c r="F24" s="329">
        <v>10054.6</v>
      </c>
      <c r="G24" s="329">
        <f t="shared" si="9"/>
        <v>0</v>
      </c>
      <c r="H24" s="329">
        <v>0</v>
      </c>
      <c r="I24" s="329">
        <v>0</v>
      </c>
      <c r="J24" s="329">
        <v>0</v>
      </c>
      <c r="K24" s="330">
        <f t="shared" si="3"/>
        <v>0</v>
      </c>
      <c r="L24" s="330">
        <f t="shared" si="4"/>
        <v>0</v>
      </c>
    </row>
    <row r="25" spans="1:29" ht="31.2">
      <c r="A25" s="106">
        <v>2</v>
      </c>
      <c r="B25" s="60" t="s">
        <v>293</v>
      </c>
      <c r="C25" s="329">
        <v>0</v>
      </c>
      <c r="D25" s="329">
        <v>6790</v>
      </c>
      <c r="E25" s="329">
        <v>6790</v>
      </c>
      <c r="F25" s="329">
        <v>0</v>
      </c>
      <c r="G25" s="329">
        <f t="shared" si="9"/>
        <v>12350</v>
      </c>
      <c r="H25" s="329">
        <v>12350</v>
      </c>
      <c r="I25" s="329">
        <v>0</v>
      </c>
      <c r="J25" s="329">
        <v>0</v>
      </c>
      <c r="K25" s="330">
        <f t="shared" si="3"/>
        <v>0</v>
      </c>
      <c r="L25" s="330">
        <f t="shared" si="4"/>
        <v>181.88512518409425</v>
      </c>
    </row>
    <row r="26" spans="1:29" ht="15.6">
      <c r="A26" s="106">
        <v>3</v>
      </c>
      <c r="B26" s="60" t="s">
        <v>94</v>
      </c>
      <c r="C26" s="329">
        <v>0</v>
      </c>
      <c r="D26" s="329">
        <v>0</v>
      </c>
      <c r="E26" s="329">
        <v>0</v>
      </c>
      <c r="F26" s="329">
        <v>0</v>
      </c>
      <c r="G26" s="329">
        <f t="shared" si="9"/>
        <v>1360</v>
      </c>
      <c r="H26" s="329">
        <v>0</v>
      </c>
      <c r="I26" s="329">
        <v>1360</v>
      </c>
      <c r="J26" s="329">
        <v>0</v>
      </c>
      <c r="K26" s="330">
        <f t="shared" si="3"/>
        <v>0</v>
      </c>
      <c r="L26" s="330">
        <f t="shared" si="4"/>
        <v>0</v>
      </c>
      <c r="AB26" s="39">
        <v>32986</v>
      </c>
      <c r="AC26" s="39">
        <v>32986</v>
      </c>
    </row>
    <row r="27" spans="1:29" s="446" customFormat="1" ht="15.6">
      <c r="A27" s="479" t="s">
        <v>29</v>
      </c>
      <c r="B27" s="57" t="s">
        <v>294</v>
      </c>
      <c r="C27" s="450">
        <v>0</v>
      </c>
      <c r="D27" s="450">
        <v>0</v>
      </c>
      <c r="E27" s="450"/>
      <c r="F27" s="450"/>
      <c r="G27" s="450">
        <f t="shared" si="9"/>
        <v>38500</v>
      </c>
      <c r="H27" s="450">
        <v>38500</v>
      </c>
      <c r="I27" s="450">
        <v>0</v>
      </c>
      <c r="J27" s="450">
        <v>0</v>
      </c>
      <c r="K27" s="455">
        <f t="shared" si="3"/>
        <v>0</v>
      </c>
      <c r="L27" s="455">
        <f t="shared" si="4"/>
        <v>0</v>
      </c>
      <c r="AB27" s="446">
        <v>93664</v>
      </c>
      <c r="AC27" s="446">
        <v>93664</v>
      </c>
    </row>
    <row r="28" spans="1:29" s="446" customFormat="1" ht="15.6">
      <c r="A28" s="479" t="s">
        <v>33</v>
      </c>
      <c r="B28" s="480" t="s">
        <v>25</v>
      </c>
      <c r="C28" s="450">
        <v>4367757</v>
      </c>
      <c r="D28" s="450">
        <v>4372969</v>
      </c>
      <c r="E28" s="450">
        <v>1785643</v>
      </c>
      <c r="F28" s="450">
        <v>2587326</v>
      </c>
      <c r="G28" s="450">
        <f>SUM(G29:G41)</f>
        <v>4494893.7775140004</v>
      </c>
      <c r="H28" s="450">
        <f t="shared" ref="H28:J28" si="10">SUM(H29:H41)</f>
        <v>1643618.965935</v>
      </c>
      <c r="I28" s="450">
        <f t="shared" si="10"/>
        <v>2320080.1694180002</v>
      </c>
      <c r="J28" s="450">
        <f t="shared" si="10"/>
        <v>531194.64216100005</v>
      </c>
      <c r="K28" s="455">
        <f t="shared" si="3"/>
        <v>102.91080244422939</v>
      </c>
      <c r="L28" s="455">
        <f t="shared" si="4"/>
        <v>102.78814639468061</v>
      </c>
    </row>
    <row r="29" spans="1:29" s="446" customFormat="1" ht="15.6">
      <c r="A29" s="481">
        <v>1</v>
      </c>
      <c r="B29" s="60" t="s">
        <v>286</v>
      </c>
      <c r="C29" s="329">
        <v>0</v>
      </c>
      <c r="D29" s="329">
        <v>92858.876633000007</v>
      </c>
      <c r="E29" s="329">
        <v>35648</v>
      </c>
      <c r="F29" s="329">
        <v>57210.876633</v>
      </c>
      <c r="G29" s="329">
        <f t="shared" si="9"/>
        <v>119028.874347</v>
      </c>
      <c r="H29" s="329">
        <v>43183.1</v>
      </c>
      <c r="I29" s="329">
        <v>30535.570919999998</v>
      </c>
      <c r="J29" s="329">
        <v>45310.203427</v>
      </c>
      <c r="K29" s="455">
        <f t="shared" si="3"/>
        <v>0</v>
      </c>
      <c r="L29" s="330">
        <f t="shared" si="4"/>
        <v>128.1825482526888</v>
      </c>
    </row>
    <row r="30" spans="1:29" s="446" customFormat="1" ht="15.6">
      <c r="A30" s="481">
        <v>2</v>
      </c>
      <c r="B30" s="60" t="s">
        <v>2110</v>
      </c>
      <c r="C30" s="329">
        <v>0</v>
      </c>
      <c r="D30" s="329">
        <v>32010.377905000001</v>
      </c>
      <c r="E30" s="329">
        <v>16636</v>
      </c>
      <c r="F30" s="329">
        <v>15374.377904999999</v>
      </c>
      <c r="G30" s="329">
        <f t="shared" si="9"/>
        <v>53049.513070999994</v>
      </c>
      <c r="H30" s="329">
        <v>27197.1</v>
      </c>
      <c r="I30" s="329">
        <v>10648.736000000001</v>
      </c>
      <c r="J30" s="329">
        <v>15203.677071</v>
      </c>
      <c r="K30" s="455">
        <f t="shared" si="3"/>
        <v>0</v>
      </c>
      <c r="L30" s="330">
        <f t="shared" si="4"/>
        <v>165.72598183139129</v>
      </c>
    </row>
    <row r="31" spans="1:29" s="40" customFormat="1" ht="15.6">
      <c r="A31" s="481">
        <v>3</v>
      </c>
      <c r="B31" s="46" t="s">
        <v>88</v>
      </c>
      <c r="C31" s="329">
        <v>1784689</v>
      </c>
      <c r="D31" s="329">
        <v>1868450.3</v>
      </c>
      <c r="E31" s="329">
        <v>428705</v>
      </c>
      <c r="F31" s="329">
        <v>1439745.3</v>
      </c>
      <c r="G31" s="329">
        <f t="shared" si="9"/>
        <v>1860661.408116</v>
      </c>
      <c r="H31" s="329">
        <v>347269.08179000003</v>
      </c>
      <c r="I31" s="329">
        <v>1511738.765714</v>
      </c>
      <c r="J31" s="329">
        <v>1653.560612</v>
      </c>
      <c r="K31" s="378">
        <f t="shared" si="3"/>
        <v>104.25689899562333</v>
      </c>
      <c r="L31" s="378">
        <f t="shared" si="4"/>
        <v>99.583136255537539</v>
      </c>
    </row>
    <row r="32" spans="1:29" s="40" customFormat="1" ht="15.6">
      <c r="A32" s="481">
        <v>4</v>
      </c>
      <c r="B32" s="46" t="s">
        <v>89</v>
      </c>
      <c r="C32" s="329">
        <v>14586</v>
      </c>
      <c r="D32" s="329">
        <v>14541</v>
      </c>
      <c r="E32" s="329">
        <v>13086</v>
      </c>
      <c r="F32" s="329">
        <v>1455</v>
      </c>
      <c r="G32" s="329">
        <f t="shared" si="9"/>
        <v>16496.109494</v>
      </c>
      <c r="H32" s="329">
        <v>14779.462194</v>
      </c>
      <c r="I32" s="329">
        <v>1716.6473000000001</v>
      </c>
      <c r="J32" s="329">
        <v>0</v>
      </c>
      <c r="K32" s="378">
        <f t="shared" si="3"/>
        <v>113.09549906759906</v>
      </c>
      <c r="L32" s="378">
        <f t="shared" si="4"/>
        <v>113.44549545423286</v>
      </c>
    </row>
    <row r="33" spans="1:14" s="40" customFormat="1" ht="15.6">
      <c r="A33" s="481">
        <v>5</v>
      </c>
      <c r="B33" s="46" t="s">
        <v>106</v>
      </c>
      <c r="C33" s="329">
        <v>0</v>
      </c>
      <c r="D33" s="329">
        <v>610858.1</v>
      </c>
      <c r="E33" s="329">
        <v>609285</v>
      </c>
      <c r="F33" s="329">
        <v>1573.1</v>
      </c>
      <c r="G33" s="329">
        <f t="shared" si="9"/>
        <v>465949.81320199999</v>
      </c>
      <c r="H33" s="329">
        <v>460394.80262799998</v>
      </c>
      <c r="I33" s="329">
        <v>5077.290962</v>
      </c>
      <c r="J33" s="329">
        <v>477.71961199999998</v>
      </c>
      <c r="K33" s="378">
        <f t="shared" si="3"/>
        <v>0</v>
      </c>
      <c r="L33" s="378">
        <f t="shared" si="4"/>
        <v>76.277913512483508</v>
      </c>
    </row>
    <row r="34" spans="1:14" s="40" customFormat="1" ht="15.6">
      <c r="A34" s="481">
        <v>6</v>
      </c>
      <c r="B34" s="46" t="s">
        <v>108</v>
      </c>
      <c r="C34" s="329">
        <v>0</v>
      </c>
      <c r="D34" s="329">
        <v>49969.053</v>
      </c>
      <c r="E34" s="329">
        <v>35835</v>
      </c>
      <c r="F34" s="329">
        <v>14134.053</v>
      </c>
      <c r="G34" s="329">
        <f t="shared" si="9"/>
        <v>47846.729983999998</v>
      </c>
      <c r="H34" s="329">
        <v>32549.423860999999</v>
      </c>
      <c r="I34" s="329">
        <v>14481.514523</v>
      </c>
      <c r="J34" s="329">
        <v>815.79160000000002</v>
      </c>
      <c r="K34" s="378">
        <f t="shared" si="3"/>
        <v>0</v>
      </c>
      <c r="L34" s="378">
        <f t="shared" si="4"/>
        <v>95.752725159710351</v>
      </c>
    </row>
    <row r="35" spans="1:14" s="40" customFormat="1" ht="15.6">
      <c r="A35" s="481">
        <v>7</v>
      </c>
      <c r="B35" s="46" t="s">
        <v>110</v>
      </c>
      <c r="C35" s="329">
        <v>0</v>
      </c>
      <c r="D35" s="329">
        <v>25726.039000000001</v>
      </c>
      <c r="E35" s="329">
        <v>11396</v>
      </c>
      <c r="F35" s="329">
        <v>14330.039000000001</v>
      </c>
      <c r="G35" s="329">
        <f t="shared" si="9"/>
        <v>27237.093950000002</v>
      </c>
      <c r="H35" s="329">
        <v>11335.2</v>
      </c>
      <c r="I35" s="329">
        <v>15661.656787</v>
      </c>
      <c r="J35" s="329">
        <v>240.23716300000001</v>
      </c>
      <c r="K35" s="378">
        <f t="shared" si="3"/>
        <v>0</v>
      </c>
      <c r="L35" s="378">
        <f t="shared" si="4"/>
        <v>105.87364012780982</v>
      </c>
    </row>
    <row r="36" spans="1:14" s="40" customFormat="1" ht="15.6">
      <c r="A36" s="481">
        <v>8</v>
      </c>
      <c r="B36" s="46" t="s">
        <v>112</v>
      </c>
      <c r="C36" s="329">
        <v>0</v>
      </c>
      <c r="D36" s="329">
        <v>13878</v>
      </c>
      <c r="E36" s="329">
        <v>11002</v>
      </c>
      <c r="F36" s="329">
        <v>2876</v>
      </c>
      <c r="G36" s="329">
        <f t="shared" si="9"/>
        <v>13384.955064</v>
      </c>
      <c r="H36" s="329">
        <v>10463.477199999999</v>
      </c>
      <c r="I36" s="329">
        <v>2265.973864</v>
      </c>
      <c r="J36" s="329">
        <v>655.50400000000002</v>
      </c>
      <c r="K36" s="378">
        <f t="shared" si="3"/>
        <v>0</v>
      </c>
      <c r="L36" s="378">
        <f t="shared" si="4"/>
        <v>96.447291137051451</v>
      </c>
    </row>
    <row r="37" spans="1:14" s="40" customFormat="1" ht="15.6">
      <c r="A37" s="481">
        <v>9</v>
      </c>
      <c r="B37" s="46" t="s">
        <v>114</v>
      </c>
      <c r="C37" s="329">
        <v>69964</v>
      </c>
      <c r="D37" s="329">
        <v>75599.5</v>
      </c>
      <c r="E37" s="329">
        <v>4012</v>
      </c>
      <c r="F37" s="329">
        <v>71587.5</v>
      </c>
      <c r="G37" s="329">
        <f t="shared" si="9"/>
        <v>71941.666928999999</v>
      </c>
      <c r="H37" s="329">
        <v>3600.9742120000001</v>
      </c>
      <c r="I37" s="329">
        <v>67488.513217</v>
      </c>
      <c r="J37" s="329">
        <v>852.17949999999996</v>
      </c>
      <c r="K37" s="378">
        <f t="shared" si="3"/>
        <v>102.82669219741581</v>
      </c>
      <c r="L37" s="378">
        <f t="shared" si="4"/>
        <v>95.161564466696205</v>
      </c>
    </row>
    <row r="38" spans="1:14" s="40" customFormat="1" ht="15.6">
      <c r="A38" s="481">
        <v>10</v>
      </c>
      <c r="B38" s="46" t="s">
        <v>116</v>
      </c>
      <c r="C38" s="329">
        <v>0</v>
      </c>
      <c r="D38" s="329">
        <v>451239.818462</v>
      </c>
      <c r="E38" s="329">
        <v>226790</v>
      </c>
      <c r="F38" s="329">
        <v>224449.818462</v>
      </c>
      <c r="G38" s="329">
        <f t="shared" si="9"/>
        <v>551187.32300700003</v>
      </c>
      <c r="H38" s="329">
        <v>312076.89350000001</v>
      </c>
      <c r="I38" s="329">
        <v>210577.75943599999</v>
      </c>
      <c r="J38" s="329">
        <v>28532.670071</v>
      </c>
      <c r="K38" s="378">
        <f t="shared" si="3"/>
        <v>0</v>
      </c>
      <c r="L38" s="378">
        <f t="shared" si="4"/>
        <v>122.14953123721656</v>
      </c>
    </row>
    <row r="39" spans="1:14" s="40" customFormat="1" ht="31.2">
      <c r="A39" s="481">
        <v>11</v>
      </c>
      <c r="B39" s="46" t="s">
        <v>289</v>
      </c>
      <c r="C39" s="329">
        <v>0</v>
      </c>
      <c r="D39" s="329">
        <v>895794.17700000003</v>
      </c>
      <c r="E39" s="329">
        <v>301942</v>
      </c>
      <c r="F39" s="329">
        <v>593852.17700000003</v>
      </c>
      <c r="G39" s="329">
        <f t="shared" si="9"/>
        <v>989804.49450299994</v>
      </c>
      <c r="H39" s="329">
        <v>304254.18874700001</v>
      </c>
      <c r="I39" s="329">
        <v>310277.46388499998</v>
      </c>
      <c r="J39" s="329">
        <v>375272.84187100001</v>
      </c>
      <c r="K39" s="378">
        <f t="shared" si="3"/>
        <v>0</v>
      </c>
      <c r="L39" s="378">
        <f t="shared" si="4"/>
        <v>110.49463369117211</v>
      </c>
      <c r="M39" s="482"/>
    </row>
    <row r="40" spans="1:14" s="40" customFormat="1" ht="15.6">
      <c r="A40" s="481">
        <v>12</v>
      </c>
      <c r="B40" s="46" t="s">
        <v>120</v>
      </c>
      <c r="C40" s="329">
        <v>0</v>
      </c>
      <c r="D40" s="329">
        <v>148408.55799999999</v>
      </c>
      <c r="E40" s="329">
        <v>55887</v>
      </c>
      <c r="F40" s="329">
        <v>92521.558000000005</v>
      </c>
      <c r="G40" s="329">
        <f t="shared" si="9"/>
        <v>179871.96572199999</v>
      </c>
      <c r="H40" s="329">
        <v>38789.838091999998</v>
      </c>
      <c r="I40" s="329">
        <v>123422.622001</v>
      </c>
      <c r="J40" s="329">
        <v>17659.505628999999</v>
      </c>
      <c r="K40" s="378">
        <f t="shared" si="3"/>
        <v>0</v>
      </c>
      <c r="L40" s="378">
        <f t="shared" si="4"/>
        <v>121.20053462280794</v>
      </c>
    </row>
    <row r="41" spans="1:14" s="40" customFormat="1" ht="15.6">
      <c r="A41" s="481">
        <v>13</v>
      </c>
      <c r="B41" s="46" t="s">
        <v>2111</v>
      </c>
      <c r="C41" s="329">
        <v>0</v>
      </c>
      <c r="D41" s="329">
        <v>93635.199999999997</v>
      </c>
      <c r="E41" s="329">
        <v>35419</v>
      </c>
      <c r="F41" s="329">
        <v>58216.2</v>
      </c>
      <c r="G41" s="329">
        <f t="shared" si="9"/>
        <v>98433.830125000008</v>
      </c>
      <c r="H41" s="329">
        <v>37725.423711000003</v>
      </c>
      <c r="I41" s="329">
        <v>16187.654809</v>
      </c>
      <c r="J41" s="329">
        <v>44520.751604999998</v>
      </c>
      <c r="K41" s="378">
        <f t="shared" ref="K41:K59" si="11">IF((C41&gt;0),(G41/C41)*100,0)</f>
        <v>0</v>
      </c>
      <c r="L41" s="378">
        <f t="shared" ref="L41:L59" si="12">IF((D41&gt;0),(G41/D41)*100,0)</f>
        <v>105.12481430594478</v>
      </c>
    </row>
    <row r="42" spans="1:14" s="35" customFormat="1" ht="15.6">
      <c r="A42" s="479" t="s">
        <v>71</v>
      </c>
      <c r="B42" s="480" t="s">
        <v>2112</v>
      </c>
      <c r="C42" s="450">
        <v>1000</v>
      </c>
      <c r="D42" s="450">
        <v>1000</v>
      </c>
      <c r="E42" s="450">
        <v>1000</v>
      </c>
      <c r="F42" s="450">
        <v>0</v>
      </c>
      <c r="G42" s="450">
        <f t="shared" si="9"/>
        <v>2000</v>
      </c>
      <c r="H42" s="450">
        <v>2000</v>
      </c>
      <c r="I42" s="450">
        <v>0</v>
      </c>
      <c r="J42" s="450">
        <v>0</v>
      </c>
      <c r="K42" s="483">
        <f t="shared" si="11"/>
        <v>200</v>
      </c>
      <c r="L42" s="483">
        <f t="shared" si="12"/>
        <v>200</v>
      </c>
    </row>
    <row r="43" spans="1:14" s="35" customFormat="1" ht="15.6">
      <c r="A43" s="479" t="s">
        <v>96</v>
      </c>
      <c r="B43" s="480" t="s">
        <v>2113</v>
      </c>
      <c r="C43" s="450">
        <v>0</v>
      </c>
      <c r="D43" s="450">
        <v>0</v>
      </c>
      <c r="E43" s="450"/>
      <c r="F43" s="450"/>
      <c r="G43" s="450">
        <f t="shared" si="9"/>
        <v>2207814.4703509999</v>
      </c>
      <c r="H43" s="450">
        <v>1833064.2520000001</v>
      </c>
      <c r="I43" s="450">
        <v>333681.42700000003</v>
      </c>
      <c r="J43" s="450">
        <v>41068.791351</v>
      </c>
      <c r="K43" s="483">
        <f t="shared" si="11"/>
        <v>0</v>
      </c>
      <c r="L43" s="483">
        <f t="shared" si="12"/>
        <v>0</v>
      </c>
      <c r="N43" s="41">
        <f>I43+J43</f>
        <v>374750.21835100005</v>
      </c>
    </row>
    <row r="44" spans="1:14" s="35" customFormat="1" ht="15.6">
      <c r="A44" s="44" t="s">
        <v>97</v>
      </c>
      <c r="B44" s="57" t="s">
        <v>2114</v>
      </c>
      <c r="C44" s="450">
        <v>400</v>
      </c>
      <c r="D44" s="450">
        <v>400</v>
      </c>
      <c r="E44" s="450">
        <v>400</v>
      </c>
      <c r="F44" s="450"/>
      <c r="G44" s="450">
        <f t="shared" si="9"/>
        <v>0</v>
      </c>
      <c r="H44" s="450">
        <v>0</v>
      </c>
      <c r="I44" s="450">
        <v>0</v>
      </c>
      <c r="J44" s="450">
        <v>0</v>
      </c>
      <c r="K44" s="483">
        <f t="shared" si="11"/>
        <v>0</v>
      </c>
      <c r="L44" s="483">
        <f t="shared" si="12"/>
        <v>0</v>
      </c>
    </row>
    <row r="45" spans="1:14" s="35" customFormat="1" ht="15.6">
      <c r="A45" s="44" t="s">
        <v>142</v>
      </c>
      <c r="B45" s="45" t="s">
        <v>27</v>
      </c>
      <c r="C45" s="450">
        <v>94450</v>
      </c>
      <c r="D45" s="450">
        <v>96738</v>
      </c>
      <c r="E45" s="450">
        <v>45178</v>
      </c>
      <c r="F45" s="450">
        <v>51560</v>
      </c>
      <c r="G45" s="450">
        <f t="shared" si="9"/>
        <v>0</v>
      </c>
      <c r="H45" s="450">
        <v>0</v>
      </c>
      <c r="I45" s="450">
        <v>0</v>
      </c>
      <c r="J45" s="450">
        <v>0</v>
      </c>
      <c r="K45" s="483">
        <f t="shared" si="11"/>
        <v>0</v>
      </c>
      <c r="L45" s="483">
        <f t="shared" si="12"/>
        <v>0</v>
      </c>
    </row>
    <row r="46" spans="1:14" s="35" customFormat="1" ht="15.6">
      <c r="A46" s="44" t="s">
        <v>2115</v>
      </c>
      <c r="B46" s="45" t="s">
        <v>298</v>
      </c>
      <c r="C46" s="450">
        <v>0</v>
      </c>
      <c r="D46" s="450">
        <v>14500</v>
      </c>
      <c r="E46" s="450">
        <v>14500</v>
      </c>
      <c r="F46" s="450">
        <v>0</v>
      </c>
      <c r="G46" s="450">
        <f t="shared" si="9"/>
        <v>0</v>
      </c>
      <c r="H46" s="450">
        <v>0</v>
      </c>
      <c r="I46" s="450">
        <v>0</v>
      </c>
      <c r="J46" s="450">
        <v>0</v>
      </c>
      <c r="K46" s="483">
        <f t="shared" si="11"/>
        <v>0</v>
      </c>
      <c r="L46" s="483">
        <f t="shared" si="12"/>
        <v>0</v>
      </c>
    </row>
    <row r="47" spans="1:14" s="446" customFormat="1" ht="15.6">
      <c r="A47" s="105" t="s">
        <v>2116</v>
      </c>
      <c r="B47" s="57" t="s">
        <v>2117</v>
      </c>
      <c r="C47" s="450">
        <v>0</v>
      </c>
      <c r="D47" s="450">
        <v>0</v>
      </c>
      <c r="E47" s="450"/>
      <c r="F47" s="450"/>
      <c r="G47" s="450">
        <f t="shared" si="9"/>
        <v>1338</v>
      </c>
      <c r="H47" s="450">
        <v>1338</v>
      </c>
      <c r="I47" s="450">
        <v>0</v>
      </c>
      <c r="J47" s="450">
        <v>0</v>
      </c>
      <c r="K47" s="483">
        <f t="shared" si="11"/>
        <v>0</v>
      </c>
      <c r="L47" s="483">
        <f t="shared" si="12"/>
        <v>0</v>
      </c>
    </row>
    <row r="48" spans="1:14" s="35" customFormat="1" ht="15.6">
      <c r="A48" s="105" t="s">
        <v>2118</v>
      </c>
      <c r="B48" s="57" t="s">
        <v>2119</v>
      </c>
      <c r="C48" s="450">
        <v>0</v>
      </c>
      <c r="D48" s="450">
        <v>20000</v>
      </c>
      <c r="E48" s="450">
        <f>E49</f>
        <v>20000</v>
      </c>
      <c r="F48" s="450"/>
      <c r="G48" s="450">
        <f t="shared" si="9"/>
        <v>2999.4404530000002</v>
      </c>
      <c r="H48" s="450">
        <v>0</v>
      </c>
      <c r="I48" s="450">
        <v>2988.4404530000002</v>
      </c>
      <c r="J48" s="450">
        <v>11</v>
      </c>
      <c r="K48" s="483">
        <f t="shared" si="11"/>
        <v>0</v>
      </c>
      <c r="L48" s="483">
        <f t="shared" si="12"/>
        <v>14.997202265</v>
      </c>
    </row>
    <row r="49" spans="1:12" ht="15.6">
      <c r="A49" s="106">
        <v>1</v>
      </c>
      <c r="B49" s="60" t="s">
        <v>2086</v>
      </c>
      <c r="C49" s="329">
        <v>0</v>
      </c>
      <c r="D49" s="329">
        <v>20000</v>
      </c>
      <c r="E49" s="329">
        <v>20000</v>
      </c>
      <c r="F49" s="329"/>
      <c r="G49" s="329">
        <f t="shared" si="9"/>
        <v>0</v>
      </c>
      <c r="H49" s="329">
        <v>0</v>
      </c>
      <c r="I49" s="329">
        <v>0</v>
      </c>
      <c r="J49" s="329">
        <v>0</v>
      </c>
      <c r="K49" s="483">
        <f t="shared" si="11"/>
        <v>0</v>
      </c>
      <c r="L49" s="483">
        <f t="shared" si="12"/>
        <v>0</v>
      </c>
    </row>
    <row r="50" spans="1:12" ht="15.6">
      <c r="A50" s="106">
        <v>2</v>
      </c>
      <c r="B50" s="60" t="s">
        <v>275</v>
      </c>
      <c r="C50" s="329">
        <v>0</v>
      </c>
      <c r="D50" s="329">
        <v>0</v>
      </c>
      <c r="E50" s="329"/>
      <c r="F50" s="329"/>
      <c r="G50" s="329">
        <f t="shared" si="9"/>
        <v>2999.4404530000002</v>
      </c>
      <c r="H50" s="329">
        <v>0</v>
      </c>
      <c r="I50" s="329">
        <v>2988.4404530000002</v>
      </c>
      <c r="J50" s="329">
        <v>11</v>
      </c>
      <c r="K50" s="378">
        <f t="shared" si="11"/>
        <v>0</v>
      </c>
      <c r="L50" s="483">
        <f t="shared" si="12"/>
        <v>0</v>
      </c>
    </row>
    <row r="51" spans="1:12" ht="15.6">
      <c r="A51" s="106" t="s">
        <v>12</v>
      </c>
      <c r="B51" s="60" t="s">
        <v>2120</v>
      </c>
      <c r="C51" s="329">
        <v>0</v>
      </c>
      <c r="D51" s="329">
        <v>0</v>
      </c>
      <c r="E51" s="329"/>
      <c r="F51" s="329"/>
      <c r="G51" s="329">
        <f t="shared" si="9"/>
        <v>2988.4404530000002</v>
      </c>
      <c r="H51" s="329">
        <v>0</v>
      </c>
      <c r="I51" s="329">
        <v>2988.4404530000002</v>
      </c>
      <c r="J51" s="329">
        <v>0</v>
      </c>
      <c r="K51" s="378">
        <f t="shared" si="11"/>
        <v>0</v>
      </c>
      <c r="L51" s="483">
        <f t="shared" si="12"/>
        <v>0</v>
      </c>
    </row>
    <row r="52" spans="1:12" ht="15.6">
      <c r="A52" s="106" t="s">
        <v>12</v>
      </c>
      <c r="B52" s="60" t="s">
        <v>2121</v>
      </c>
      <c r="C52" s="329">
        <v>0</v>
      </c>
      <c r="D52" s="329">
        <v>0</v>
      </c>
      <c r="E52" s="329"/>
      <c r="F52" s="329"/>
      <c r="G52" s="329">
        <f t="shared" si="9"/>
        <v>11</v>
      </c>
      <c r="H52" s="329">
        <v>0</v>
      </c>
      <c r="I52" s="329">
        <v>0</v>
      </c>
      <c r="J52" s="329">
        <v>11</v>
      </c>
      <c r="K52" s="378">
        <f t="shared" si="11"/>
        <v>0</v>
      </c>
      <c r="L52" s="483">
        <f t="shared" si="12"/>
        <v>0</v>
      </c>
    </row>
    <row r="53" spans="1:12" s="446" customFormat="1" ht="15.6">
      <c r="A53" s="447" t="s">
        <v>8</v>
      </c>
      <c r="B53" s="448" t="s">
        <v>299</v>
      </c>
      <c r="C53" s="450">
        <v>0</v>
      </c>
      <c r="D53" s="450">
        <v>0</v>
      </c>
      <c r="E53" s="450">
        <f>E54+E55</f>
        <v>2435185.7000000002</v>
      </c>
      <c r="F53" s="450"/>
      <c r="G53" s="450">
        <f t="shared" si="9"/>
        <v>3194813.007065</v>
      </c>
      <c r="H53" s="450">
        <v>2693670.1844000001</v>
      </c>
      <c r="I53" s="450">
        <v>501142.82266499999</v>
      </c>
      <c r="J53" s="329">
        <v>0</v>
      </c>
      <c r="K53" s="483">
        <f t="shared" si="11"/>
        <v>0</v>
      </c>
      <c r="L53" s="483">
        <f t="shared" si="12"/>
        <v>0</v>
      </c>
    </row>
    <row r="54" spans="1:12" ht="15.75" customHeight="1" outlineLevel="1">
      <c r="A54" s="452">
        <v>1</v>
      </c>
      <c r="B54" s="307" t="s">
        <v>149</v>
      </c>
      <c r="C54" s="329">
        <v>0</v>
      </c>
      <c r="D54" s="329">
        <v>0</v>
      </c>
      <c r="E54" s="329">
        <v>1870875.7</v>
      </c>
      <c r="F54" s="329"/>
      <c r="G54" s="329">
        <f t="shared" si="9"/>
        <v>2247748.8990000002</v>
      </c>
      <c r="H54" s="329">
        <v>1863299.774</v>
      </c>
      <c r="I54" s="329">
        <v>384449.125</v>
      </c>
      <c r="J54" s="329">
        <v>0</v>
      </c>
      <c r="K54" s="330">
        <f t="shared" si="11"/>
        <v>0</v>
      </c>
      <c r="L54" s="330">
        <f t="shared" si="12"/>
        <v>0</v>
      </c>
    </row>
    <row r="55" spans="1:12" ht="15.75" customHeight="1" outlineLevel="1">
      <c r="A55" s="452">
        <v>2</v>
      </c>
      <c r="B55" s="307" t="s">
        <v>150</v>
      </c>
      <c r="C55" s="329">
        <v>0</v>
      </c>
      <c r="D55" s="329">
        <v>0</v>
      </c>
      <c r="E55" s="329">
        <v>564310</v>
      </c>
      <c r="F55" s="329"/>
      <c r="G55" s="329">
        <f t="shared" si="9"/>
        <v>947064.10806500004</v>
      </c>
      <c r="H55" s="329">
        <v>830370.41040000005</v>
      </c>
      <c r="I55" s="329">
        <v>116693.697665</v>
      </c>
      <c r="J55" s="329">
        <v>0</v>
      </c>
      <c r="K55" s="330">
        <f t="shared" si="11"/>
        <v>0</v>
      </c>
      <c r="L55" s="330">
        <f t="shared" si="12"/>
        <v>0</v>
      </c>
    </row>
    <row r="56" spans="1:12" s="37" customFormat="1" ht="15.75" customHeight="1" outlineLevel="1">
      <c r="A56" s="484"/>
      <c r="B56" s="484" t="s">
        <v>300</v>
      </c>
      <c r="C56" s="329">
        <v>0</v>
      </c>
      <c r="D56" s="329">
        <v>0</v>
      </c>
      <c r="E56" s="329"/>
      <c r="F56" s="329"/>
      <c r="G56" s="329">
        <f t="shared" si="9"/>
        <v>947064.10806500004</v>
      </c>
      <c r="H56" s="329">
        <v>830370.41040000005</v>
      </c>
      <c r="I56" s="329">
        <v>116693.697665</v>
      </c>
      <c r="J56" s="329">
        <v>0</v>
      </c>
      <c r="K56" s="330">
        <f t="shared" si="11"/>
        <v>0</v>
      </c>
      <c r="L56" s="330">
        <f t="shared" si="12"/>
        <v>0</v>
      </c>
    </row>
    <row r="57" spans="1:12" s="37" customFormat="1" ht="15.75" customHeight="1" outlineLevel="1">
      <c r="A57" s="484"/>
      <c r="B57" s="484" t="s">
        <v>301</v>
      </c>
      <c r="C57" s="329">
        <v>0</v>
      </c>
      <c r="D57" s="329">
        <v>0</v>
      </c>
      <c r="E57" s="329"/>
      <c r="F57" s="329"/>
      <c r="G57" s="329">
        <f t="shared" si="9"/>
        <v>0</v>
      </c>
      <c r="H57" s="329">
        <v>0</v>
      </c>
      <c r="I57" s="329">
        <v>0</v>
      </c>
      <c r="J57" s="329">
        <v>0</v>
      </c>
      <c r="K57" s="330">
        <f t="shared" si="11"/>
        <v>0</v>
      </c>
      <c r="L57" s="330">
        <f t="shared" si="12"/>
        <v>0</v>
      </c>
    </row>
    <row r="58" spans="1:12" s="446" customFormat="1" ht="15.6">
      <c r="A58" s="467" t="s">
        <v>35</v>
      </c>
      <c r="B58" s="468" t="s">
        <v>302</v>
      </c>
      <c r="C58" s="450">
        <v>0</v>
      </c>
      <c r="D58" s="450">
        <v>0</v>
      </c>
      <c r="E58" s="450"/>
      <c r="F58" s="450"/>
      <c r="G58" s="450">
        <f t="shared" si="9"/>
        <v>142052.76904899999</v>
      </c>
      <c r="H58" s="450">
        <v>65390.309923000001</v>
      </c>
      <c r="I58" s="450">
        <v>71019.105301999996</v>
      </c>
      <c r="J58" s="450">
        <v>5643.3538239999998</v>
      </c>
      <c r="K58" s="485">
        <f t="shared" si="11"/>
        <v>0</v>
      </c>
      <c r="L58" s="485">
        <f t="shared" si="12"/>
        <v>0</v>
      </c>
    </row>
    <row r="59" spans="1:12" s="446" customFormat="1" ht="23.25" customHeight="1">
      <c r="A59" s="439"/>
      <c r="B59" s="439" t="s">
        <v>2122</v>
      </c>
      <c r="C59" s="486">
        <f t="shared" ref="C59:D59" si="13">C9+C53+C58+C48</f>
        <v>6677911</v>
      </c>
      <c r="D59" s="486">
        <f t="shared" si="13"/>
        <v>6789911</v>
      </c>
      <c r="E59" s="486"/>
      <c r="F59" s="486"/>
      <c r="G59" s="486">
        <f>G9+G53+G58</f>
        <v>11997609.234051</v>
      </c>
      <c r="H59" s="486">
        <f t="shared" ref="H59:J59" si="14">H9+H53+H58</f>
        <v>7533121.9748579999</v>
      </c>
      <c r="I59" s="486">
        <f t="shared" si="14"/>
        <v>3867356.584336</v>
      </c>
      <c r="J59" s="486">
        <f t="shared" si="14"/>
        <v>597130.67485700001</v>
      </c>
      <c r="K59" s="487">
        <f t="shared" si="11"/>
        <v>179.6611130943644</v>
      </c>
      <c r="L59" s="487">
        <f t="shared" si="12"/>
        <v>176.69759197213338</v>
      </c>
    </row>
    <row r="60" spans="1:12" ht="21.75" customHeight="1">
      <c r="A60" s="47"/>
      <c r="C60" s="435"/>
      <c r="D60" s="435"/>
      <c r="E60" s="435"/>
      <c r="F60" s="435"/>
      <c r="G60" s="435"/>
      <c r="H60" s="435"/>
    </row>
    <row r="61" spans="1:12" s="471" customFormat="1" ht="33" customHeight="1">
      <c r="A61" s="862" t="s">
        <v>2048</v>
      </c>
      <c r="B61" s="862"/>
      <c r="C61" s="862" t="s">
        <v>2048</v>
      </c>
      <c r="D61" s="862"/>
      <c r="E61" s="862"/>
      <c r="F61" s="862"/>
      <c r="G61" s="862"/>
      <c r="H61" s="862"/>
      <c r="I61" s="862" t="s">
        <v>2123</v>
      </c>
      <c r="J61" s="862"/>
      <c r="K61" s="862"/>
      <c r="L61" s="862"/>
    </row>
    <row r="62" spans="1:12" s="471" customFormat="1" ht="16.8">
      <c r="A62" s="813" t="s">
        <v>331</v>
      </c>
      <c r="B62" s="813"/>
      <c r="C62" s="813" t="s">
        <v>332</v>
      </c>
      <c r="D62" s="813"/>
      <c r="E62" s="813"/>
      <c r="F62" s="813"/>
      <c r="G62" s="813"/>
      <c r="H62" s="813"/>
      <c r="I62" s="813" t="s">
        <v>333</v>
      </c>
      <c r="J62" s="813"/>
      <c r="K62" s="813"/>
      <c r="L62" s="813"/>
    </row>
    <row r="63" spans="1:12" s="471" customFormat="1" ht="16.8">
      <c r="A63" s="813" t="s">
        <v>2096</v>
      </c>
      <c r="B63" s="813"/>
      <c r="C63" s="813" t="s">
        <v>2097</v>
      </c>
      <c r="D63" s="813"/>
      <c r="E63" s="813"/>
      <c r="F63" s="813"/>
      <c r="G63" s="813"/>
      <c r="H63" s="813"/>
      <c r="I63" s="813" t="s">
        <v>336</v>
      </c>
      <c r="J63" s="813"/>
      <c r="K63" s="813"/>
      <c r="L63" s="813"/>
    </row>
    <row r="64" spans="1:12" s="471" customFormat="1" ht="16.8">
      <c r="A64" s="488"/>
      <c r="B64" s="488"/>
      <c r="D64" s="489"/>
      <c r="E64" s="489"/>
      <c r="F64" s="489"/>
      <c r="G64" s="490"/>
      <c r="H64" s="490"/>
      <c r="I64" s="491"/>
      <c r="J64" s="491"/>
      <c r="K64" s="488"/>
      <c r="L64" s="488"/>
    </row>
    <row r="65" spans="1:13" ht="15.6">
      <c r="A65" s="472"/>
      <c r="B65" s="472"/>
      <c r="C65" s="38"/>
      <c r="D65" s="492"/>
      <c r="E65" s="492"/>
      <c r="F65" s="492"/>
      <c r="G65" s="473"/>
      <c r="H65" s="473"/>
      <c r="I65" s="435"/>
      <c r="J65" s="473"/>
      <c r="K65" s="473"/>
      <c r="L65" s="473"/>
      <c r="M65" s="435"/>
    </row>
    <row r="66" spans="1:13" ht="15.6">
      <c r="A66" s="493"/>
      <c r="B66" s="493"/>
      <c r="D66" s="492"/>
      <c r="E66" s="492"/>
      <c r="F66" s="492"/>
      <c r="G66" s="494">
        <v>11997609.234051</v>
      </c>
      <c r="H66" s="494">
        <v>7533121.9748579999</v>
      </c>
      <c r="I66" s="495">
        <v>3867356.584336</v>
      </c>
      <c r="J66" s="494">
        <v>597130.67485700001</v>
      </c>
      <c r="K66" s="489"/>
      <c r="L66" s="489"/>
      <c r="M66" s="435"/>
    </row>
    <row r="67" spans="1:13" ht="15.6">
      <c r="A67" s="472"/>
      <c r="B67" s="472"/>
      <c r="C67" s="435"/>
      <c r="D67" s="496"/>
      <c r="E67" s="496"/>
      <c r="F67" s="496"/>
      <c r="G67" s="497">
        <f>G66-G59</f>
        <v>0</v>
      </c>
      <c r="H67" s="497">
        <f t="shared" ref="H67:J67" si="15">H66-H59</f>
        <v>0</v>
      </c>
      <c r="I67" s="497">
        <f t="shared" si="15"/>
        <v>0</v>
      </c>
      <c r="J67" s="497">
        <f t="shared" si="15"/>
        <v>0</v>
      </c>
      <c r="K67" s="472"/>
      <c r="L67" s="472"/>
    </row>
    <row r="68" spans="1:13" ht="15.6">
      <c r="A68" s="472"/>
      <c r="B68" s="472"/>
      <c r="C68" s="38"/>
      <c r="D68" s="498"/>
      <c r="E68" s="498"/>
      <c r="F68" s="498"/>
      <c r="G68" s="472"/>
      <c r="H68" s="472"/>
      <c r="J68" s="472"/>
      <c r="K68" s="472"/>
      <c r="L68" s="472"/>
    </row>
    <row r="69" spans="1:13" ht="15.6">
      <c r="A69" s="472"/>
      <c r="B69" s="472"/>
      <c r="D69" s="499"/>
      <c r="E69" s="499"/>
      <c r="F69" s="499"/>
      <c r="G69" s="500"/>
      <c r="H69" s="472"/>
      <c r="J69" s="472"/>
      <c r="K69" s="472"/>
      <c r="L69" s="472"/>
    </row>
    <row r="70" spans="1:13" ht="15.6">
      <c r="A70" s="472"/>
      <c r="B70" s="472"/>
      <c r="D70" s="472"/>
      <c r="E70" s="472"/>
      <c r="F70" s="472"/>
      <c r="G70" s="472"/>
      <c r="H70" s="472"/>
      <c r="J70" s="472"/>
      <c r="K70" s="472"/>
      <c r="L70" s="472"/>
    </row>
    <row r="71" spans="1:13" ht="15.6">
      <c r="A71" s="472"/>
      <c r="B71" s="472"/>
      <c r="D71" s="472"/>
      <c r="E71" s="472"/>
      <c r="F71" s="472"/>
      <c r="G71" s="472"/>
      <c r="H71" s="472"/>
      <c r="J71" s="472"/>
      <c r="K71" s="472"/>
      <c r="L71" s="472"/>
    </row>
    <row r="72" spans="1:13" ht="15.6">
      <c r="A72" s="472"/>
      <c r="B72" s="472"/>
      <c r="D72" s="472"/>
      <c r="E72" s="472"/>
      <c r="F72" s="472"/>
      <c r="G72" s="472"/>
      <c r="H72" s="472"/>
      <c r="J72" s="472"/>
      <c r="K72" s="472"/>
      <c r="L72" s="472"/>
    </row>
    <row r="73" spans="1:13" ht="16.2">
      <c r="A73" s="501" t="s">
        <v>2124</v>
      </c>
    </row>
    <row r="74" spans="1:13" ht="15.6">
      <c r="A74" s="474" t="s">
        <v>2125</v>
      </c>
    </row>
    <row r="75" spans="1:13" ht="15.6">
      <c r="A75" s="474" t="s">
        <v>2126</v>
      </c>
    </row>
    <row r="76" spans="1:13" ht="15.6">
      <c r="A76" s="474" t="s">
        <v>2127</v>
      </c>
    </row>
  </sheetData>
  <mergeCells count="18">
    <mergeCell ref="A62:B62"/>
    <mergeCell ref="C62:H62"/>
    <mergeCell ref="I62:L62"/>
    <mergeCell ref="A63:B63"/>
    <mergeCell ref="C63:H63"/>
    <mergeCell ref="I63:L63"/>
    <mergeCell ref="A61:B61"/>
    <mergeCell ref="C61:H61"/>
    <mergeCell ref="I61:L61"/>
    <mergeCell ref="E6:F6"/>
    <mergeCell ref="K1:L1"/>
    <mergeCell ref="A3:L3"/>
    <mergeCell ref="A4:L4"/>
    <mergeCell ref="A6:A7"/>
    <mergeCell ref="B6:B7"/>
    <mergeCell ref="C6:D6"/>
    <mergeCell ref="G6:J6"/>
    <mergeCell ref="K6:L6"/>
  </mergeCells>
  <dataValidations count="5">
    <dataValidation allowBlank="1" showInputMessage="1" showErrorMessage="1" prompt="Trợ giá 10.405,5 tr; Chi khác 79.257,5 tr và chi từ nguồn rừng 1.138 tr" sqref="C45" xr:uid="{00000000-0002-0000-1000-000000000000}"/>
    <dataValidation allowBlank="1" showInputMessage="1" showErrorMessage="1" prompt="65.309 trđ là nguồn thu XSKT" sqref="C16" xr:uid="{00000000-0002-0000-1000-000001000000}"/>
    <dataValidation allowBlank="1" showInputMessage="1" showErrorMessage="1" prompt="Cộnng 26.057  trđ (XSKT 14.500 trđ; Tiền rừng 11.057 trđ; KP huy động 500 trđ)" sqref="C53" xr:uid="{00000000-0002-0000-1000-000002000000}"/>
    <dataValidation allowBlank="1" showInputMessage="1" showErrorMessage="1" prompt="37.341 trđ là nguồn tiền rừng" sqref="C23" xr:uid="{00000000-0002-0000-1000-000003000000}"/>
    <dataValidation allowBlank="1" showInputMessage="1" showErrorMessage="1" prompt="Bao gồm 15.055 trđ BTC giao tại QĐ 1127/QĐ-BTC ngày 29/11/2016" sqref="C32:G32" xr:uid="{00000000-0002-0000-1000-000004000000}"/>
  </dataValidation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3"/>
  <sheetViews>
    <sheetView workbookViewId="0">
      <pane xSplit="1" ySplit="7" topLeftCell="B8" activePane="bottomRight" state="frozen"/>
      <selection activeCell="H101" sqref="H101:K101"/>
      <selection pane="topRight" activeCell="H101" sqref="H101:K101"/>
      <selection pane="bottomLeft" activeCell="H101" sqref="H101:K101"/>
      <selection pane="bottomRight" activeCell="H101" sqref="H101:K101"/>
    </sheetView>
  </sheetViews>
  <sheetFormatPr defaultColWidth="9.109375" defaultRowHeight="13.8" outlineLevelRow="1"/>
  <cols>
    <col min="1" max="1" width="36.44140625" style="31" customWidth="1"/>
    <col min="2" max="2" width="12.44140625" style="31" customWidth="1"/>
    <col min="3" max="3" width="13" style="31" customWidth="1"/>
    <col min="4" max="4" width="12.5546875" style="31" customWidth="1"/>
    <col min="5" max="5" width="11.5546875" style="31" customWidth="1"/>
    <col min="6" max="6" width="31.44140625" style="31" customWidth="1"/>
    <col min="7" max="7" width="12.44140625" style="31" customWidth="1"/>
    <col min="8" max="9" width="11.33203125" style="31" bestFit="1" customWidth="1"/>
    <col min="10" max="10" width="9.5546875" style="31" customWidth="1"/>
    <col min="11" max="11" width="12.33203125" style="414" customWidth="1"/>
    <col min="12" max="12" width="9.109375" style="31" customWidth="1"/>
    <col min="13" max="13" width="9.109375" style="31"/>
    <col min="14" max="14" width="9.109375" style="31" customWidth="1"/>
    <col min="15" max="16384" width="9.109375" style="31"/>
  </cols>
  <sheetData>
    <row r="1" spans="1:12" s="30" customFormat="1" ht="15.6">
      <c r="A1" s="49" t="s">
        <v>202</v>
      </c>
      <c r="B1" s="412"/>
      <c r="C1" s="412"/>
      <c r="I1" s="866" t="s">
        <v>303</v>
      </c>
      <c r="J1" s="866"/>
      <c r="K1" s="413"/>
    </row>
    <row r="2" spans="1:12" ht="15.6">
      <c r="A2" s="50"/>
      <c r="B2" s="33"/>
      <c r="C2" s="414"/>
      <c r="D2" s="33"/>
      <c r="G2" s="33"/>
      <c r="H2" s="33"/>
      <c r="I2" s="33"/>
      <c r="J2" s="33"/>
    </row>
    <row r="3" spans="1:12" ht="15.6">
      <c r="A3" s="866" t="s">
        <v>2044</v>
      </c>
      <c r="B3" s="866"/>
      <c r="C3" s="866"/>
      <c r="D3" s="866"/>
      <c r="E3" s="866"/>
      <c r="F3" s="866"/>
      <c r="G3" s="866"/>
      <c r="H3" s="866"/>
      <c r="I3" s="866"/>
      <c r="J3" s="866"/>
    </row>
    <row r="4" spans="1:12" ht="15.75" hidden="1" customHeight="1" outlineLevel="1">
      <c r="A4" s="868" t="s">
        <v>304</v>
      </c>
      <c r="B4" s="868"/>
      <c r="C4" s="868"/>
      <c r="D4" s="868"/>
      <c r="E4" s="868"/>
      <c r="F4" s="868"/>
      <c r="G4" s="868"/>
      <c r="H4" s="868"/>
      <c r="I4" s="868"/>
      <c r="J4" s="868"/>
    </row>
    <row r="5" spans="1:12" ht="15.6" collapsed="1">
      <c r="A5" s="36"/>
      <c r="B5" s="52">
        <f>B8-D16-E16</f>
        <v>8888378.0574440006</v>
      </c>
      <c r="C5" s="415"/>
      <c r="D5" s="33"/>
      <c r="F5" s="32"/>
      <c r="G5" s="76"/>
      <c r="H5" s="33"/>
      <c r="I5" s="53" t="s">
        <v>305</v>
      </c>
    </row>
    <row r="6" spans="1:12" ht="31.2">
      <c r="A6" s="367" t="s">
        <v>306</v>
      </c>
      <c r="B6" s="367" t="s">
        <v>148</v>
      </c>
      <c r="C6" s="367" t="s">
        <v>255</v>
      </c>
      <c r="D6" s="367" t="s">
        <v>256</v>
      </c>
      <c r="E6" s="367" t="s">
        <v>257</v>
      </c>
      <c r="F6" s="367" t="s">
        <v>307</v>
      </c>
      <c r="G6" s="367" t="s">
        <v>148</v>
      </c>
      <c r="H6" s="367" t="s">
        <v>282</v>
      </c>
      <c r="I6" s="367" t="s">
        <v>283</v>
      </c>
      <c r="J6" s="367" t="s">
        <v>284</v>
      </c>
    </row>
    <row r="7" spans="1:12" ht="15.6">
      <c r="A7" s="368">
        <v>1</v>
      </c>
      <c r="B7" s="368">
        <v>2</v>
      </c>
      <c r="C7" s="368">
        <v>3</v>
      </c>
      <c r="D7" s="368">
        <v>4</v>
      </c>
      <c r="E7" s="368">
        <v>5</v>
      </c>
      <c r="F7" s="368">
        <v>6</v>
      </c>
      <c r="G7" s="368">
        <v>7</v>
      </c>
      <c r="H7" s="368">
        <v>8</v>
      </c>
      <c r="I7" s="368">
        <v>9</v>
      </c>
      <c r="J7" s="368">
        <v>10</v>
      </c>
    </row>
    <row r="8" spans="1:12" ht="15.6">
      <c r="A8" s="54" t="s">
        <v>308</v>
      </c>
      <c r="B8" s="55">
        <f>B9</f>
        <v>12083191.064509001</v>
      </c>
      <c r="C8" s="55">
        <f t="shared" ref="C8:E8" si="0">C9</f>
        <v>7543591.2288659997</v>
      </c>
      <c r="D8" s="55">
        <f t="shared" si="0"/>
        <v>3932562.6546669998</v>
      </c>
      <c r="E8" s="55">
        <f t="shared" si="0"/>
        <v>607037.18097600003</v>
      </c>
      <c r="F8" s="54" t="s">
        <v>309</v>
      </c>
      <c r="G8" s="56">
        <f>G9</f>
        <v>11997609.234050998</v>
      </c>
      <c r="H8" s="56">
        <f t="shared" ref="H8:J8" si="1">H9</f>
        <v>7533121.9748579999</v>
      </c>
      <c r="I8" s="56">
        <f t="shared" si="1"/>
        <v>3867356.584336</v>
      </c>
      <c r="J8" s="56">
        <f t="shared" si="1"/>
        <v>597130.67485700001</v>
      </c>
    </row>
    <row r="9" spans="1:12" ht="15.6">
      <c r="A9" s="57" t="s">
        <v>310</v>
      </c>
      <c r="B9" s="58">
        <f>B10+B11+B12+B13+B14+B15+B16+B19+B20</f>
        <v>12083191.064509001</v>
      </c>
      <c r="C9" s="58">
        <f t="shared" ref="C9:E9" si="2">C10+C11+C12+C13+C14+C15+C16+C19+C20</f>
        <v>7543591.2288659997</v>
      </c>
      <c r="D9" s="58">
        <f t="shared" si="2"/>
        <v>3932562.6546669998</v>
      </c>
      <c r="E9" s="58">
        <f t="shared" si="2"/>
        <v>607037.18097600003</v>
      </c>
      <c r="F9" s="57" t="s">
        <v>311</v>
      </c>
      <c r="G9" s="59">
        <f>SUM(G10:G16)</f>
        <v>11997609.234050998</v>
      </c>
      <c r="H9" s="59">
        <f>SUM(H10:H16)</f>
        <v>7533121.9748579999</v>
      </c>
      <c r="I9" s="59">
        <f t="shared" ref="I9:J9" si="3">SUM(I10:I16)</f>
        <v>3867356.584336</v>
      </c>
      <c r="J9" s="59">
        <f t="shared" si="3"/>
        <v>597130.67485700001</v>
      </c>
      <c r="L9" s="33"/>
    </row>
    <row r="10" spans="1:12" ht="15.6">
      <c r="A10" s="60" t="s">
        <v>312</v>
      </c>
      <c r="B10" s="61">
        <f>C10+D10+E10</f>
        <v>1315367.2691939997</v>
      </c>
      <c r="C10" s="62">
        <v>866954.16228299972</v>
      </c>
      <c r="D10" s="62">
        <v>393589.9704649999</v>
      </c>
      <c r="E10" s="62">
        <v>54823.136446000004</v>
      </c>
      <c r="F10" s="416" t="s">
        <v>313</v>
      </c>
      <c r="G10" s="63">
        <f>H10+I10+J10</f>
        <v>1916186.210072</v>
      </c>
      <c r="H10" s="63">
        <v>1255540.2626</v>
      </c>
      <c r="I10" s="63">
        <v>641433.05995099992</v>
      </c>
      <c r="J10" s="63">
        <v>19212.887521000001</v>
      </c>
      <c r="L10" s="33"/>
    </row>
    <row r="11" spans="1:12" ht="31.2">
      <c r="A11" s="60" t="s">
        <v>314</v>
      </c>
      <c r="B11" s="61">
        <f t="shared" ref="B11:B15" si="4">C11+D11+E11</f>
        <v>1073430.2363410001</v>
      </c>
      <c r="C11" s="62">
        <v>546390.40609000006</v>
      </c>
      <c r="D11" s="62">
        <v>527039.83025100001</v>
      </c>
      <c r="E11" s="62">
        <v>0</v>
      </c>
      <c r="F11" s="416" t="s">
        <v>315</v>
      </c>
      <c r="G11" s="63">
        <f>H11+I11+J11</f>
        <v>38500</v>
      </c>
      <c r="H11" s="63">
        <v>38500</v>
      </c>
      <c r="I11" s="63">
        <v>0</v>
      </c>
      <c r="J11" s="63">
        <v>0</v>
      </c>
      <c r="L11" s="33"/>
    </row>
    <row r="12" spans="1:12" ht="15.6">
      <c r="A12" s="60" t="s">
        <v>316</v>
      </c>
      <c r="B12" s="61">
        <f>C12+D12+E12</f>
        <v>0</v>
      </c>
      <c r="C12" s="62">
        <v>0</v>
      </c>
      <c r="D12" s="62">
        <v>0</v>
      </c>
      <c r="E12" s="62">
        <v>0</v>
      </c>
      <c r="F12" s="60" t="s">
        <v>317</v>
      </c>
      <c r="G12" s="63">
        <f>H12+I12+J12</f>
        <v>4496242.7775139995</v>
      </c>
      <c r="H12" s="63">
        <v>1644956.965935</v>
      </c>
      <c r="I12" s="63">
        <v>2320080.1694180002</v>
      </c>
      <c r="J12" s="63">
        <v>531205.64216100005</v>
      </c>
      <c r="L12" s="33"/>
    </row>
    <row r="13" spans="1:12" ht="31.2">
      <c r="A13" s="60" t="s">
        <v>318</v>
      </c>
      <c r="B13" s="61">
        <f t="shared" si="4"/>
        <v>108648.940846</v>
      </c>
      <c r="C13" s="62">
        <v>31480.353094999999</v>
      </c>
      <c r="D13" s="62">
        <v>67857.758321000001</v>
      </c>
      <c r="E13" s="62">
        <v>9310.8294299999998</v>
      </c>
      <c r="F13" s="60" t="s">
        <v>319</v>
      </c>
      <c r="G13" s="63">
        <f>H13+I13+J13</f>
        <v>2000</v>
      </c>
      <c r="H13" s="63">
        <v>2000</v>
      </c>
      <c r="I13" s="63">
        <v>0</v>
      </c>
      <c r="J13" s="63">
        <v>0</v>
      </c>
      <c r="L13" s="33"/>
    </row>
    <row r="14" spans="1:12" ht="31.2">
      <c r="A14" s="60" t="s">
        <v>320</v>
      </c>
      <c r="B14" s="61">
        <f t="shared" si="4"/>
        <v>1185342.1747400002</v>
      </c>
      <c r="C14" s="62">
        <v>901819.66535200004</v>
      </c>
      <c r="D14" s="62">
        <v>241773.11695299999</v>
      </c>
      <c r="E14" s="62">
        <v>41749.392435000002</v>
      </c>
      <c r="F14" s="416" t="s">
        <v>321</v>
      </c>
      <c r="G14" s="63">
        <f t="shared" ref="G14:G16" si="5">H14+I14+J14</f>
        <v>3194813.007065</v>
      </c>
      <c r="H14" s="63">
        <v>2693670.1844000001</v>
      </c>
      <c r="I14" s="63">
        <v>501142.82266499999</v>
      </c>
      <c r="J14" s="63">
        <v>0</v>
      </c>
      <c r="L14" s="33"/>
    </row>
    <row r="15" spans="1:12" ht="15.6">
      <c r="A15" s="60" t="s">
        <v>322</v>
      </c>
      <c r="B15" s="61">
        <f t="shared" si="4"/>
        <v>76662.459126000002</v>
      </c>
      <c r="C15" s="61">
        <v>71019.105301999996</v>
      </c>
      <c r="D15" s="61">
        <v>5643.3538239999998</v>
      </c>
      <c r="E15" s="61">
        <v>0</v>
      </c>
      <c r="F15" s="416" t="s">
        <v>323</v>
      </c>
      <c r="G15" s="63">
        <f t="shared" si="5"/>
        <v>2207814.4703509999</v>
      </c>
      <c r="H15" s="63">
        <v>1833064.2520000001</v>
      </c>
      <c r="I15" s="63">
        <v>333681.42700000003</v>
      </c>
      <c r="J15" s="63">
        <v>41068.791351</v>
      </c>
      <c r="L15" s="33"/>
    </row>
    <row r="16" spans="1:12" ht="15.6">
      <c r="A16" s="60" t="s">
        <v>324</v>
      </c>
      <c r="B16" s="61">
        <f>B17+B18</f>
        <v>8317286.5438090004</v>
      </c>
      <c r="C16" s="61">
        <f t="shared" ref="C16:E16" si="6">C17+C18</f>
        <v>5122473.5367440004</v>
      </c>
      <c r="D16" s="61">
        <f t="shared" si="6"/>
        <v>2693670.1844000001</v>
      </c>
      <c r="E16" s="61">
        <f t="shared" si="6"/>
        <v>501142.82266499999</v>
      </c>
      <c r="F16" s="60" t="s">
        <v>325</v>
      </c>
      <c r="G16" s="63">
        <f t="shared" si="5"/>
        <v>142052.76904899999</v>
      </c>
      <c r="H16" s="63">
        <v>65390.309923000001</v>
      </c>
      <c r="I16" s="63">
        <v>71019.105301999996</v>
      </c>
      <c r="J16" s="63">
        <v>5643.3538239999998</v>
      </c>
      <c r="L16" s="33"/>
    </row>
    <row r="17" spans="1:12" ht="15.6">
      <c r="A17" s="64" t="s">
        <v>326</v>
      </c>
      <c r="B17" s="65">
        <f>C17+D17+E17</f>
        <v>5278117.8990000002</v>
      </c>
      <c r="C17" s="65">
        <v>3030369</v>
      </c>
      <c r="D17" s="65">
        <v>1863299.774</v>
      </c>
      <c r="E17" s="65">
        <v>384449.125</v>
      </c>
      <c r="F17" s="60"/>
      <c r="G17" s="63"/>
      <c r="H17" s="63"/>
      <c r="I17" s="63"/>
      <c r="J17" s="63"/>
      <c r="L17" s="33"/>
    </row>
    <row r="18" spans="1:12" ht="15.6">
      <c r="A18" s="64" t="s">
        <v>327</v>
      </c>
      <c r="B18" s="65">
        <f>C18+D18+E18</f>
        <v>3039168.6448090002</v>
      </c>
      <c r="C18" s="65">
        <v>2092104.5367440002</v>
      </c>
      <c r="D18" s="65">
        <v>830370.41040000005</v>
      </c>
      <c r="E18" s="65">
        <v>116693.697665</v>
      </c>
      <c r="F18" s="60"/>
      <c r="G18" s="63"/>
      <c r="H18" s="63"/>
      <c r="I18" s="63"/>
      <c r="J18" s="63"/>
      <c r="L18" s="33"/>
    </row>
    <row r="19" spans="1:12" ht="15.6">
      <c r="A19" s="60" t="s">
        <v>2045</v>
      </c>
      <c r="B19" s="61">
        <f>C19+D19+E19</f>
        <v>2999.4404530000002</v>
      </c>
      <c r="C19" s="65"/>
      <c r="D19" s="65">
        <v>2988.4404530000002</v>
      </c>
      <c r="E19" s="61">
        <v>11</v>
      </c>
      <c r="F19" s="60"/>
      <c r="G19" s="63"/>
      <c r="H19" s="63"/>
      <c r="I19" s="63"/>
      <c r="J19" s="63"/>
      <c r="L19" s="33"/>
    </row>
    <row r="20" spans="1:12" ht="15.6">
      <c r="A20" s="60" t="s">
        <v>2046</v>
      </c>
      <c r="B20" s="61">
        <f>C20+D20+E20</f>
        <v>3454</v>
      </c>
      <c r="C20" s="61">
        <v>3454</v>
      </c>
      <c r="D20" s="61"/>
      <c r="E20" s="61"/>
      <c r="F20" s="60"/>
      <c r="G20" s="63"/>
      <c r="H20" s="63"/>
      <c r="I20" s="63"/>
      <c r="J20" s="63"/>
      <c r="L20" s="33"/>
    </row>
    <row r="21" spans="1:12" ht="15.6">
      <c r="A21" s="66" t="s">
        <v>2047</v>
      </c>
      <c r="B21" s="67">
        <f>B8-G8</f>
        <v>85581.830458002165</v>
      </c>
      <c r="C21" s="68">
        <f>C8-H8</f>
        <v>10469.254007999785</v>
      </c>
      <c r="D21" s="68">
        <f t="shared" ref="D21" si="7">D8-I8</f>
        <v>65206.070330999792</v>
      </c>
      <c r="E21" s="68">
        <f>E8-J8-0.3</f>
        <v>9906.2061190000277</v>
      </c>
      <c r="F21" s="69"/>
      <c r="G21" s="63"/>
      <c r="H21" s="70"/>
      <c r="I21" s="70"/>
      <c r="J21" s="70"/>
      <c r="L21" s="33"/>
    </row>
    <row r="22" spans="1:12" ht="15.6">
      <c r="A22" s="71" t="s">
        <v>328</v>
      </c>
      <c r="B22" s="72"/>
      <c r="C22" s="73"/>
      <c r="D22" s="69"/>
      <c r="E22" s="69"/>
      <c r="F22" s="69"/>
      <c r="G22" s="70"/>
      <c r="H22" s="70"/>
      <c r="I22" s="70"/>
      <c r="J22" s="70"/>
    </row>
    <row r="23" spans="1:12" ht="31.5" customHeight="1">
      <c r="A23" s="66" t="s">
        <v>329</v>
      </c>
      <c r="B23" s="72"/>
      <c r="C23" s="72"/>
      <c r="D23" s="72"/>
      <c r="E23" s="57"/>
      <c r="F23" s="57" t="s">
        <v>330</v>
      </c>
      <c r="G23" s="63"/>
      <c r="H23" s="63"/>
      <c r="I23" s="63"/>
      <c r="J23" s="63"/>
    </row>
    <row r="24" spans="1:12" ht="18.75" customHeight="1">
      <c r="A24" s="74"/>
      <c r="B24" s="74"/>
      <c r="C24" s="74"/>
      <c r="D24" s="74"/>
      <c r="E24" s="74"/>
      <c r="F24" s="74"/>
      <c r="G24" s="75"/>
      <c r="H24" s="75"/>
      <c r="I24" s="75"/>
      <c r="J24" s="75"/>
    </row>
    <row r="25" spans="1:12" ht="20.25" customHeight="1">
      <c r="A25" s="300"/>
    </row>
    <row r="26" spans="1:12" s="417" customFormat="1" ht="6" customHeight="1">
      <c r="A26" s="867" t="s">
        <v>2048</v>
      </c>
      <c r="B26" s="867"/>
      <c r="D26" s="867" t="s">
        <v>2048</v>
      </c>
      <c r="E26" s="867"/>
      <c r="F26" s="867"/>
      <c r="G26" s="867" t="s">
        <v>2049</v>
      </c>
      <c r="H26" s="867"/>
      <c r="I26" s="867"/>
      <c r="J26" s="867"/>
      <c r="K26" s="418"/>
    </row>
    <row r="27" spans="1:12" s="417" customFormat="1" ht="9" customHeight="1">
      <c r="A27" s="797" t="s">
        <v>331</v>
      </c>
      <c r="B27" s="797"/>
      <c r="C27" s="419"/>
      <c r="D27" s="797" t="s">
        <v>332</v>
      </c>
      <c r="E27" s="797"/>
      <c r="F27" s="797"/>
      <c r="G27" s="797" t="s">
        <v>333</v>
      </c>
      <c r="H27" s="797"/>
      <c r="I27" s="797"/>
      <c r="J27" s="797"/>
      <c r="K27" s="418"/>
    </row>
    <row r="28" spans="1:12" s="417" customFormat="1" ht="16.5" customHeight="1">
      <c r="A28" s="797" t="s">
        <v>334</v>
      </c>
      <c r="B28" s="797"/>
      <c r="C28" s="418"/>
      <c r="D28" s="797" t="s">
        <v>335</v>
      </c>
      <c r="E28" s="797"/>
      <c r="F28" s="797"/>
      <c r="G28" s="797" t="s">
        <v>336</v>
      </c>
      <c r="H28" s="797"/>
      <c r="I28" s="797"/>
      <c r="J28" s="797"/>
      <c r="K28" s="418"/>
    </row>
    <row r="29" spans="1:12" s="417" customFormat="1" ht="16.5" customHeight="1">
      <c r="A29" s="420"/>
      <c r="B29" s="421"/>
      <c r="C29" s="421"/>
      <c r="D29" s="421"/>
      <c r="E29" s="421"/>
      <c r="F29" s="422"/>
      <c r="G29" s="423"/>
      <c r="H29" s="423"/>
      <c r="I29" s="423"/>
      <c r="J29" s="423"/>
      <c r="K29" s="418"/>
    </row>
    <row r="30" spans="1:12" ht="16.5" customHeight="1">
      <c r="A30" s="424"/>
      <c r="B30" s="414"/>
      <c r="C30" s="414"/>
      <c r="D30" s="424"/>
      <c r="E30" s="424"/>
      <c r="F30" s="425"/>
      <c r="G30" s="424"/>
      <c r="H30" s="424"/>
      <c r="I30" s="424"/>
      <c r="J30" s="424"/>
    </row>
    <row r="31" spans="1:12" ht="15.6">
      <c r="A31" s="424"/>
      <c r="B31" s="414"/>
      <c r="C31" s="414"/>
      <c r="D31" s="424"/>
      <c r="E31" s="424"/>
      <c r="F31" s="426"/>
      <c r="G31" s="424"/>
      <c r="H31" s="424"/>
      <c r="I31" s="424"/>
      <c r="J31" s="424"/>
    </row>
    <row r="32" spans="1:12" ht="15.6">
      <c r="A32" s="424"/>
      <c r="B32" s="33"/>
      <c r="C32" s="33"/>
      <c r="D32" s="33"/>
      <c r="E32" s="33"/>
      <c r="F32" s="424"/>
      <c r="G32" s="426">
        <f>G8-G14-G15-G16</f>
        <v>6452928.9875859991</v>
      </c>
      <c r="H32" s="424"/>
      <c r="I32" s="424"/>
      <c r="J32" s="424"/>
    </row>
    <row r="33" spans="1:11" s="32" customFormat="1" ht="15.6">
      <c r="A33" s="427"/>
      <c r="B33" s="428"/>
      <c r="C33" s="428"/>
      <c r="D33" s="429"/>
      <c r="E33" s="429"/>
      <c r="F33" s="427"/>
      <c r="G33" s="427"/>
      <c r="H33" s="427"/>
      <c r="I33" s="427"/>
      <c r="J33" s="427"/>
      <c r="K33" s="428"/>
    </row>
    <row r="34" spans="1:11" ht="15.6">
      <c r="A34" s="424"/>
      <c r="C34" s="33"/>
      <c r="D34" s="424"/>
      <c r="E34" s="424"/>
      <c r="F34" s="424"/>
      <c r="G34" s="424"/>
      <c r="H34" s="424"/>
      <c r="I34" s="424"/>
      <c r="J34" s="424"/>
    </row>
    <row r="35" spans="1:11" ht="15.6">
      <c r="A35" s="424"/>
      <c r="B35" s="33"/>
      <c r="D35" s="424"/>
      <c r="E35" s="424"/>
      <c r="F35" s="424"/>
      <c r="G35" s="424"/>
      <c r="H35" s="424"/>
      <c r="I35" s="424"/>
      <c r="J35" s="424"/>
    </row>
    <row r="36" spans="1:11" ht="15.6">
      <c r="A36" s="424"/>
      <c r="B36" s="33"/>
      <c r="D36" s="424"/>
      <c r="E36" s="424"/>
      <c r="F36" s="424"/>
      <c r="G36" s="424"/>
      <c r="H36" s="424"/>
      <c r="I36" s="424"/>
      <c r="J36" s="424"/>
    </row>
    <row r="37" spans="1:11" ht="15.6">
      <c r="A37" s="424"/>
      <c r="B37" s="414"/>
      <c r="D37" s="424"/>
      <c r="E37" s="424"/>
      <c r="F37" s="424"/>
      <c r="G37" s="424"/>
      <c r="H37" s="424"/>
      <c r="I37" s="424"/>
      <c r="J37" s="424"/>
    </row>
    <row r="38" spans="1:11" ht="15.6">
      <c r="A38" s="424"/>
      <c r="B38" s="33"/>
      <c r="D38" s="424"/>
      <c r="E38" s="424"/>
      <c r="F38" s="424"/>
      <c r="G38" s="424"/>
      <c r="H38" s="424"/>
      <c r="I38" s="424"/>
      <c r="J38" s="424"/>
    </row>
    <row r="39" spans="1:11" ht="15.6">
      <c r="A39" s="424"/>
      <c r="B39" s="414"/>
      <c r="D39" s="424"/>
      <c r="E39" s="424"/>
      <c r="F39" s="424"/>
      <c r="G39" s="424"/>
      <c r="H39" s="424"/>
      <c r="I39" s="424"/>
      <c r="J39" s="424"/>
    </row>
    <row r="40" spans="1:11" ht="15.6">
      <c r="A40" s="424"/>
      <c r="B40" s="33"/>
      <c r="D40" s="424"/>
      <c r="E40" s="424"/>
      <c r="F40" s="424"/>
      <c r="G40" s="424"/>
      <c r="H40" s="424"/>
      <c r="I40" s="424"/>
      <c r="J40" s="424"/>
    </row>
    <row r="41" spans="1:11" ht="15.6">
      <c r="A41" s="865" t="s">
        <v>2050</v>
      </c>
      <c r="B41" s="865"/>
      <c r="C41" s="865"/>
      <c r="D41" s="865"/>
      <c r="E41" s="865"/>
      <c r="F41" s="865"/>
      <c r="G41" s="865"/>
      <c r="H41" s="865"/>
      <c r="I41" s="865"/>
      <c r="J41" s="865"/>
    </row>
    <row r="42" spans="1:11" ht="15.6">
      <c r="A42" s="324" t="s">
        <v>337</v>
      </c>
    </row>
    <row r="43" spans="1:11" ht="39.75" customHeight="1">
      <c r="C43" s="33">
        <v>-40448.970788000152</v>
      </c>
      <c r="D43" s="33">
        <v>-70790.628435000312</v>
      </c>
      <c r="E43" s="33">
        <v>-9310.8294299999252</v>
      </c>
      <c r="F43" s="31" t="s">
        <v>338</v>
      </c>
    </row>
  </sheetData>
  <mergeCells count="13">
    <mergeCell ref="A28:B28"/>
    <mergeCell ref="D28:F28"/>
    <mergeCell ref="G28:J28"/>
    <mergeCell ref="A41:J41"/>
    <mergeCell ref="I1:J1"/>
    <mergeCell ref="A26:B26"/>
    <mergeCell ref="D26:F26"/>
    <mergeCell ref="G26:J26"/>
    <mergeCell ref="A27:B27"/>
    <mergeCell ref="D27:F27"/>
    <mergeCell ref="G27:J27"/>
    <mergeCell ref="A3:J3"/>
    <mergeCell ref="A4:J4"/>
  </mergeCells>
  <dataValidations count="2">
    <dataValidation allowBlank="1" showInputMessage="1" showErrorMessage="1" prompt="Huyenj Dak Tô 62 trđ" sqref="D22" xr:uid="{00000000-0002-0000-1100-000000000000}"/>
    <dataValidation allowBlank="1" showInputMessage="1" showErrorMessage="1" prompt="TP Kon Tum 22 trđ" sqref="E22" xr:uid="{00000000-0002-0000-1100-000001000000}"/>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S741"/>
  <sheetViews>
    <sheetView zoomScale="110" zoomScaleNormal="110" workbookViewId="0">
      <pane xSplit="2" ySplit="9" topLeftCell="G10" activePane="bottomRight" state="frozen"/>
      <selection activeCell="H101" sqref="H101:K101"/>
      <selection pane="topRight" activeCell="H101" sqref="H101:K101"/>
      <selection pane="bottomLeft" activeCell="H101" sqref="H101:K101"/>
      <selection pane="bottomRight" activeCell="H101" sqref="H101:K101"/>
    </sheetView>
  </sheetViews>
  <sheetFormatPr defaultRowHeight="15.6" outlineLevelRow="2" outlineLevelCol="1"/>
  <cols>
    <col min="1" max="1" width="6.44140625" style="100" customWidth="1"/>
    <col min="2" max="2" width="46.33203125" style="80" customWidth="1"/>
    <col min="3" max="3" width="11.109375" style="101" hidden="1" customWidth="1" outlineLevel="1"/>
    <col min="4" max="4" width="9.109375" style="80" hidden="1" customWidth="1" outlineLevel="1"/>
    <col min="5" max="5" width="8.5546875" style="80" hidden="1" customWidth="1" outlineLevel="1"/>
    <col min="6" max="7" width="7.44140625" style="80" hidden="1" customWidth="1" outlineLevel="1"/>
    <col min="8" max="8" width="13" style="102" hidden="1" customWidth="1" outlineLevel="1"/>
    <col min="9" max="9" width="13.44140625" style="102" hidden="1" customWidth="1" outlineLevel="1"/>
    <col min="10" max="10" width="11.33203125" style="102" hidden="1" customWidth="1" outlineLevel="1"/>
    <col min="11" max="11" width="11.44140625" style="102" hidden="1" customWidth="1" outlineLevel="1"/>
    <col min="12" max="12" width="10.109375" style="102" hidden="1" customWidth="1" outlineLevel="1"/>
    <col min="13" max="13" width="10.44140625" style="102" hidden="1" customWidth="1" outlineLevel="1"/>
    <col min="14" max="14" width="9.6640625" style="102" hidden="1" customWidth="1" outlineLevel="1"/>
    <col min="15" max="15" width="13" style="80" customWidth="1" collapsed="1"/>
    <col min="16" max="17" width="11" style="80" customWidth="1"/>
    <col min="18" max="18" width="10.33203125" style="80" customWidth="1"/>
    <col min="19" max="19" width="10.109375" style="80" customWidth="1"/>
    <col min="20" max="20" width="11.33203125" style="80" customWidth="1"/>
    <col min="21" max="21" width="9.88671875" style="80" customWidth="1"/>
    <col min="22" max="22" width="9.5546875" style="80" customWidth="1"/>
    <col min="23" max="23" width="11.109375" style="80" customWidth="1"/>
    <col min="24" max="30" width="10" style="80" customWidth="1"/>
    <col min="31" max="36" width="10" style="80" hidden="1" customWidth="1" outlineLevel="1"/>
    <col min="37" max="37" width="11.44140625" style="82" customWidth="1" collapsed="1"/>
    <col min="38" max="38" width="11.6640625" style="82" customWidth="1"/>
    <col min="39" max="40" width="11" style="82" customWidth="1"/>
    <col min="41" max="41" width="10.6640625" style="82" customWidth="1"/>
    <col min="42" max="42" width="14.6640625" style="82" customWidth="1"/>
    <col min="43" max="43" width="10.33203125" style="502" customWidth="1"/>
    <col min="44" max="44" width="10.6640625" style="502" customWidth="1"/>
    <col min="45" max="45" width="31" style="80" customWidth="1"/>
    <col min="46" max="254" width="9.109375" style="80"/>
    <col min="255" max="255" width="6.33203125" style="80" customWidth="1"/>
    <col min="256" max="256" width="45" style="80" customWidth="1"/>
    <col min="257" max="259" width="7.44140625" style="80" customWidth="1"/>
    <col min="260" max="260" width="6.44140625" style="80" customWidth="1"/>
    <col min="261" max="261" width="7.44140625" style="80" customWidth="1"/>
    <col min="262" max="262" width="8.88671875" style="80" customWidth="1"/>
    <col min="263" max="264" width="7.44140625" style="80" customWidth="1"/>
    <col min="265" max="265" width="8.5546875" style="80" customWidth="1"/>
    <col min="266" max="266" width="7.44140625" style="80" customWidth="1"/>
    <col min="267" max="267" width="6.44140625" style="80" customWidth="1"/>
    <col min="268" max="268" width="7.44140625" style="80" customWidth="1"/>
    <col min="269" max="269" width="8.88671875" style="80" customWidth="1"/>
    <col min="270" max="275" width="7.44140625" style="80" customWidth="1"/>
    <col min="276" max="295" width="0" style="80" hidden="1" customWidth="1"/>
    <col min="296" max="296" width="24" style="80" customWidth="1"/>
    <col min="297" max="510" width="9.109375" style="80"/>
    <col min="511" max="511" width="6.33203125" style="80" customWidth="1"/>
    <col min="512" max="512" width="45" style="80" customWidth="1"/>
    <col min="513" max="515" width="7.44140625" style="80" customWidth="1"/>
    <col min="516" max="516" width="6.44140625" style="80" customWidth="1"/>
    <col min="517" max="517" width="7.44140625" style="80" customWidth="1"/>
    <col min="518" max="518" width="8.88671875" style="80" customWidth="1"/>
    <col min="519" max="520" width="7.44140625" style="80" customWidth="1"/>
    <col min="521" max="521" width="8.5546875" style="80" customWidth="1"/>
    <col min="522" max="522" width="7.44140625" style="80" customWidth="1"/>
    <col min="523" max="523" width="6.44140625" style="80" customWidth="1"/>
    <col min="524" max="524" width="7.44140625" style="80" customWidth="1"/>
    <col min="525" max="525" width="8.88671875" style="80" customWidth="1"/>
    <col min="526" max="531" width="7.44140625" style="80" customWidth="1"/>
    <col min="532" max="551" width="0" style="80" hidden="1" customWidth="1"/>
    <col min="552" max="552" width="24" style="80" customWidth="1"/>
    <col min="553" max="766" width="9.109375" style="80"/>
    <col min="767" max="767" width="6.33203125" style="80" customWidth="1"/>
    <col min="768" max="768" width="45" style="80" customWidth="1"/>
    <col min="769" max="771" width="7.44140625" style="80" customWidth="1"/>
    <col min="772" max="772" width="6.44140625" style="80" customWidth="1"/>
    <col min="773" max="773" width="7.44140625" style="80" customWidth="1"/>
    <col min="774" max="774" width="8.88671875" style="80" customWidth="1"/>
    <col min="775" max="776" width="7.44140625" style="80" customWidth="1"/>
    <col min="777" max="777" width="8.5546875" style="80" customWidth="1"/>
    <col min="778" max="778" width="7.44140625" style="80" customWidth="1"/>
    <col min="779" max="779" width="6.44140625" style="80" customWidth="1"/>
    <col min="780" max="780" width="7.44140625" style="80" customWidth="1"/>
    <col min="781" max="781" width="8.88671875" style="80" customWidth="1"/>
    <col min="782" max="787" width="7.44140625" style="80" customWidth="1"/>
    <col min="788" max="807" width="0" style="80" hidden="1" customWidth="1"/>
    <col min="808" max="808" width="24" style="80" customWidth="1"/>
    <col min="809" max="1022" width="9.109375" style="80"/>
    <col min="1023" max="1023" width="6.33203125" style="80" customWidth="1"/>
    <col min="1024" max="1024" width="45" style="80" customWidth="1"/>
    <col min="1025" max="1027" width="7.44140625" style="80" customWidth="1"/>
    <col min="1028" max="1028" width="6.44140625" style="80" customWidth="1"/>
    <col min="1029" max="1029" width="7.44140625" style="80" customWidth="1"/>
    <col min="1030" max="1030" width="8.88671875" style="80" customWidth="1"/>
    <col min="1031" max="1032" width="7.44140625" style="80" customWidth="1"/>
    <col min="1033" max="1033" width="8.5546875" style="80" customWidth="1"/>
    <col min="1034" max="1034" width="7.44140625" style="80" customWidth="1"/>
    <col min="1035" max="1035" width="6.44140625" style="80" customWidth="1"/>
    <col min="1036" max="1036" width="7.44140625" style="80" customWidth="1"/>
    <col min="1037" max="1037" width="8.88671875" style="80" customWidth="1"/>
    <col min="1038" max="1043" width="7.44140625" style="80" customWidth="1"/>
    <col min="1044" max="1063" width="0" style="80" hidden="1" customWidth="1"/>
    <col min="1064" max="1064" width="24" style="80" customWidth="1"/>
    <col min="1065" max="1278" width="9.109375" style="80"/>
    <col min="1279" max="1279" width="6.33203125" style="80" customWidth="1"/>
    <col min="1280" max="1280" width="45" style="80" customWidth="1"/>
    <col min="1281" max="1283" width="7.44140625" style="80" customWidth="1"/>
    <col min="1284" max="1284" width="6.44140625" style="80" customWidth="1"/>
    <col min="1285" max="1285" width="7.44140625" style="80" customWidth="1"/>
    <col min="1286" max="1286" width="8.88671875" style="80" customWidth="1"/>
    <col min="1287" max="1288" width="7.44140625" style="80" customWidth="1"/>
    <col min="1289" max="1289" width="8.5546875" style="80" customWidth="1"/>
    <col min="1290" max="1290" width="7.44140625" style="80" customWidth="1"/>
    <col min="1291" max="1291" width="6.44140625" style="80" customWidth="1"/>
    <col min="1292" max="1292" width="7.44140625" style="80" customWidth="1"/>
    <col min="1293" max="1293" width="8.88671875" style="80" customWidth="1"/>
    <col min="1294" max="1299" width="7.44140625" style="80" customWidth="1"/>
    <col min="1300" max="1319" width="0" style="80" hidden="1" customWidth="1"/>
    <col min="1320" max="1320" width="24" style="80" customWidth="1"/>
    <col min="1321" max="1534" width="9.109375" style="80"/>
    <col min="1535" max="1535" width="6.33203125" style="80" customWidth="1"/>
    <col min="1536" max="1536" width="45" style="80" customWidth="1"/>
    <col min="1537" max="1539" width="7.44140625" style="80" customWidth="1"/>
    <col min="1540" max="1540" width="6.44140625" style="80" customWidth="1"/>
    <col min="1541" max="1541" width="7.44140625" style="80" customWidth="1"/>
    <col min="1542" max="1542" width="8.88671875" style="80" customWidth="1"/>
    <col min="1543" max="1544" width="7.44140625" style="80" customWidth="1"/>
    <col min="1545" max="1545" width="8.5546875" style="80" customWidth="1"/>
    <col min="1546" max="1546" width="7.44140625" style="80" customWidth="1"/>
    <col min="1547" max="1547" width="6.44140625" style="80" customWidth="1"/>
    <col min="1548" max="1548" width="7.44140625" style="80" customWidth="1"/>
    <col min="1549" max="1549" width="8.88671875" style="80" customWidth="1"/>
    <col min="1550" max="1555" width="7.44140625" style="80" customWidth="1"/>
    <col min="1556" max="1575" width="0" style="80" hidden="1" customWidth="1"/>
    <col min="1576" max="1576" width="24" style="80" customWidth="1"/>
    <col min="1577" max="1790" width="9.109375" style="80"/>
    <col min="1791" max="1791" width="6.33203125" style="80" customWidth="1"/>
    <col min="1792" max="1792" width="45" style="80" customWidth="1"/>
    <col min="1793" max="1795" width="7.44140625" style="80" customWidth="1"/>
    <col min="1796" max="1796" width="6.44140625" style="80" customWidth="1"/>
    <col min="1797" max="1797" width="7.44140625" style="80" customWidth="1"/>
    <col min="1798" max="1798" width="8.88671875" style="80" customWidth="1"/>
    <col min="1799" max="1800" width="7.44140625" style="80" customWidth="1"/>
    <col min="1801" max="1801" width="8.5546875" style="80" customWidth="1"/>
    <col min="1802" max="1802" width="7.44140625" style="80" customWidth="1"/>
    <col min="1803" max="1803" width="6.44140625" style="80" customWidth="1"/>
    <col min="1804" max="1804" width="7.44140625" style="80" customWidth="1"/>
    <col min="1805" max="1805" width="8.88671875" style="80" customWidth="1"/>
    <col min="1806" max="1811" width="7.44140625" style="80" customWidth="1"/>
    <col min="1812" max="1831" width="0" style="80" hidden="1" customWidth="1"/>
    <col min="1832" max="1832" width="24" style="80" customWidth="1"/>
    <col min="1833" max="2046" width="9.109375" style="80"/>
    <col min="2047" max="2047" width="6.33203125" style="80" customWidth="1"/>
    <col min="2048" max="2048" width="45" style="80" customWidth="1"/>
    <col min="2049" max="2051" width="7.44140625" style="80" customWidth="1"/>
    <col min="2052" max="2052" width="6.44140625" style="80" customWidth="1"/>
    <col min="2053" max="2053" width="7.44140625" style="80" customWidth="1"/>
    <col min="2054" max="2054" width="8.88671875" style="80" customWidth="1"/>
    <col min="2055" max="2056" width="7.44140625" style="80" customWidth="1"/>
    <col min="2057" max="2057" width="8.5546875" style="80" customWidth="1"/>
    <col min="2058" max="2058" width="7.44140625" style="80" customWidth="1"/>
    <col min="2059" max="2059" width="6.44140625" style="80" customWidth="1"/>
    <col min="2060" max="2060" width="7.44140625" style="80" customWidth="1"/>
    <col min="2061" max="2061" width="8.88671875" style="80" customWidth="1"/>
    <col min="2062" max="2067" width="7.44140625" style="80" customWidth="1"/>
    <col min="2068" max="2087" width="0" style="80" hidden="1" customWidth="1"/>
    <col min="2088" max="2088" width="24" style="80" customWidth="1"/>
    <col min="2089" max="2302" width="9.109375" style="80"/>
    <col min="2303" max="2303" width="6.33203125" style="80" customWidth="1"/>
    <col min="2304" max="2304" width="45" style="80" customWidth="1"/>
    <col min="2305" max="2307" width="7.44140625" style="80" customWidth="1"/>
    <col min="2308" max="2308" width="6.44140625" style="80" customWidth="1"/>
    <col min="2309" max="2309" width="7.44140625" style="80" customWidth="1"/>
    <col min="2310" max="2310" width="8.88671875" style="80" customWidth="1"/>
    <col min="2311" max="2312" width="7.44140625" style="80" customWidth="1"/>
    <col min="2313" max="2313" width="8.5546875" style="80" customWidth="1"/>
    <col min="2314" max="2314" width="7.44140625" style="80" customWidth="1"/>
    <col min="2315" max="2315" width="6.44140625" style="80" customWidth="1"/>
    <col min="2316" max="2316" width="7.44140625" style="80" customWidth="1"/>
    <col min="2317" max="2317" width="8.88671875" style="80" customWidth="1"/>
    <col min="2318" max="2323" width="7.44140625" style="80" customWidth="1"/>
    <col min="2324" max="2343" width="0" style="80" hidden="1" customWidth="1"/>
    <col min="2344" max="2344" width="24" style="80" customWidth="1"/>
    <col min="2345" max="2558" width="9.109375" style="80"/>
    <col min="2559" max="2559" width="6.33203125" style="80" customWidth="1"/>
    <col min="2560" max="2560" width="45" style="80" customWidth="1"/>
    <col min="2561" max="2563" width="7.44140625" style="80" customWidth="1"/>
    <col min="2564" max="2564" width="6.44140625" style="80" customWidth="1"/>
    <col min="2565" max="2565" width="7.44140625" style="80" customWidth="1"/>
    <col min="2566" max="2566" width="8.88671875" style="80" customWidth="1"/>
    <col min="2567" max="2568" width="7.44140625" style="80" customWidth="1"/>
    <col min="2569" max="2569" width="8.5546875" style="80" customWidth="1"/>
    <col min="2570" max="2570" width="7.44140625" style="80" customWidth="1"/>
    <col min="2571" max="2571" width="6.44140625" style="80" customWidth="1"/>
    <col min="2572" max="2572" width="7.44140625" style="80" customWidth="1"/>
    <col min="2573" max="2573" width="8.88671875" style="80" customWidth="1"/>
    <col min="2574" max="2579" width="7.44140625" style="80" customWidth="1"/>
    <col min="2580" max="2599" width="0" style="80" hidden="1" customWidth="1"/>
    <col min="2600" max="2600" width="24" style="80" customWidth="1"/>
    <col min="2601" max="2814" width="9.109375" style="80"/>
    <col min="2815" max="2815" width="6.33203125" style="80" customWidth="1"/>
    <col min="2816" max="2816" width="45" style="80" customWidth="1"/>
    <col min="2817" max="2819" width="7.44140625" style="80" customWidth="1"/>
    <col min="2820" max="2820" width="6.44140625" style="80" customWidth="1"/>
    <col min="2821" max="2821" width="7.44140625" style="80" customWidth="1"/>
    <col min="2822" max="2822" width="8.88671875" style="80" customWidth="1"/>
    <col min="2823" max="2824" width="7.44140625" style="80" customWidth="1"/>
    <col min="2825" max="2825" width="8.5546875" style="80" customWidth="1"/>
    <col min="2826" max="2826" width="7.44140625" style="80" customWidth="1"/>
    <col min="2827" max="2827" width="6.44140625" style="80" customWidth="1"/>
    <col min="2828" max="2828" width="7.44140625" style="80" customWidth="1"/>
    <col min="2829" max="2829" width="8.88671875" style="80" customWidth="1"/>
    <col min="2830" max="2835" width="7.44140625" style="80" customWidth="1"/>
    <col min="2836" max="2855" width="0" style="80" hidden="1" customWidth="1"/>
    <col min="2856" max="2856" width="24" style="80" customWidth="1"/>
    <col min="2857" max="3070" width="9.109375" style="80"/>
    <col min="3071" max="3071" width="6.33203125" style="80" customWidth="1"/>
    <col min="3072" max="3072" width="45" style="80" customWidth="1"/>
    <col min="3073" max="3075" width="7.44140625" style="80" customWidth="1"/>
    <col min="3076" max="3076" width="6.44140625" style="80" customWidth="1"/>
    <col min="3077" max="3077" width="7.44140625" style="80" customWidth="1"/>
    <col min="3078" max="3078" width="8.88671875" style="80" customWidth="1"/>
    <col min="3079" max="3080" width="7.44140625" style="80" customWidth="1"/>
    <col min="3081" max="3081" width="8.5546875" style="80" customWidth="1"/>
    <col min="3082" max="3082" width="7.44140625" style="80" customWidth="1"/>
    <col min="3083" max="3083" width="6.44140625" style="80" customWidth="1"/>
    <col min="3084" max="3084" width="7.44140625" style="80" customWidth="1"/>
    <col min="3085" max="3085" width="8.88671875" style="80" customWidth="1"/>
    <col min="3086" max="3091" width="7.44140625" style="80" customWidth="1"/>
    <col min="3092" max="3111" width="0" style="80" hidden="1" customWidth="1"/>
    <col min="3112" max="3112" width="24" style="80" customWidth="1"/>
    <col min="3113" max="3326" width="9.109375" style="80"/>
    <col min="3327" max="3327" width="6.33203125" style="80" customWidth="1"/>
    <col min="3328" max="3328" width="45" style="80" customWidth="1"/>
    <col min="3329" max="3331" width="7.44140625" style="80" customWidth="1"/>
    <col min="3332" max="3332" width="6.44140625" style="80" customWidth="1"/>
    <col min="3333" max="3333" width="7.44140625" style="80" customWidth="1"/>
    <col min="3334" max="3334" width="8.88671875" style="80" customWidth="1"/>
    <col min="3335" max="3336" width="7.44140625" style="80" customWidth="1"/>
    <col min="3337" max="3337" width="8.5546875" style="80" customWidth="1"/>
    <col min="3338" max="3338" width="7.44140625" style="80" customWidth="1"/>
    <col min="3339" max="3339" width="6.44140625" style="80" customWidth="1"/>
    <col min="3340" max="3340" width="7.44140625" style="80" customWidth="1"/>
    <col min="3341" max="3341" width="8.88671875" style="80" customWidth="1"/>
    <col min="3342" max="3347" width="7.44140625" style="80" customWidth="1"/>
    <col min="3348" max="3367" width="0" style="80" hidden="1" customWidth="1"/>
    <col min="3368" max="3368" width="24" style="80" customWidth="1"/>
    <col min="3369" max="3582" width="9.109375" style="80"/>
    <col min="3583" max="3583" width="6.33203125" style="80" customWidth="1"/>
    <col min="3584" max="3584" width="45" style="80" customWidth="1"/>
    <col min="3585" max="3587" width="7.44140625" style="80" customWidth="1"/>
    <col min="3588" max="3588" width="6.44140625" style="80" customWidth="1"/>
    <col min="3589" max="3589" width="7.44140625" style="80" customWidth="1"/>
    <col min="3590" max="3590" width="8.88671875" style="80" customWidth="1"/>
    <col min="3591" max="3592" width="7.44140625" style="80" customWidth="1"/>
    <col min="3593" max="3593" width="8.5546875" style="80" customWidth="1"/>
    <col min="3594" max="3594" width="7.44140625" style="80" customWidth="1"/>
    <col min="3595" max="3595" width="6.44140625" style="80" customWidth="1"/>
    <col min="3596" max="3596" width="7.44140625" style="80" customWidth="1"/>
    <col min="3597" max="3597" width="8.88671875" style="80" customWidth="1"/>
    <col min="3598" max="3603" width="7.44140625" style="80" customWidth="1"/>
    <col min="3604" max="3623" width="0" style="80" hidden="1" customWidth="1"/>
    <col min="3624" max="3624" width="24" style="80" customWidth="1"/>
    <col min="3625" max="3838" width="9.109375" style="80"/>
    <col min="3839" max="3839" width="6.33203125" style="80" customWidth="1"/>
    <col min="3840" max="3840" width="45" style="80" customWidth="1"/>
    <col min="3841" max="3843" width="7.44140625" style="80" customWidth="1"/>
    <col min="3844" max="3844" width="6.44140625" style="80" customWidth="1"/>
    <col min="3845" max="3845" width="7.44140625" style="80" customWidth="1"/>
    <col min="3846" max="3846" width="8.88671875" style="80" customWidth="1"/>
    <col min="3847" max="3848" width="7.44140625" style="80" customWidth="1"/>
    <col min="3849" max="3849" width="8.5546875" style="80" customWidth="1"/>
    <col min="3850" max="3850" width="7.44140625" style="80" customWidth="1"/>
    <col min="3851" max="3851" width="6.44140625" style="80" customWidth="1"/>
    <col min="3852" max="3852" width="7.44140625" style="80" customWidth="1"/>
    <col min="3853" max="3853" width="8.88671875" style="80" customWidth="1"/>
    <col min="3854" max="3859" width="7.44140625" style="80" customWidth="1"/>
    <col min="3860" max="3879" width="0" style="80" hidden="1" customWidth="1"/>
    <col min="3880" max="3880" width="24" style="80" customWidth="1"/>
    <col min="3881" max="4094" width="9.109375" style="80"/>
    <col min="4095" max="4095" width="6.33203125" style="80" customWidth="1"/>
    <col min="4096" max="4096" width="45" style="80" customWidth="1"/>
    <col min="4097" max="4099" width="7.44140625" style="80" customWidth="1"/>
    <col min="4100" max="4100" width="6.44140625" style="80" customWidth="1"/>
    <col min="4101" max="4101" width="7.44140625" style="80" customWidth="1"/>
    <col min="4102" max="4102" width="8.88671875" style="80" customWidth="1"/>
    <col min="4103" max="4104" width="7.44140625" style="80" customWidth="1"/>
    <col min="4105" max="4105" width="8.5546875" style="80" customWidth="1"/>
    <col min="4106" max="4106" width="7.44140625" style="80" customWidth="1"/>
    <col min="4107" max="4107" width="6.44140625" style="80" customWidth="1"/>
    <col min="4108" max="4108" width="7.44140625" style="80" customWidth="1"/>
    <col min="4109" max="4109" width="8.88671875" style="80" customWidth="1"/>
    <col min="4110" max="4115" width="7.44140625" style="80" customWidth="1"/>
    <col min="4116" max="4135" width="0" style="80" hidden="1" customWidth="1"/>
    <col min="4136" max="4136" width="24" style="80" customWidth="1"/>
    <col min="4137" max="4350" width="9.109375" style="80"/>
    <col min="4351" max="4351" width="6.33203125" style="80" customWidth="1"/>
    <col min="4352" max="4352" width="45" style="80" customWidth="1"/>
    <col min="4353" max="4355" width="7.44140625" style="80" customWidth="1"/>
    <col min="4356" max="4356" width="6.44140625" style="80" customWidth="1"/>
    <col min="4357" max="4357" width="7.44140625" style="80" customWidth="1"/>
    <col min="4358" max="4358" width="8.88671875" style="80" customWidth="1"/>
    <col min="4359" max="4360" width="7.44140625" style="80" customWidth="1"/>
    <col min="4361" max="4361" width="8.5546875" style="80" customWidth="1"/>
    <col min="4362" max="4362" width="7.44140625" style="80" customWidth="1"/>
    <col min="4363" max="4363" width="6.44140625" style="80" customWidth="1"/>
    <col min="4364" max="4364" width="7.44140625" style="80" customWidth="1"/>
    <col min="4365" max="4365" width="8.88671875" style="80" customWidth="1"/>
    <col min="4366" max="4371" width="7.44140625" style="80" customWidth="1"/>
    <col min="4372" max="4391" width="0" style="80" hidden="1" customWidth="1"/>
    <col min="4392" max="4392" width="24" style="80" customWidth="1"/>
    <col min="4393" max="4606" width="9.109375" style="80"/>
    <col min="4607" max="4607" width="6.33203125" style="80" customWidth="1"/>
    <col min="4608" max="4608" width="45" style="80" customWidth="1"/>
    <col min="4609" max="4611" width="7.44140625" style="80" customWidth="1"/>
    <col min="4612" max="4612" width="6.44140625" style="80" customWidth="1"/>
    <col min="4613" max="4613" width="7.44140625" style="80" customWidth="1"/>
    <col min="4614" max="4614" width="8.88671875" style="80" customWidth="1"/>
    <col min="4615" max="4616" width="7.44140625" style="80" customWidth="1"/>
    <col min="4617" max="4617" width="8.5546875" style="80" customWidth="1"/>
    <col min="4618" max="4618" width="7.44140625" style="80" customWidth="1"/>
    <col min="4619" max="4619" width="6.44140625" style="80" customWidth="1"/>
    <col min="4620" max="4620" width="7.44140625" style="80" customWidth="1"/>
    <col min="4621" max="4621" width="8.88671875" style="80" customWidth="1"/>
    <col min="4622" max="4627" width="7.44140625" style="80" customWidth="1"/>
    <col min="4628" max="4647" width="0" style="80" hidden="1" customWidth="1"/>
    <col min="4648" max="4648" width="24" style="80" customWidth="1"/>
    <col min="4649" max="4862" width="9.109375" style="80"/>
    <col min="4863" max="4863" width="6.33203125" style="80" customWidth="1"/>
    <col min="4864" max="4864" width="45" style="80" customWidth="1"/>
    <col min="4865" max="4867" width="7.44140625" style="80" customWidth="1"/>
    <col min="4868" max="4868" width="6.44140625" style="80" customWidth="1"/>
    <col min="4869" max="4869" width="7.44140625" style="80" customWidth="1"/>
    <col min="4870" max="4870" width="8.88671875" style="80" customWidth="1"/>
    <col min="4871" max="4872" width="7.44140625" style="80" customWidth="1"/>
    <col min="4873" max="4873" width="8.5546875" style="80" customWidth="1"/>
    <col min="4874" max="4874" width="7.44140625" style="80" customWidth="1"/>
    <col min="4875" max="4875" width="6.44140625" style="80" customWidth="1"/>
    <col min="4876" max="4876" width="7.44140625" style="80" customWidth="1"/>
    <col min="4877" max="4877" width="8.88671875" style="80" customWidth="1"/>
    <col min="4878" max="4883" width="7.44140625" style="80" customWidth="1"/>
    <col min="4884" max="4903" width="0" style="80" hidden="1" customWidth="1"/>
    <col min="4904" max="4904" width="24" style="80" customWidth="1"/>
    <col min="4905" max="5118" width="9.109375" style="80"/>
    <col min="5119" max="5119" width="6.33203125" style="80" customWidth="1"/>
    <col min="5120" max="5120" width="45" style="80" customWidth="1"/>
    <col min="5121" max="5123" width="7.44140625" style="80" customWidth="1"/>
    <col min="5124" max="5124" width="6.44140625" style="80" customWidth="1"/>
    <col min="5125" max="5125" width="7.44140625" style="80" customWidth="1"/>
    <col min="5126" max="5126" width="8.88671875" style="80" customWidth="1"/>
    <col min="5127" max="5128" width="7.44140625" style="80" customWidth="1"/>
    <col min="5129" max="5129" width="8.5546875" style="80" customWidth="1"/>
    <col min="5130" max="5130" width="7.44140625" style="80" customWidth="1"/>
    <col min="5131" max="5131" width="6.44140625" style="80" customWidth="1"/>
    <col min="5132" max="5132" width="7.44140625" style="80" customWidth="1"/>
    <col min="5133" max="5133" width="8.88671875" style="80" customWidth="1"/>
    <col min="5134" max="5139" width="7.44140625" style="80" customWidth="1"/>
    <col min="5140" max="5159" width="0" style="80" hidden="1" customWidth="1"/>
    <col min="5160" max="5160" width="24" style="80" customWidth="1"/>
    <col min="5161" max="5374" width="9.109375" style="80"/>
    <col min="5375" max="5375" width="6.33203125" style="80" customWidth="1"/>
    <col min="5376" max="5376" width="45" style="80" customWidth="1"/>
    <col min="5377" max="5379" width="7.44140625" style="80" customWidth="1"/>
    <col min="5380" max="5380" width="6.44140625" style="80" customWidth="1"/>
    <col min="5381" max="5381" width="7.44140625" style="80" customWidth="1"/>
    <col min="5382" max="5382" width="8.88671875" style="80" customWidth="1"/>
    <col min="5383" max="5384" width="7.44140625" style="80" customWidth="1"/>
    <col min="5385" max="5385" width="8.5546875" style="80" customWidth="1"/>
    <col min="5386" max="5386" width="7.44140625" style="80" customWidth="1"/>
    <col min="5387" max="5387" width="6.44140625" style="80" customWidth="1"/>
    <col min="5388" max="5388" width="7.44140625" style="80" customWidth="1"/>
    <col min="5389" max="5389" width="8.88671875" style="80" customWidth="1"/>
    <col min="5390" max="5395" width="7.44140625" style="80" customWidth="1"/>
    <col min="5396" max="5415" width="0" style="80" hidden="1" customWidth="1"/>
    <col min="5416" max="5416" width="24" style="80" customWidth="1"/>
    <col min="5417" max="5630" width="9.109375" style="80"/>
    <col min="5631" max="5631" width="6.33203125" style="80" customWidth="1"/>
    <col min="5632" max="5632" width="45" style="80" customWidth="1"/>
    <col min="5633" max="5635" width="7.44140625" style="80" customWidth="1"/>
    <col min="5636" max="5636" width="6.44140625" style="80" customWidth="1"/>
    <col min="5637" max="5637" width="7.44140625" style="80" customWidth="1"/>
    <col min="5638" max="5638" width="8.88671875" style="80" customWidth="1"/>
    <col min="5639" max="5640" width="7.44140625" style="80" customWidth="1"/>
    <col min="5641" max="5641" width="8.5546875" style="80" customWidth="1"/>
    <col min="5642" max="5642" width="7.44140625" style="80" customWidth="1"/>
    <col min="5643" max="5643" width="6.44140625" style="80" customWidth="1"/>
    <col min="5644" max="5644" width="7.44140625" style="80" customWidth="1"/>
    <col min="5645" max="5645" width="8.88671875" style="80" customWidth="1"/>
    <col min="5646" max="5651" width="7.44140625" style="80" customWidth="1"/>
    <col min="5652" max="5671" width="0" style="80" hidden="1" customWidth="1"/>
    <col min="5672" max="5672" width="24" style="80" customWidth="1"/>
    <col min="5673" max="5886" width="9.109375" style="80"/>
    <col min="5887" max="5887" width="6.33203125" style="80" customWidth="1"/>
    <col min="5888" max="5888" width="45" style="80" customWidth="1"/>
    <col min="5889" max="5891" width="7.44140625" style="80" customWidth="1"/>
    <col min="5892" max="5892" width="6.44140625" style="80" customWidth="1"/>
    <col min="5893" max="5893" width="7.44140625" style="80" customWidth="1"/>
    <col min="5894" max="5894" width="8.88671875" style="80" customWidth="1"/>
    <col min="5895" max="5896" width="7.44140625" style="80" customWidth="1"/>
    <col min="5897" max="5897" width="8.5546875" style="80" customWidth="1"/>
    <col min="5898" max="5898" width="7.44140625" style="80" customWidth="1"/>
    <col min="5899" max="5899" width="6.44140625" style="80" customWidth="1"/>
    <col min="5900" max="5900" width="7.44140625" style="80" customWidth="1"/>
    <col min="5901" max="5901" width="8.88671875" style="80" customWidth="1"/>
    <col min="5902" max="5907" width="7.44140625" style="80" customWidth="1"/>
    <col min="5908" max="5927" width="0" style="80" hidden="1" customWidth="1"/>
    <col min="5928" max="5928" width="24" style="80" customWidth="1"/>
    <col min="5929" max="6142" width="9.109375" style="80"/>
    <col min="6143" max="6143" width="6.33203125" style="80" customWidth="1"/>
    <col min="6144" max="6144" width="45" style="80" customWidth="1"/>
    <col min="6145" max="6147" width="7.44140625" style="80" customWidth="1"/>
    <col min="6148" max="6148" width="6.44140625" style="80" customWidth="1"/>
    <col min="6149" max="6149" width="7.44140625" style="80" customWidth="1"/>
    <col min="6150" max="6150" width="8.88671875" style="80" customWidth="1"/>
    <col min="6151" max="6152" width="7.44140625" style="80" customWidth="1"/>
    <col min="6153" max="6153" width="8.5546875" style="80" customWidth="1"/>
    <col min="6154" max="6154" width="7.44140625" style="80" customWidth="1"/>
    <col min="6155" max="6155" width="6.44140625" style="80" customWidth="1"/>
    <col min="6156" max="6156" width="7.44140625" style="80" customWidth="1"/>
    <col min="6157" max="6157" width="8.88671875" style="80" customWidth="1"/>
    <col min="6158" max="6163" width="7.44140625" style="80" customWidth="1"/>
    <col min="6164" max="6183" width="0" style="80" hidden="1" customWidth="1"/>
    <col min="6184" max="6184" width="24" style="80" customWidth="1"/>
    <col min="6185" max="6398" width="9.109375" style="80"/>
    <col min="6399" max="6399" width="6.33203125" style="80" customWidth="1"/>
    <col min="6400" max="6400" width="45" style="80" customWidth="1"/>
    <col min="6401" max="6403" width="7.44140625" style="80" customWidth="1"/>
    <col min="6404" max="6404" width="6.44140625" style="80" customWidth="1"/>
    <col min="6405" max="6405" width="7.44140625" style="80" customWidth="1"/>
    <col min="6406" max="6406" width="8.88671875" style="80" customWidth="1"/>
    <col min="6407" max="6408" width="7.44140625" style="80" customWidth="1"/>
    <col min="6409" max="6409" width="8.5546875" style="80" customWidth="1"/>
    <col min="6410" max="6410" width="7.44140625" style="80" customWidth="1"/>
    <col min="6411" max="6411" width="6.44140625" style="80" customWidth="1"/>
    <col min="6412" max="6412" width="7.44140625" style="80" customWidth="1"/>
    <col min="6413" max="6413" width="8.88671875" style="80" customWidth="1"/>
    <col min="6414" max="6419" width="7.44140625" style="80" customWidth="1"/>
    <col min="6420" max="6439" width="0" style="80" hidden="1" customWidth="1"/>
    <col min="6440" max="6440" width="24" style="80" customWidth="1"/>
    <col min="6441" max="6654" width="9.109375" style="80"/>
    <col min="6655" max="6655" width="6.33203125" style="80" customWidth="1"/>
    <col min="6656" max="6656" width="45" style="80" customWidth="1"/>
    <col min="6657" max="6659" width="7.44140625" style="80" customWidth="1"/>
    <col min="6660" max="6660" width="6.44140625" style="80" customWidth="1"/>
    <col min="6661" max="6661" width="7.44140625" style="80" customWidth="1"/>
    <col min="6662" max="6662" width="8.88671875" style="80" customWidth="1"/>
    <col min="6663" max="6664" width="7.44140625" style="80" customWidth="1"/>
    <col min="6665" max="6665" width="8.5546875" style="80" customWidth="1"/>
    <col min="6666" max="6666" width="7.44140625" style="80" customWidth="1"/>
    <col min="6667" max="6667" width="6.44140625" style="80" customWidth="1"/>
    <col min="6668" max="6668" width="7.44140625" style="80" customWidth="1"/>
    <col min="6669" max="6669" width="8.88671875" style="80" customWidth="1"/>
    <col min="6670" max="6675" width="7.44140625" style="80" customWidth="1"/>
    <col min="6676" max="6695" width="0" style="80" hidden="1" customWidth="1"/>
    <col min="6696" max="6696" width="24" style="80" customWidth="1"/>
    <col min="6697" max="6910" width="9.109375" style="80"/>
    <col min="6911" max="6911" width="6.33203125" style="80" customWidth="1"/>
    <col min="6912" max="6912" width="45" style="80" customWidth="1"/>
    <col min="6913" max="6915" width="7.44140625" style="80" customWidth="1"/>
    <col min="6916" max="6916" width="6.44140625" style="80" customWidth="1"/>
    <col min="6917" max="6917" width="7.44140625" style="80" customWidth="1"/>
    <col min="6918" max="6918" width="8.88671875" style="80" customWidth="1"/>
    <col min="6919" max="6920" width="7.44140625" style="80" customWidth="1"/>
    <col min="6921" max="6921" width="8.5546875" style="80" customWidth="1"/>
    <col min="6922" max="6922" width="7.44140625" style="80" customWidth="1"/>
    <col min="6923" max="6923" width="6.44140625" style="80" customWidth="1"/>
    <col min="6924" max="6924" width="7.44140625" style="80" customWidth="1"/>
    <col min="6925" max="6925" width="8.88671875" style="80" customWidth="1"/>
    <col min="6926" max="6931" width="7.44140625" style="80" customWidth="1"/>
    <col min="6932" max="6951" width="0" style="80" hidden="1" customWidth="1"/>
    <col min="6952" max="6952" width="24" style="80" customWidth="1"/>
    <col min="6953" max="7166" width="9.109375" style="80"/>
    <col min="7167" max="7167" width="6.33203125" style="80" customWidth="1"/>
    <col min="7168" max="7168" width="45" style="80" customWidth="1"/>
    <col min="7169" max="7171" width="7.44140625" style="80" customWidth="1"/>
    <col min="7172" max="7172" width="6.44140625" style="80" customWidth="1"/>
    <col min="7173" max="7173" width="7.44140625" style="80" customWidth="1"/>
    <col min="7174" max="7174" width="8.88671875" style="80" customWidth="1"/>
    <col min="7175" max="7176" width="7.44140625" style="80" customWidth="1"/>
    <col min="7177" max="7177" width="8.5546875" style="80" customWidth="1"/>
    <col min="7178" max="7178" width="7.44140625" style="80" customWidth="1"/>
    <col min="7179" max="7179" width="6.44140625" style="80" customWidth="1"/>
    <col min="7180" max="7180" width="7.44140625" style="80" customWidth="1"/>
    <col min="7181" max="7181" width="8.88671875" style="80" customWidth="1"/>
    <col min="7182" max="7187" width="7.44140625" style="80" customWidth="1"/>
    <col min="7188" max="7207" width="0" style="80" hidden="1" customWidth="1"/>
    <col min="7208" max="7208" width="24" style="80" customWidth="1"/>
    <col min="7209" max="7422" width="9.109375" style="80"/>
    <col min="7423" max="7423" width="6.33203125" style="80" customWidth="1"/>
    <col min="7424" max="7424" width="45" style="80" customWidth="1"/>
    <col min="7425" max="7427" width="7.44140625" style="80" customWidth="1"/>
    <col min="7428" max="7428" width="6.44140625" style="80" customWidth="1"/>
    <col min="7429" max="7429" width="7.44140625" style="80" customWidth="1"/>
    <col min="7430" max="7430" width="8.88671875" style="80" customWidth="1"/>
    <col min="7431" max="7432" width="7.44140625" style="80" customWidth="1"/>
    <col min="7433" max="7433" width="8.5546875" style="80" customWidth="1"/>
    <col min="7434" max="7434" width="7.44140625" style="80" customWidth="1"/>
    <col min="7435" max="7435" width="6.44140625" style="80" customWidth="1"/>
    <col min="7436" max="7436" width="7.44140625" style="80" customWidth="1"/>
    <col min="7437" max="7437" width="8.88671875" style="80" customWidth="1"/>
    <col min="7438" max="7443" width="7.44140625" style="80" customWidth="1"/>
    <col min="7444" max="7463" width="0" style="80" hidden="1" customWidth="1"/>
    <col min="7464" max="7464" width="24" style="80" customWidth="1"/>
    <col min="7465" max="7678" width="9.109375" style="80"/>
    <col min="7679" max="7679" width="6.33203125" style="80" customWidth="1"/>
    <col min="7680" max="7680" width="45" style="80" customWidth="1"/>
    <col min="7681" max="7683" width="7.44140625" style="80" customWidth="1"/>
    <col min="7684" max="7684" width="6.44140625" style="80" customWidth="1"/>
    <col min="7685" max="7685" width="7.44140625" style="80" customWidth="1"/>
    <col min="7686" max="7686" width="8.88671875" style="80" customWidth="1"/>
    <col min="7687" max="7688" width="7.44140625" style="80" customWidth="1"/>
    <col min="7689" max="7689" width="8.5546875" style="80" customWidth="1"/>
    <col min="7690" max="7690" width="7.44140625" style="80" customWidth="1"/>
    <col min="7691" max="7691" width="6.44140625" style="80" customWidth="1"/>
    <col min="7692" max="7692" width="7.44140625" style="80" customWidth="1"/>
    <col min="7693" max="7693" width="8.88671875" style="80" customWidth="1"/>
    <col min="7694" max="7699" width="7.44140625" style="80" customWidth="1"/>
    <col min="7700" max="7719" width="0" style="80" hidden="1" customWidth="1"/>
    <col min="7720" max="7720" width="24" style="80" customWidth="1"/>
    <col min="7721" max="7934" width="9.109375" style="80"/>
    <col min="7935" max="7935" width="6.33203125" style="80" customWidth="1"/>
    <col min="7936" max="7936" width="45" style="80" customWidth="1"/>
    <col min="7937" max="7939" width="7.44140625" style="80" customWidth="1"/>
    <col min="7940" max="7940" width="6.44140625" style="80" customWidth="1"/>
    <col min="7941" max="7941" width="7.44140625" style="80" customWidth="1"/>
    <col min="7942" max="7942" width="8.88671875" style="80" customWidth="1"/>
    <col min="7943" max="7944" width="7.44140625" style="80" customWidth="1"/>
    <col min="7945" max="7945" width="8.5546875" style="80" customWidth="1"/>
    <col min="7946" max="7946" width="7.44140625" style="80" customWidth="1"/>
    <col min="7947" max="7947" width="6.44140625" style="80" customWidth="1"/>
    <col min="7948" max="7948" width="7.44140625" style="80" customWidth="1"/>
    <col min="7949" max="7949" width="8.88671875" style="80" customWidth="1"/>
    <col min="7950" max="7955" width="7.44140625" style="80" customWidth="1"/>
    <col min="7956" max="7975" width="0" style="80" hidden="1" customWidth="1"/>
    <col min="7976" max="7976" width="24" style="80" customWidth="1"/>
    <col min="7977" max="8190" width="9.109375" style="80"/>
    <col min="8191" max="8191" width="6.33203125" style="80" customWidth="1"/>
    <col min="8192" max="8192" width="45" style="80" customWidth="1"/>
    <col min="8193" max="8195" width="7.44140625" style="80" customWidth="1"/>
    <col min="8196" max="8196" width="6.44140625" style="80" customWidth="1"/>
    <col min="8197" max="8197" width="7.44140625" style="80" customWidth="1"/>
    <col min="8198" max="8198" width="8.88671875" style="80" customWidth="1"/>
    <col min="8199" max="8200" width="7.44140625" style="80" customWidth="1"/>
    <col min="8201" max="8201" width="8.5546875" style="80" customWidth="1"/>
    <col min="8202" max="8202" width="7.44140625" style="80" customWidth="1"/>
    <col min="8203" max="8203" width="6.44140625" style="80" customWidth="1"/>
    <col min="8204" max="8204" width="7.44140625" style="80" customWidth="1"/>
    <col min="8205" max="8205" width="8.88671875" style="80" customWidth="1"/>
    <col min="8206" max="8211" width="7.44140625" style="80" customWidth="1"/>
    <col min="8212" max="8231" width="0" style="80" hidden="1" customWidth="1"/>
    <col min="8232" max="8232" width="24" style="80" customWidth="1"/>
    <col min="8233" max="8446" width="9.109375" style="80"/>
    <col min="8447" max="8447" width="6.33203125" style="80" customWidth="1"/>
    <col min="8448" max="8448" width="45" style="80" customWidth="1"/>
    <col min="8449" max="8451" width="7.44140625" style="80" customWidth="1"/>
    <col min="8452" max="8452" width="6.44140625" style="80" customWidth="1"/>
    <col min="8453" max="8453" width="7.44140625" style="80" customWidth="1"/>
    <col min="8454" max="8454" width="8.88671875" style="80" customWidth="1"/>
    <col min="8455" max="8456" width="7.44140625" style="80" customWidth="1"/>
    <col min="8457" max="8457" width="8.5546875" style="80" customWidth="1"/>
    <col min="8458" max="8458" width="7.44140625" style="80" customWidth="1"/>
    <col min="8459" max="8459" width="6.44140625" style="80" customWidth="1"/>
    <col min="8460" max="8460" width="7.44140625" style="80" customWidth="1"/>
    <col min="8461" max="8461" width="8.88671875" style="80" customWidth="1"/>
    <col min="8462" max="8467" width="7.44140625" style="80" customWidth="1"/>
    <col min="8468" max="8487" width="0" style="80" hidden="1" customWidth="1"/>
    <col min="8488" max="8488" width="24" style="80" customWidth="1"/>
    <col min="8489" max="8702" width="9.109375" style="80"/>
    <col min="8703" max="8703" width="6.33203125" style="80" customWidth="1"/>
    <col min="8704" max="8704" width="45" style="80" customWidth="1"/>
    <col min="8705" max="8707" width="7.44140625" style="80" customWidth="1"/>
    <col min="8708" max="8708" width="6.44140625" style="80" customWidth="1"/>
    <col min="8709" max="8709" width="7.44140625" style="80" customWidth="1"/>
    <col min="8710" max="8710" width="8.88671875" style="80" customWidth="1"/>
    <col min="8711" max="8712" width="7.44140625" style="80" customWidth="1"/>
    <col min="8713" max="8713" width="8.5546875" style="80" customWidth="1"/>
    <col min="8714" max="8714" width="7.44140625" style="80" customWidth="1"/>
    <col min="8715" max="8715" width="6.44140625" style="80" customWidth="1"/>
    <col min="8716" max="8716" width="7.44140625" style="80" customWidth="1"/>
    <col min="8717" max="8717" width="8.88671875" style="80" customWidth="1"/>
    <col min="8718" max="8723" width="7.44140625" style="80" customWidth="1"/>
    <col min="8724" max="8743" width="0" style="80" hidden="1" customWidth="1"/>
    <col min="8744" max="8744" width="24" style="80" customWidth="1"/>
    <col min="8745" max="8958" width="9.109375" style="80"/>
    <col min="8959" max="8959" width="6.33203125" style="80" customWidth="1"/>
    <col min="8960" max="8960" width="45" style="80" customWidth="1"/>
    <col min="8961" max="8963" width="7.44140625" style="80" customWidth="1"/>
    <col min="8964" max="8964" width="6.44140625" style="80" customWidth="1"/>
    <col min="8965" max="8965" width="7.44140625" style="80" customWidth="1"/>
    <col min="8966" max="8966" width="8.88671875" style="80" customWidth="1"/>
    <col min="8967" max="8968" width="7.44140625" style="80" customWidth="1"/>
    <col min="8969" max="8969" width="8.5546875" style="80" customWidth="1"/>
    <col min="8970" max="8970" width="7.44140625" style="80" customWidth="1"/>
    <col min="8971" max="8971" width="6.44140625" style="80" customWidth="1"/>
    <col min="8972" max="8972" width="7.44140625" style="80" customWidth="1"/>
    <col min="8973" max="8973" width="8.88671875" style="80" customWidth="1"/>
    <col min="8974" max="8979" width="7.44140625" style="80" customWidth="1"/>
    <col min="8980" max="8999" width="0" style="80" hidden="1" customWidth="1"/>
    <col min="9000" max="9000" width="24" style="80" customWidth="1"/>
    <col min="9001" max="9214" width="9.109375" style="80"/>
    <col min="9215" max="9215" width="6.33203125" style="80" customWidth="1"/>
    <col min="9216" max="9216" width="45" style="80" customWidth="1"/>
    <col min="9217" max="9219" width="7.44140625" style="80" customWidth="1"/>
    <col min="9220" max="9220" width="6.44140625" style="80" customWidth="1"/>
    <col min="9221" max="9221" width="7.44140625" style="80" customWidth="1"/>
    <col min="9222" max="9222" width="8.88671875" style="80" customWidth="1"/>
    <col min="9223" max="9224" width="7.44140625" style="80" customWidth="1"/>
    <col min="9225" max="9225" width="8.5546875" style="80" customWidth="1"/>
    <col min="9226" max="9226" width="7.44140625" style="80" customWidth="1"/>
    <col min="9227" max="9227" width="6.44140625" style="80" customWidth="1"/>
    <col min="9228" max="9228" width="7.44140625" style="80" customWidth="1"/>
    <col min="9229" max="9229" width="8.88671875" style="80" customWidth="1"/>
    <col min="9230" max="9235" width="7.44140625" style="80" customWidth="1"/>
    <col min="9236" max="9255" width="0" style="80" hidden="1" customWidth="1"/>
    <col min="9256" max="9256" width="24" style="80" customWidth="1"/>
    <col min="9257" max="9470" width="9.109375" style="80"/>
    <col min="9471" max="9471" width="6.33203125" style="80" customWidth="1"/>
    <col min="9472" max="9472" width="45" style="80" customWidth="1"/>
    <col min="9473" max="9475" width="7.44140625" style="80" customWidth="1"/>
    <col min="9476" max="9476" width="6.44140625" style="80" customWidth="1"/>
    <col min="9477" max="9477" width="7.44140625" style="80" customWidth="1"/>
    <col min="9478" max="9478" width="8.88671875" style="80" customWidth="1"/>
    <col min="9479" max="9480" width="7.44140625" style="80" customWidth="1"/>
    <col min="9481" max="9481" width="8.5546875" style="80" customWidth="1"/>
    <col min="9482" max="9482" width="7.44140625" style="80" customWidth="1"/>
    <col min="9483" max="9483" width="6.44140625" style="80" customWidth="1"/>
    <col min="9484" max="9484" width="7.44140625" style="80" customWidth="1"/>
    <col min="9485" max="9485" width="8.88671875" style="80" customWidth="1"/>
    <col min="9486" max="9491" width="7.44140625" style="80" customWidth="1"/>
    <col min="9492" max="9511" width="0" style="80" hidden="1" customWidth="1"/>
    <col min="9512" max="9512" width="24" style="80" customWidth="1"/>
    <col min="9513" max="9726" width="9.109375" style="80"/>
    <col min="9727" max="9727" width="6.33203125" style="80" customWidth="1"/>
    <col min="9728" max="9728" width="45" style="80" customWidth="1"/>
    <col min="9729" max="9731" width="7.44140625" style="80" customWidth="1"/>
    <col min="9732" max="9732" width="6.44140625" style="80" customWidth="1"/>
    <col min="9733" max="9733" width="7.44140625" style="80" customWidth="1"/>
    <col min="9734" max="9734" width="8.88671875" style="80" customWidth="1"/>
    <col min="9735" max="9736" width="7.44140625" style="80" customWidth="1"/>
    <col min="9737" max="9737" width="8.5546875" style="80" customWidth="1"/>
    <col min="9738" max="9738" width="7.44140625" style="80" customWidth="1"/>
    <col min="9739" max="9739" width="6.44140625" style="80" customWidth="1"/>
    <col min="9740" max="9740" width="7.44140625" style="80" customWidth="1"/>
    <col min="9741" max="9741" width="8.88671875" style="80" customWidth="1"/>
    <col min="9742" max="9747" width="7.44140625" style="80" customWidth="1"/>
    <col min="9748" max="9767" width="0" style="80" hidden="1" customWidth="1"/>
    <col min="9768" max="9768" width="24" style="80" customWidth="1"/>
    <col min="9769" max="9982" width="9.109375" style="80"/>
    <col min="9983" max="9983" width="6.33203125" style="80" customWidth="1"/>
    <col min="9984" max="9984" width="45" style="80" customWidth="1"/>
    <col min="9985" max="9987" width="7.44140625" style="80" customWidth="1"/>
    <col min="9988" max="9988" width="6.44140625" style="80" customWidth="1"/>
    <col min="9989" max="9989" width="7.44140625" style="80" customWidth="1"/>
    <col min="9990" max="9990" width="8.88671875" style="80" customWidth="1"/>
    <col min="9991" max="9992" width="7.44140625" style="80" customWidth="1"/>
    <col min="9993" max="9993" width="8.5546875" style="80" customWidth="1"/>
    <col min="9994" max="9994" width="7.44140625" style="80" customWidth="1"/>
    <col min="9995" max="9995" width="6.44140625" style="80" customWidth="1"/>
    <col min="9996" max="9996" width="7.44140625" style="80" customWidth="1"/>
    <col min="9997" max="9997" width="8.88671875" style="80" customWidth="1"/>
    <col min="9998" max="10003" width="7.44140625" style="80" customWidth="1"/>
    <col min="10004" max="10023" width="0" style="80" hidden="1" customWidth="1"/>
    <col min="10024" max="10024" width="24" style="80" customWidth="1"/>
    <col min="10025" max="10238" width="9.109375" style="80"/>
    <col min="10239" max="10239" width="6.33203125" style="80" customWidth="1"/>
    <col min="10240" max="10240" width="45" style="80" customWidth="1"/>
    <col min="10241" max="10243" width="7.44140625" style="80" customWidth="1"/>
    <col min="10244" max="10244" width="6.44140625" style="80" customWidth="1"/>
    <col min="10245" max="10245" width="7.44140625" style="80" customWidth="1"/>
    <col min="10246" max="10246" width="8.88671875" style="80" customWidth="1"/>
    <col min="10247" max="10248" width="7.44140625" style="80" customWidth="1"/>
    <col min="10249" max="10249" width="8.5546875" style="80" customWidth="1"/>
    <col min="10250" max="10250" width="7.44140625" style="80" customWidth="1"/>
    <col min="10251" max="10251" width="6.44140625" style="80" customWidth="1"/>
    <col min="10252" max="10252" width="7.44140625" style="80" customWidth="1"/>
    <col min="10253" max="10253" width="8.88671875" style="80" customWidth="1"/>
    <col min="10254" max="10259" width="7.44140625" style="80" customWidth="1"/>
    <col min="10260" max="10279" width="0" style="80" hidden="1" customWidth="1"/>
    <col min="10280" max="10280" width="24" style="80" customWidth="1"/>
    <col min="10281" max="10494" width="9.109375" style="80"/>
    <col min="10495" max="10495" width="6.33203125" style="80" customWidth="1"/>
    <col min="10496" max="10496" width="45" style="80" customWidth="1"/>
    <col min="10497" max="10499" width="7.44140625" style="80" customWidth="1"/>
    <col min="10500" max="10500" width="6.44140625" style="80" customWidth="1"/>
    <col min="10501" max="10501" width="7.44140625" style="80" customWidth="1"/>
    <col min="10502" max="10502" width="8.88671875" style="80" customWidth="1"/>
    <col min="10503" max="10504" width="7.44140625" style="80" customWidth="1"/>
    <col min="10505" max="10505" width="8.5546875" style="80" customWidth="1"/>
    <col min="10506" max="10506" width="7.44140625" style="80" customWidth="1"/>
    <col min="10507" max="10507" width="6.44140625" style="80" customWidth="1"/>
    <col min="10508" max="10508" width="7.44140625" style="80" customWidth="1"/>
    <col min="10509" max="10509" width="8.88671875" style="80" customWidth="1"/>
    <col min="10510" max="10515" width="7.44140625" style="80" customWidth="1"/>
    <col min="10516" max="10535" width="0" style="80" hidden="1" customWidth="1"/>
    <col min="10536" max="10536" width="24" style="80" customWidth="1"/>
    <col min="10537" max="10750" width="9.109375" style="80"/>
    <col min="10751" max="10751" width="6.33203125" style="80" customWidth="1"/>
    <col min="10752" max="10752" width="45" style="80" customWidth="1"/>
    <col min="10753" max="10755" width="7.44140625" style="80" customWidth="1"/>
    <col min="10756" max="10756" width="6.44140625" style="80" customWidth="1"/>
    <col min="10757" max="10757" width="7.44140625" style="80" customWidth="1"/>
    <col min="10758" max="10758" width="8.88671875" style="80" customWidth="1"/>
    <col min="10759" max="10760" width="7.44140625" style="80" customWidth="1"/>
    <col min="10761" max="10761" width="8.5546875" style="80" customWidth="1"/>
    <col min="10762" max="10762" width="7.44140625" style="80" customWidth="1"/>
    <col min="10763" max="10763" width="6.44140625" style="80" customWidth="1"/>
    <col min="10764" max="10764" width="7.44140625" style="80" customWidth="1"/>
    <col min="10765" max="10765" width="8.88671875" style="80" customWidth="1"/>
    <col min="10766" max="10771" width="7.44140625" style="80" customWidth="1"/>
    <col min="10772" max="10791" width="0" style="80" hidden="1" customWidth="1"/>
    <col min="10792" max="10792" width="24" style="80" customWidth="1"/>
    <col min="10793" max="11006" width="9.109375" style="80"/>
    <col min="11007" max="11007" width="6.33203125" style="80" customWidth="1"/>
    <col min="11008" max="11008" width="45" style="80" customWidth="1"/>
    <col min="11009" max="11011" width="7.44140625" style="80" customWidth="1"/>
    <col min="11012" max="11012" width="6.44140625" style="80" customWidth="1"/>
    <col min="11013" max="11013" width="7.44140625" style="80" customWidth="1"/>
    <col min="11014" max="11014" width="8.88671875" style="80" customWidth="1"/>
    <col min="11015" max="11016" width="7.44140625" style="80" customWidth="1"/>
    <col min="11017" max="11017" width="8.5546875" style="80" customWidth="1"/>
    <col min="11018" max="11018" width="7.44140625" style="80" customWidth="1"/>
    <col min="11019" max="11019" width="6.44140625" style="80" customWidth="1"/>
    <col min="11020" max="11020" width="7.44140625" style="80" customWidth="1"/>
    <col min="11021" max="11021" width="8.88671875" style="80" customWidth="1"/>
    <col min="11022" max="11027" width="7.44140625" style="80" customWidth="1"/>
    <col min="11028" max="11047" width="0" style="80" hidden="1" customWidth="1"/>
    <col min="11048" max="11048" width="24" style="80" customWidth="1"/>
    <col min="11049" max="11262" width="9.109375" style="80"/>
    <col min="11263" max="11263" width="6.33203125" style="80" customWidth="1"/>
    <col min="11264" max="11264" width="45" style="80" customWidth="1"/>
    <col min="11265" max="11267" width="7.44140625" style="80" customWidth="1"/>
    <col min="11268" max="11268" width="6.44140625" style="80" customWidth="1"/>
    <col min="11269" max="11269" width="7.44140625" style="80" customWidth="1"/>
    <col min="11270" max="11270" width="8.88671875" style="80" customWidth="1"/>
    <col min="11271" max="11272" width="7.44140625" style="80" customWidth="1"/>
    <col min="11273" max="11273" width="8.5546875" style="80" customWidth="1"/>
    <col min="11274" max="11274" width="7.44140625" style="80" customWidth="1"/>
    <col min="11275" max="11275" width="6.44140625" style="80" customWidth="1"/>
    <col min="11276" max="11276" width="7.44140625" style="80" customWidth="1"/>
    <col min="11277" max="11277" width="8.88671875" style="80" customWidth="1"/>
    <col min="11278" max="11283" width="7.44140625" style="80" customWidth="1"/>
    <col min="11284" max="11303" width="0" style="80" hidden="1" customWidth="1"/>
    <col min="11304" max="11304" width="24" style="80" customWidth="1"/>
    <col min="11305" max="11518" width="9.109375" style="80"/>
    <col min="11519" max="11519" width="6.33203125" style="80" customWidth="1"/>
    <col min="11520" max="11520" width="45" style="80" customWidth="1"/>
    <col min="11521" max="11523" width="7.44140625" style="80" customWidth="1"/>
    <col min="11524" max="11524" width="6.44140625" style="80" customWidth="1"/>
    <col min="11525" max="11525" width="7.44140625" style="80" customWidth="1"/>
    <col min="11526" max="11526" width="8.88671875" style="80" customWidth="1"/>
    <col min="11527" max="11528" width="7.44140625" style="80" customWidth="1"/>
    <col min="11529" max="11529" width="8.5546875" style="80" customWidth="1"/>
    <col min="11530" max="11530" width="7.44140625" style="80" customWidth="1"/>
    <col min="11531" max="11531" width="6.44140625" style="80" customWidth="1"/>
    <col min="11532" max="11532" width="7.44140625" style="80" customWidth="1"/>
    <col min="11533" max="11533" width="8.88671875" style="80" customWidth="1"/>
    <col min="11534" max="11539" width="7.44140625" style="80" customWidth="1"/>
    <col min="11540" max="11559" width="0" style="80" hidden="1" customWidth="1"/>
    <col min="11560" max="11560" width="24" style="80" customWidth="1"/>
    <col min="11561" max="11774" width="9.109375" style="80"/>
    <col min="11775" max="11775" width="6.33203125" style="80" customWidth="1"/>
    <col min="11776" max="11776" width="45" style="80" customWidth="1"/>
    <col min="11777" max="11779" width="7.44140625" style="80" customWidth="1"/>
    <col min="11780" max="11780" width="6.44140625" style="80" customWidth="1"/>
    <col min="11781" max="11781" width="7.44140625" style="80" customWidth="1"/>
    <col min="11782" max="11782" width="8.88671875" style="80" customWidth="1"/>
    <col min="11783" max="11784" width="7.44140625" style="80" customWidth="1"/>
    <col min="11785" max="11785" width="8.5546875" style="80" customWidth="1"/>
    <col min="11786" max="11786" width="7.44140625" style="80" customWidth="1"/>
    <col min="11787" max="11787" width="6.44140625" style="80" customWidth="1"/>
    <col min="11788" max="11788" width="7.44140625" style="80" customWidth="1"/>
    <col min="11789" max="11789" width="8.88671875" style="80" customWidth="1"/>
    <col min="11790" max="11795" width="7.44140625" style="80" customWidth="1"/>
    <col min="11796" max="11815" width="0" style="80" hidden="1" customWidth="1"/>
    <col min="11816" max="11816" width="24" style="80" customWidth="1"/>
    <col min="11817" max="12030" width="9.109375" style="80"/>
    <col min="12031" max="12031" width="6.33203125" style="80" customWidth="1"/>
    <col min="12032" max="12032" width="45" style="80" customWidth="1"/>
    <col min="12033" max="12035" width="7.44140625" style="80" customWidth="1"/>
    <col min="12036" max="12036" width="6.44140625" style="80" customWidth="1"/>
    <col min="12037" max="12037" width="7.44140625" style="80" customWidth="1"/>
    <col min="12038" max="12038" width="8.88671875" style="80" customWidth="1"/>
    <col min="12039" max="12040" width="7.44140625" style="80" customWidth="1"/>
    <col min="12041" max="12041" width="8.5546875" style="80" customWidth="1"/>
    <col min="12042" max="12042" width="7.44140625" style="80" customWidth="1"/>
    <col min="12043" max="12043" width="6.44140625" style="80" customWidth="1"/>
    <col min="12044" max="12044" width="7.44140625" style="80" customWidth="1"/>
    <col min="12045" max="12045" width="8.88671875" style="80" customWidth="1"/>
    <col min="12046" max="12051" width="7.44140625" style="80" customWidth="1"/>
    <col min="12052" max="12071" width="0" style="80" hidden="1" customWidth="1"/>
    <col min="12072" max="12072" width="24" style="80" customWidth="1"/>
    <col min="12073" max="12286" width="9.109375" style="80"/>
    <col min="12287" max="12287" width="6.33203125" style="80" customWidth="1"/>
    <col min="12288" max="12288" width="45" style="80" customWidth="1"/>
    <col min="12289" max="12291" width="7.44140625" style="80" customWidth="1"/>
    <col min="12292" max="12292" width="6.44140625" style="80" customWidth="1"/>
    <col min="12293" max="12293" width="7.44140625" style="80" customWidth="1"/>
    <col min="12294" max="12294" width="8.88671875" style="80" customWidth="1"/>
    <col min="12295" max="12296" width="7.44140625" style="80" customWidth="1"/>
    <col min="12297" max="12297" width="8.5546875" style="80" customWidth="1"/>
    <col min="12298" max="12298" width="7.44140625" style="80" customWidth="1"/>
    <col min="12299" max="12299" width="6.44140625" style="80" customWidth="1"/>
    <col min="12300" max="12300" width="7.44140625" style="80" customWidth="1"/>
    <col min="12301" max="12301" width="8.88671875" style="80" customWidth="1"/>
    <col min="12302" max="12307" width="7.44140625" style="80" customWidth="1"/>
    <col min="12308" max="12327" width="0" style="80" hidden="1" customWidth="1"/>
    <col min="12328" max="12328" width="24" style="80" customWidth="1"/>
    <col min="12329" max="12542" width="9.109375" style="80"/>
    <col min="12543" max="12543" width="6.33203125" style="80" customWidth="1"/>
    <col min="12544" max="12544" width="45" style="80" customWidth="1"/>
    <col min="12545" max="12547" width="7.44140625" style="80" customWidth="1"/>
    <col min="12548" max="12548" width="6.44140625" style="80" customWidth="1"/>
    <col min="12549" max="12549" width="7.44140625" style="80" customWidth="1"/>
    <col min="12550" max="12550" width="8.88671875" style="80" customWidth="1"/>
    <col min="12551" max="12552" width="7.44140625" style="80" customWidth="1"/>
    <col min="12553" max="12553" width="8.5546875" style="80" customWidth="1"/>
    <col min="12554" max="12554" width="7.44140625" style="80" customWidth="1"/>
    <col min="12555" max="12555" width="6.44140625" style="80" customWidth="1"/>
    <col min="12556" max="12556" width="7.44140625" style="80" customWidth="1"/>
    <col min="12557" max="12557" width="8.88671875" style="80" customWidth="1"/>
    <col min="12558" max="12563" width="7.44140625" style="80" customWidth="1"/>
    <col min="12564" max="12583" width="0" style="80" hidden="1" customWidth="1"/>
    <col min="12584" max="12584" width="24" style="80" customWidth="1"/>
    <col min="12585" max="12798" width="9.109375" style="80"/>
    <col min="12799" max="12799" width="6.33203125" style="80" customWidth="1"/>
    <col min="12800" max="12800" width="45" style="80" customWidth="1"/>
    <col min="12801" max="12803" width="7.44140625" style="80" customWidth="1"/>
    <col min="12804" max="12804" width="6.44140625" style="80" customWidth="1"/>
    <col min="12805" max="12805" width="7.44140625" style="80" customWidth="1"/>
    <col min="12806" max="12806" width="8.88671875" style="80" customWidth="1"/>
    <col min="12807" max="12808" width="7.44140625" style="80" customWidth="1"/>
    <col min="12809" max="12809" width="8.5546875" style="80" customWidth="1"/>
    <col min="12810" max="12810" width="7.44140625" style="80" customWidth="1"/>
    <col min="12811" max="12811" width="6.44140625" style="80" customWidth="1"/>
    <col min="12812" max="12812" width="7.44140625" style="80" customWidth="1"/>
    <col min="12813" max="12813" width="8.88671875" style="80" customWidth="1"/>
    <col min="12814" max="12819" width="7.44140625" style="80" customWidth="1"/>
    <col min="12820" max="12839" width="0" style="80" hidden="1" customWidth="1"/>
    <col min="12840" max="12840" width="24" style="80" customWidth="1"/>
    <col min="12841" max="13054" width="9.109375" style="80"/>
    <col min="13055" max="13055" width="6.33203125" style="80" customWidth="1"/>
    <col min="13056" max="13056" width="45" style="80" customWidth="1"/>
    <col min="13057" max="13059" width="7.44140625" style="80" customWidth="1"/>
    <col min="13060" max="13060" width="6.44140625" style="80" customWidth="1"/>
    <col min="13061" max="13061" width="7.44140625" style="80" customWidth="1"/>
    <col min="13062" max="13062" width="8.88671875" style="80" customWidth="1"/>
    <col min="13063" max="13064" width="7.44140625" style="80" customWidth="1"/>
    <col min="13065" max="13065" width="8.5546875" style="80" customWidth="1"/>
    <col min="13066" max="13066" width="7.44140625" style="80" customWidth="1"/>
    <col min="13067" max="13067" width="6.44140625" style="80" customWidth="1"/>
    <col min="13068" max="13068" width="7.44140625" style="80" customWidth="1"/>
    <col min="13069" max="13069" width="8.88671875" style="80" customWidth="1"/>
    <col min="13070" max="13075" width="7.44140625" style="80" customWidth="1"/>
    <col min="13076" max="13095" width="0" style="80" hidden="1" customWidth="1"/>
    <col min="13096" max="13096" width="24" style="80" customWidth="1"/>
    <col min="13097" max="13310" width="9.109375" style="80"/>
    <col min="13311" max="13311" width="6.33203125" style="80" customWidth="1"/>
    <col min="13312" max="13312" width="45" style="80" customWidth="1"/>
    <col min="13313" max="13315" width="7.44140625" style="80" customWidth="1"/>
    <col min="13316" max="13316" width="6.44140625" style="80" customWidth="1"/>
    <col min="13317" max="13317" width="7.44140625" style="80" customWidth="1"/>
    <col min="13318" max="13318" width="8.88671875" style="80" customWidth="1"/>
    <col min="13319" max="13320" width="7.44140625" style="80" customWidth="1"/>
    <col min="13321" max="13321" width="8.5546875" style="80" customWidth="1"/>
    <col min="13322" max="13322" width="7.44140625" style="80" customWidth="1"/>
    <col min="13323" max="13323" width="6.44140625" style="80" customWidth="1"/>
    <col min="13324" max="13324" width="7.44140625" style="80" customWidth="1"/>
    <col min="13325" max="13325" width="8.88671875" style="80" customWidth="1"/>
    <col min="13326" max="13331" width="7.44140625" style="80" customWidth="1"/>
    <col min="13332" max="13351" width="0" style="80" hidden="1" customWidth="1"/>
    <col min="13352" max="13352" width="24" style="80" customWidth="1"/>
    <col min="13353" max="13566" width="9.109375" style="80"/>
    <col min="13567" max="13567" width="6.33203125" style="80" customWidth="1"/>
    <col min="13568" max="13568" width="45" style="80" customWidth="1"/>
    <col min="13569" max="13571" width="7.44140625" style="80" customWidth="1"/>
    <col min="13572" max="13572" width="6.44140625" style="80" customWidth="1"/>
    <col min="13573" max="13573" width="7.44140625" style="80" customWidth="1"/>
    <col min="13574" max="13574" width="8.88671875" style="80" customWidth="1"/>
    <col min="13575" max="13576" width="7.44140625" style="80" customWidth="1"/>
    <col min="13577" max="13577" width="8.5546875" style="80" customWidth="1"/>
    <col min="13578" max="13578" width="7.44140625" style="80" customWidth="1"/>
    <col min="13579" max="13579" width="6.44140625" style="80" customWidth="1"/>
    <col min="13580" max="13580" width="7.44140625" style="80" customWidth="1"/>
    <col min="13581" max="13581" width="8.88671875" style="80" customWidth="1"/>
    <col min="13582" max="13587" width="7.44140625" style="80" customWidth="1"/>
    <col min="13588" max="13607" width="0" style="80" hidden="1" customWidth="1"/>
    <col min="13608" max="13608" width="24" style="80" customWidth="1"/>
    <col min="13609" max="13822" width="9.109375" style="80"/>
    <col min="13823" max="13823" width="6.33203125" style="80" customWidth="1"/>
    <col min="13824" max="13824" width="45" style="80" customWidth="1"/>
    <col min="13825" max="13827" width="7.44140625" style="80" customWidth="1"/>
    <col min="13828" max="13828" width="6.44140625" style="80" customWidth="1"/>
    <col min="13829" max="13829" width="7.44140625" style="80" customWidth="1"/>
    <col min="13830" max="13830" width="8.88671875" style="80" customWidth="1"/>
    <col min="13831" max="13832" width="7.44140625" style="80" customWidth="1"/>
    <col min="13833" max="13833" width="8.5546875" style="80" customWidth="1"/>
    <col min="13834" max="13834" width="7.44140625" style="80" customWidth="1"/>
    <col min="13835" max="13835" width="6.44140625" style="80" customWidth="1"/>
    <col min="13836" max="13836" width="7.44140625" style="80" customWidth="1"/>
    <col min="13837" max="13837" width="8.88671875" style="80" customWidth="1"/>
    <col min="13838" max="13843" width="7.44140625" style="80" customWidth="1"/>
    <col min="13844" max="13863" width="0" style="80" hidden="1" customWidth="1"/>
    <col min="13864" max="13864" width="24" style="80" customWidth="1"/>
    <col min="13865" max="14078" width="9.109375" style="80"/>
    <col min="14079" max="14079" width="6.33203125" style="80" customWidth="1"/>
    <col min="14080" max="14080" width="45" style="80" customWidth="1"/>
    <col min="14081" max="14083" width="7.44140625" style="80" customWidth="1"/>
    <col min="14084" max="14084" width="6.44140625" style="80" customWidth="1"/>
    <col min="14085" max="14085" width="7.44140625" style="80" customWidth="1"/>
    <col min="14086" max="14086" width="8.88671875" style="80" customWidth="1"/>
    <col min="14087" max="14088" width="7.44140625" style="80" customWidth="1"/>
    <col min="14089" max="14089" width="8.5546875" style="80" customWidth="1"/>
    <col min="14090" max="14090" width="7.44140625" style="80" customWidth="1"/>
    <col min="14091" max="14091" width="6.44140625" style="80" customWidth="1"/>
    <col min="14092" max="14092" width="7.44140625" style="80" customWidth="1"/>
    <col min="14093" max="14093" width="8.88671875" style="80" customWidth="1"/>
    <col min="14094" max="14099" width="7.44140625" style="80" customWidth="1"/>
    <col min="14100" max="14119" width="0" style="80" hidden="1" customWidth="1"/>
    <col min="14120" max="14120" width="24" style="80" customWidth="1"/>
    <col min="14121" max="14334" width="9.109375" style="80"/>
    <col min="14335" max="14335" width="6.33203125" style="80" customWidth="1"/>
    <col min="14336" max="14336" width="45" style="80" customWidth="1"/>
    <col min="14337" max="14339" width="7.44140625" style="80" customWidth="1"/>
    <col min="14340" max="14340" width="6.44140625" style="80" customWidth="1"/>
    <col min="14341" max="14341" width="7.44140625" style="80" customWidth="1"/>
    <col min="14342" max="14342" width="8.88671875" style="80" customWidth="1"/>
    <col min="14343" max="14344" width="7.44140625" style="80" customWidth="1"/>
    <col min="14345" max="14345" width="8.5546875" style="80" customWidth="1"/>
    <col min="14346" max="14346" width="7.44140625" style="80" customWidth="1"/>
    <col min="14347" max="14347" width="6.44140625" style="80" customWidth="1"/>
    <col min="14348" max="14348" width="7.44140625" style="80" customWidth="1"/>
    <col min="14349" max="14349" width="8.88671875" style="80" customWidth="1"/>
    <col min="14350" max="14355" width="7.44140625" style="80" customWidth="1"/>
    <col min="14356" max="14375" width="0" style="80" hidden="1" customWidth="1"/>
    <col min="14376" max="14376" width="24" style="80" customWidth="1"/>
    <col min="14377" max="14590" width="9.109375" style="80"/>
    <col min="14591" max="14591" width="6.33203125" style="80" customWidth="1"/>
    <col min="14592" max="14592" width="45" style="80" customWidth="1"/>
    <col min="14593" max="14595" width="7.44140625" style="80" customWidth="1"/>
    <col min="14596" max="14596" width="6.44140625" style="80" customWidth="1"/>
    <col min="14597" max="14597" width="7.44140625" style="80" customWidth="1"/>
    <col min="14598" max="14598" width="8.88671875" style="80" customWidth="1"/>
    <col min="14599" max="14600" width="7.44140625" style="80" customWidth="1"/>
    <col min="14601" max="14601" width="8.5546875" style="80" customWidth="1"/>
    <col min="14602" max="14602" width="7.44140625" style="80" customWidth="1"/>
    <col min="14603" max="14603" width="6.44140625" style="80" customWidth="1"/>
    <col min="14604" max="14604" width="7.44140625" style="80" customWidth="1"/>
    <col min="14605" max="14605" width="8.88671875" style="80" customWidth="1"/>
    <col min="14606" max="14611" width="7.44140625" style="80" customWidth="1"/>
    <col min="14612" max="14631" width="0" style="80" hidden="1" customWidth="1"/>
    <col min="14632" max="14632" width="24" style="80" customWidth="1"/>
    <col min="14633" max="14846" width="9.109375" style="80"/>
    <col min="14847" max="14847" width="6.33203125" style="80" customWidth="1"/>
    <col min="14848" max="14848" width="45" style="80" customWidth="1"/>
    <col min="14849" max="14851" width="7.44140625" style="80" customWidth="1"/>
    <col min="14852" max="14852" width="6.44140625" style="80" customWidth="1"/>
    <col min="14853" max="14853" width="7.44140625" style="80" customWidth="1"/>
    <col min="14854" max="14854" width="8.88671875" style="80" customWidth="1"/>
    <col min="14855" max="14856" width="7.44140625" style="80" customWidth="1"/>
    <col min="14857" max="14857" width="8.5546875" style="80" customWidth="1"/>
    <col min="14858" max="14858" width="7.44140625" style="80" customWidth="1"/>
    <col min="14859" max="14859" width="6.44140625" style="80" customWidth="1"/>
    <col min="14860" max="14860" width="7.44140625" style="80" customWidth="1"/>
    <col min="14861" max="14861" width="8.88671875" style="80" customWidth="1"/>
    <col min="14862" max="14867" width="7.44140625" style="80" customWidth="1"/>
    <col min="14868" max="14887" width="0" style="80" hidden="1" customWidth="1"/>
    <col min="14888" max="14888" width="24" style="80" customWidth="1"/>
    <col min="14889" max="15102" width="9.109375" style="80"/>
    <col min="15103" max="15103" width="6.33203125" style="80" customWidth="1"/>
    <col min="15104" max="15104" width="45" style="80" customWidth="1"/>
    <col min="15105" max="15107" width="7.44140625" style="80" customWidth="1"/>
    <col min="15108" max="15108" width="6.44140625" style="80" customWidth="1"/>
    <col min="15109" max="15109" width="7.44140625" style="80" customWidth="1"/>
    <col min="15110" max="15110" width="8.88671875" style="80" customWidth="1"/>
    <col min="15111" max="15112" width="7.44140625" style="80" customWidth="1"/>
    <col min="15113" max="15113" width="8.5546875" style="80" customWidth="1"/>
    <col min="15114" max="15114" width="7.44140625" style="80" customWidth="1"/>
    <col min="15115" max="15115" width="6.44140625" style="80" customWidth="1"/>
    <col min="15116" max="15116" width="7.44140625" style="80" customWidth="1"/>
    <col min="15117" max="15117" width="8.88671875" style="80" customWidth="1"/>
    <col min="15118" max="15123" width="7.44140625" style="80" customWidth="1"/>
    <col min="15124" max="15143" width="0" style="80" hidden="1" customWidth="1"/>
    <col min="15144" max="15144" width="24" style="80" customWidth="1"/>
    <col min="15145" max="15358" width="9.109375" style="80"/>
    <col min="15359" max="15359" width="6.33203125" style="80" customWidth="1"/>
    <col min="15360" max="15360" width="45" style="80" customWidth="1"/>
    <col min="15361" max="15363" width="7.44140625" style="80" customWidth="1"/>
    <col min="15364" max="15364" width="6.44140625" style="80" customWidth="1"/>
    <col min="15365" max="15365" width="7.44140625" style="80" customWidth="1"/>
    <col min="15366" max="15366" width="8.88671875" style="80" customWidth="1"/>
    <col min="15367" max="15368" width="7.44140625" style="80" customWidth="1"/>
    <col min="15369" max="15369" width="8.5546875" style="80" customWidth="1"/>
    <col min="15370" max="15370" width="7.44140625" style="80" customWidth="1"/>
    <col min="15371" max="15371" width="6.44140625" style="80" customWidth="1"/>
    <col min="15372" max="15372" width="7.44140625" style="80" customWidth="1"/>
    <col min="15373" max="15373" width="8.88671875" style="80" customWidth="1"/>
    <col min="15374" max="15379" width="7.44140625" style="80" customWidth="1"/>
    <col min="15380" max="15399" width="0" style="80" hidden="1" customWidth="1"/>
    <col min="15400" max="15400" width="24" style="80" customWidth="1"/>
    <col min="15401" max="15614" width="9.109375" style="80"/>
    <col min="15615" max="15615" width="6.33203125" style="80" customWidth="1"/>
    <col min="15616" max="15616" width="45" style="80" customWidth="1"/>
    <col min="15617" max="15619" width="7.44140625" style="80" customWidth="1"/>
    <col min="15620" max="15620" width="6.44140625" style="80" customWidth="1"/>
    <col min="15621" max="15621" width="7.44140625" style="80" customWidth="1"/>
    <col min="15622" max="15622" width="8.88671875" style="80" customWidth="1"/>
    <col min="15623" max="15624" width="7.44140625" style="80" customWidth="1"/>
    <col min="15625" max="15625" width="8.5546875" style="80" customWidth="1"/>
    <col min="15626" max="15626" width="7.44140625" style="80" customWidth="1"/>
    <col min="15627" max="15627" width="6.44140625" style="80" customWidth="1"/>
    <col min="15628" max="15628" width="7.44140625" style="80" customWidth="1"/>
    <col min="15629" max="15629" width="8.88671875" style="80" customWidth="1"/>
    <col min="15630" max="15635" width="7.44140625" style="80" customWidth="1"/>
    <col min="15636" max="15655" width="0" style="80" hidden="1" customWidth="1"/>
    <col min="15656" max="15656" width="24" style="80" customWidth="1"/>
    <col min="15657" max="15870" width="9.109375" style="80"/>
    <col min="15871" max="15871" width="6.33203125" style="80" customWidth="1"/>
    <col min="15872" max="15872" width="45" style="80" customWidth="1"/>
    <col min="15873" max="15875" width="7.44140625" style="80" customWidth="1"/>
    <col min="15876" max="15876" width="6.44140625" style="80" customWidth="1"/>
    <col min="15877" max="15877" width="7.44140625" style="80" customWidth="1"/>
    <col min="15878" max="15878" width="8.88671875" style="80" customWidth="1"/>
    <col min="15879" max="15880" width="7.44140625" style="80" customWidth="1"/>
    <col min="15881" max="15881" width="8.5546875" style="80" customWidth="1"/>
    <col min="15882" max="15882" width="7.44140625" style="80" customWidth="1"/>
    <col min="15883" max="15883" width="6.44140625" style="80" customWidth="1"/>
    <col min="15884" max="15884" width="7.44140625" style="80" customWidth="1"/>
    <col min="15885" max="15885" width="8.88671875" style="80" customWidth="1"/>
    <col min="15886" max="15891" width="7.44140625" style="80" customWidth="1"/>
    <col min="15892" max="15911" width="0" style="80" hidden="1" customWidth="1"/>
    <col min="15912" max="15912" width="24" style="80" customWidth="1"/>
    <col min="15913" max="16126" width="9.109375" style="80"/>
    <col min="16127" max="16127" width="6.33203125" style="80" customWidth="1"/>
    <col min="16128" max="16128" width="45" style="80" customWidth="1"/>
    <col min="16129" max="16131" width="7.44140625" style="80" customWidth="1"/>
    <col min="16132" max="16132" width="6.44140625" style="80" customWidth="1"/>
    <col min="16133" max="16133" width="7.44140625" style="80" customWidth="1"/>
    <col min="16134" max="16134" width="8.88671875" style="80" customWidth="1"/>
    <col min="16135" max="16136" width="7.44140625" style="80" customWidth="1"/>
    <col min="16137" max="16137" width="8.5546875" style="80" customWidth="1"/>
    <col min="16138" max="16138" width="7.44140625" style="80" customWidth="1"/>
    <col min="16139" max="16139" width="6.44140625" style="80" customWidth="1"/>
    <col min="16140" max="16140" width="7.44140625" style="80" customWidth="1"/>
    <col min="16141" max="16141" width="8.88671875" style="80" customWidth="1"/>
    <col min="16142" max="16147" width="7.44140625" style="80" customWidth="1"/>
    <col min="16148" max="16167" width="0" style="80" hidden="1" customWidth="1"/>
    <col min="16168" max="16168" width="24" style="80" customWidth="1"/>
    <col min="16169" max="16384" width="9.109375" style="80"/>
  </cols>
  <sheetData>
    <row r="1" spans="1:44">
      <c r="A1" s="894" t="s">
        <v>202</v>
      </c>
      <c r="B1" s="894"/>
      <c r="C1" s="894"/>
      <c r="D1" s="894"/>
      <c r="E1" s="77"/>
      <c r="F1" s="78"/>
      <c r="G1" s="79"/>
      <c r="H1" s="80"/>
      <c r="I1" s="80"/>
      <c r="J1" s="80"/>
      <c r="K1" s="80"/>
      <c r="L1" s="80"/>
      <c r="M1" s="80"/>
      <c r="N1" s="80"/>
      <c r="R1" s="81"/>
      <c r="S1" s="81"/>
      <c r="T1" s="895"/>
      <c r="U1" s="895"/>
      <c r="V1" s="895"/>
      <c r="W1" s="895"/>
      <c r="X1" s="746"/>
      <c r="Y1" s="746"/>
      <c r="Z1" s="746"/>
      <c r="AA1" s="746"/>
      <c r="AB1" s="746"/>
      <c r="AC1" s="746"/>
      <c r="AD1" s="746"/>
      <c r="AE1" s="746"/>
      <c r="AF1" s="746"/>
      <c r="AG1" s="746"/>
      <c r="AH1" s="746"/>
      <c r="AI1" s="746"/>
      <c r="AJ1" s="746"/>
    </row>
    <row r="2" spans="1:44">
      <c r="A2" s="503" t="s">
        <v>342</v>
      </c>
      <c r="B2" s="504"/>
      <c r="C2" s="505"/>
      <c r="D2" s="505"/>
      <c r="E2" s="505"/>
      <c r="F2" s="505"/>
      <c r="G2" s="79"/>
      <c r="H2" s="80"/>
      <c r="I2" s="80"/>
      <c r="J2" s="80"/>
      <c r="K2" s="80"/>
      <c r="L2" s="80"/>
      <c r="M2" s="80"/>
      <c r="N2" s="80"/>
      <c r="R2" s="81"/>
      <c r="S2" s="81"/>
      <c r="T2" s="79"/>
      <c r="U2" s="746"/>
      <c r="V2" s="746"/>
      <c r="W2" s="746"/>
      <c r="X2" s="746"/>
      <c r="Y2" s="746"/>
      <c r="Z2" s="746"/>
      <c r="AA2" s="746"/>
      <c r="AB2" s="746"/>
      <c r="AC2" s="746"/>
      <c r="AD2" s="746"/>
      <c r="AE2" s="746"/>
      <c r="AF2" s="746"/>
      <c r="AG2" s="746"/>
      <c r="AH2" s="746"/>
      <c r="AI2" s="746"/>
      <c r="AJ2" s="746"/>
    </row>
    <row r="3" spans="1:44">
      <c r="A3" s="895" t="s">
        <v>2128</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895"/>
      <c r="AJ3" s="895"/>
      <c r="AK3" s="895"/>
      <c r="AL3" s="895"/>
      <c r="AM3" s="895"/>
      <c r="AN3" s="895"/>
      <c r="AO3" s="895"/>
      <c r="AP3" s="746"/>
    </row>
    <row r="4" spans="1:44">
      <c r="B4" s="506"/>
      <c r="C4" s="101">
        <f>D10+J10</f>
        <v>1635206.6723839999</v>
      </c>
      <c r="D4" s="101"/>
      <c r="E4" s="101"/>
      <c r="F4" s="101"/>
      <c r="G4" s="101"/>
      <c r="H4" s="507">
        <f>H183+H234+H583</f>
        <v>1770520.3995000001</v>
      </c>
      <c r="I4" s="507"/>
      <c r="J4" s="507"/>
      <c r="K4" s="507"/>
      <c r="L4" s="507"/>
      <c r="M4" s="507"/>
      <c r="N4" s="507"/>
      <c r="O4" s="508">
        <f>P4+Q4</f>
        <v>1424955.7572849998</v>
      </c>
      <c r="P4" s="508">
        <f>S10+V10</f>
        <v>947824.37070700002</v>
      </c>
      <c r="Q4" s="508">
        <f>T10+W10</f>
        <v>477131.38657799992</v>
      </c>
      <c r="R4" s="508"/>
      <c r="S4" s="508"/>
      <c r="T4" s="508"/>
      <c r="U4" s="762">
        <f>U11</f>
        <v>294938.54164100002</v>
      </c>
      <c r="V4" s="82">
        <f>U4-'68_QT '!F30</f>
        <v>0</v>
      </c>
      <c r="X4" s="509"/>
      <c r="Y4" s="509"/>
      <c r="Z4" s="509"/>
      <c r="AA4" s="509"/>
      <c r="AB4" s="509"/>
      <c r="AC4" s="509"/>
      <c r="AD4" s="509"/>
      <c r="AE4" s="509"/>
      <c r="AF4" s="509"/>
      <c r="AG4" s="509"/>
      <c r="AH4" s="509"/>
      <c r="AI4" s="509"/>
      <c r="AJ4" s="509"/>
      <c r="AK4" s="100"/>
      <c r="AL4" s="100"/>
      <c r="AM4" s="896" t="s">
        <v>2129</v>
      </c>
      <c r="AN4" s="896"/>
      <c r="AO4" s="100"/>
      <c r="AP4" s="100"/>
    </row>
    <row r="5" spans="1:44" s="84" customFormat="1">
      <c r="A5" s="875" t="s">
        <v>343</v>
      </c>
      <c r="B5" s="873" t="s">
        <v>280</v>
      </c>
      <c r="C5" s="875" t="s">
        <v>2130</v>
      </c>
      <c r="D5" s="897" t="s">
        <v>171</v>
      </c>
      <c r="E5" s="897"/>
      <c r="F5" s="897"/>
      <c r="G5" s="891"/>
      <c r="H5" s="885" t="s">
        <v>2054</v>
      </c>
      <c r="I5" s="899" t="s">
        <v>171</v>
      </c>
      <c r="J5" s="899"/>
      <c r="K5" s="899"/>
      <c r="L5" s="899"/>
      <c r="M5" s="899"/>
      <c r="N5" s="900"/>
      <c r="O5" s="873" t="s">
        <v>2055</v>
      </c>
      <c r="P5" s="890" t="s">
        <v>2131</v>
      </c>
      <c r="Q5" s="891"/>
      <c r="R5" s="881" t="s">
        <v>344</v>
      </c>
      <c r="S5" s="881"/>
      <c r="T5" s="881"/>
      <c r="U5" s="881"/>
      <c r="V5" s="881"/>
      <c r="W5" s="881"/>
      <c r="X5" s="873" t="s">
        <v>345</v>
      </c>
      <c r="Y5" s="881" t="s">
        <v>2132</v>
      </c>
      <c r="Z5" s="881"/>
      <c r="AA5" s="881"/>
      <c r="AB5" s="881"/>
      <c r="AC5" s="881"/>
      <c r="AD5" s="881"/>
      <c r="AE5" s="882" t="s">
        <v>346</v>
      </c>
      <c r="AF5" s="883"/>
      <c r="AG5" s="883"/>
      <c r="AH5" s="883"/>
      <c r="AI5" s="883"/>
      <c r="AJ5" s="884"/>
      <c r="AK5" s="875" t="s">
        <v>347</v>
      </c>
      <c r="AL5" s="878" t="s">
        <v>171</v>
      </c>
      <c r="AM5" s="879"/>
      <c r="AN5" s="879"/>
      <c r="AO5" s="880"/>
      <c r="AP5" s="875" t="s">
        <v>2133</v>
      </c>
      <c r="AQ5" s="887" t="s">
        <v>2134</v>
      </c>
      <c r="AR5" s="887" t="s">
        <v>2135</v>
      </c>
    </row>
    <row r="6" spans="1:44" s="84" customFormat="1">
      <c r="A6" s="876"/>
      <c r="B6" s="889"/>
      <c r="C6" s="876"/>
      <c r="D6" s="881" t="s">
        <v>348</v>
      </c>
      <c r="E6" s="881"/>
      <c r="F6" s="881" t="s">
        <v>349</v>
      </c>
      <c r="G6" s="881"/>
      <c r="H6" s="898"/>
      <c r="I6" s="888" t="s">
        <v>350</v>
      </c>
      <c r="J6" s="888"/>
      <c r="K6" s="888"/>
      <c r="L6" s="888" t="s">
        <v>351</v>
      </c>
      <c r="M6" s="888"/>
      <c r="N6" s="888"/>
      <c r="O6" s="889"/>
      <c r="P6" s="892"/>
      <c r="Q6" s="893"/>
      <c r="R6" s="881" t="s">
        <v>352</v>
      </c>
      <c r="S6" s="881"/>
      <c r="T6" s="881"/>
      <c r="U6" s="881" t="s">
        <v>353</v>
      </c>
      <c r="V6" s="881"/>
      <c r="W6" s="881"/>
      <c r="X6" s="889"/>
      <c r="Y6" s="881" t="s">
        <v>348</v>
      </c>
      <c r="Z6" s="881"/>
      <c r="AA6" s="881"/>
      <c r="AB6" s="881" t="s">
        <v>349</v>
      </c>
      <c r="AC6" s="881"/>
      <c r="AD6" s="881"/>
      <c r="AE6" s="882" t="s">
        <v>348</v>
      </c>
      <c r="AF6" s="883"/>
      <c r="AG6" s="884"/>
      <c r="AH6" s="882" t="s">
        <v>349</v>
      </c>
      <c r="AI6" s="883"/>
      <c r="AJ6" s="884"/>
      <c r="AK6" s="876"/>
      <c r="AL6" s="878" t="s">
        <v>348</v>
      </c>
      <c r="AM6" s="880"/>
      <c r="AN6" s="878" t="s">
        <v>349</v>
      </c>
      <c r="AO6" s="880"/>
      <c r="AP6" s="876"/>
      <c r="AQ6" s="887"/>
      <c r="AR6" s="887"/>
    </row>
    <row r="7" spans="1:44" s="84" customFormat="1" ht="13.8">
      <c r="A7" s="876"/>
      <c r="B7" s="889"/>
      <c r="C7" s="876"/>
      <c r="D7" s="873" t="s">
        <v>354</v>
      </c>
      <c r="E7" s="873" t="s">
        <v>340</v>
      </c>
      <c r="F7" s="873" t="s">
        <v>354</v>
      </c>
      <c r="G7" s="873" t="s">
        <v>340</v>
      </c>
      <c r="H7" s="898"/>
      <c r="I7" s="885" t="s">
        <v>148</v>
      </c>
      <c r="J7" s="873" t="s">
        <v>354</v>
      </c>
      <c r="K7" s="885" t="s">
        <v>340</v>
      </c>
      <c r="L7" s="885" t="s">
        <v>148</v>
      </c>
      <c r="M7" s="873" t="s">
        <v>354</v>
      </c>
      <c r="N7" s="885" t="s">
        <v>340</v>
      </c>
      <c r="O7" s="889"/>
      <c r="P7" s="873" t="s">
        <v>354</v>
      </c>
      <c r="Q7" s="873" t="s">
        <v>340</v>
      </c>
      <c r="R7" s="873" t="s">
        <v>148</v>
      </c>
      <c r="S7" s="873" t="s">
        <v>354</v>
      </c>
      <c r="T7" s="873" t="s">
        <v>340</v>
      </c>
      <c r="U7" s="873" t="s">
        <v>148</v>
      </c>
      <c r="V7" s="873" t="s">
        <v>354</v>
      </c>
      <c r="W7" s="873" t="s">
        <v>340</v>
      </c>
      <c r="X7" s="889"/>
      <c r="Y7" s="873" t="s">
        <v>355</v>
      </c>
      <c r="Z7" s="873" t="s">
        <v>354</v>
      </c>
      <c r="AA7" s="873" t="s">
        <v>340</v>
      </c>
      <c r="AB7" s="873" t="s">
        <v>355</v>
      </c>
      <c r="AC7" s="873" t="s">
        <v>354</v>
      </c>
      <c r="AD7" s="873" t="s">
        <v>340</v>
      </c>
      <c r="AE7" s="873" t="s">
        <v>355</v>
      </c>
      <c r="AF7" s="873" t="s">
        <v>354</v>
      </c>
      <c r="AG7" s="873" t="s">
        <v>340</v>
      </c>
      <c r="AH7" s="873" t="s">
        <v>355</v>
      </c>
      <c r="AI7" s="873" t="s">
        <v>354</v>
      </c>
      <c r="AJ7" s="873" t="s">
        <v>340</v>
      </c>
      <c r="AK7" s="876"/>
      <c r="AL7" s="875" t="s">
        <v>354</v>
      </c>
      <c r="AM7" s="875" t="s">
        <v>340</v>
      </c>
      <c r="AN7" s="875" t="s">
        <v>354</v>
      </c>
      <c r="AO7" s="875" t="s">
        <v>340</v>
      </c>
      <c r="AP7" s="876"/>
      <c r="AQ7" s="887"/>
      <c r="AR7" s="887"/>
    </row>
    <row r="8" spans="1:44" s="84" customFormat="1" ht="52.5" customHeight="1">
      <c r="A8" s="877"/>
      <c r="B8" s="874"/>
      <c r="C8" s="877"/>
      <c r="D8" s="874"/>
      <c r="E8" s="874"/>
      <c r="F8" s="874"/>
      <c r="G8" s="874"/>
      <c r="H8" s="898"/>
      <c r="I8" s="886"/>
      <c r="J8" s="874"/>
      <c r="K8" s="886"/>
      <c r="L8" s="886"/>
      <c r="M8" s="874"/>
      <c r="N8" s="886"/>
      <c r="O8" s="889"/>
      <c r="P8" s="874"/>
      <c r="Q8" s="874"/>
      <c r="R8" s="874"/>
      <c r="S8" s="874"/>
      <c r="T8" s="874"/>
      <c r="U8" s="874"/>
      <c r="V8" s="874"/>
      <c r="W8" s="874"/>
      <c r="X8" s="874"/>
      <c r="Y8" s="874"/>
      <c r="Z8" s="874"/>
      <c r="AA8" s="874"/>
      <c r="AB8" s="874"/>
      <c r="AC8" s="874"/>
      <c r="AD8" s="874"/>
      <c r="AE8" s="874"/>
      <c r="AF8" s="874"/>
      <c r="AG8" s="874"/>
      <c r="AH8" s="874"/>
      <c r="AI8" s="874"/>
      <c r="AJ8" s="874"/>
      <c r="AK8" s="876"/>
      <c r="AL8" s="877"/>
      <c r="AM8" s="877"/>
      <c r="AN8" s="877"/>
      <c r="AO8" s="877"/>
      <c r="AP8" s="877"/>
      <c r="AQ8" s="887"/>
      <c r="AR8" s="887"/>
    </row>
    <row r="9" spans="1:44" s="84" customFormat="1">
      <c r="A9" s="510" t="s">
        <v>7</v>
      </c>
      <c r="B9" s="511" t="s">
        <v>8</v>
      </c>
      <c r="C9" s="512">
        <v>1</v>
      </c>
      <c r="D9" s="748" t="s">
        <v>356</v>
      </c>
      <c r="E9" s="748" t="s">
        <v>357</v>
      </c>
      <c r="F9" s="748" t="s">
        <v>358</v>
      </c>
      <c r="G9" s="748" t="s">
        <v>359</v>
      </c>
      <c r="H9" s="749">
        <v>1</v>
      </c>
      <c r="I9" s="749" t="s">
        <v>2136</v>
      </c>
      <c r="J9" s="749">
        <v>3</v>
      </c>
      <c r="K9" s="749">
        <v>4</v>
      </c>
      <c r="L9" s="749" t="s">
        <v>2137</v>
      </c>
      <c r="M9" s="749">
        <v>6</v>
      </c>
      <c r="N9" s="749">
        <v>7</v>
      </c>
      <c r="O9" s="748">
        <v>8</v>
      </c>
      <c r="P9" s="748"/>
      <c r="Q9" s="748"/>
      <c r="R9" s="748" t="s">
        <v>2138</v>
      </c>
      <c r="S9" s="748">
        <v>10</v>
      </c>
      <c r="T9" s="748">
        <v>11</v>
      </c>
      <c r="U9" s="748" t="s">
        <v>2139</v>
      </c>
      <c r="V9" s="748">
        <v>13</v>
      </c>
      <c r="W9" s="748">
        <v>14</v>
      </c>
      <c r="X9" s="748">
        <v>15</v>
      </c>
      <c r="Y9" s="748"/>
      <c r="Z9" s="748"/>
      <c r="AA9" s="748"/>
      <c r="AB9" s="748"/>
      <c r="AC9" s="748"/>
      <c r="AD9" s="748"/>
      <c r="AE9" s="748"/>
      <c r="AF9" s="748"/>
      <c r="AG9" s="748"/>
      <c r="AH9" s="748"/>
      <c r="AI9" s="748"/>
      <c r="AJ9" s="748"/>
      <c r="AK9" s="510">
        <v>16</v>
      </c>
      <c r="AL9" s="510" t="s">
        <v>2140</v>
      </c>
      <c r="AM9" s="510" t="s">
        <v>2141</v>
      </c>
      <c r="AN9" s="510" t="s">
        <v>2142</v>
      </c>
      <c r="AO9" s="510" t="s">
        <v>2143</v>
      </c>
      <c r="AP9" s="510">
        <v>17</v>
      </c>
      <c r="AQ9" s="747"/>
      <c r="AR9" s="747"/>
    </row>
    <row r="10" spans="1:44" s="84" customFormat="1">
      <c r="A10" s="513"/>
      <c r="B10" s="514" t="s">
        <v>362</v>
      </c>
      <c r="C10" s="515">
        <f>C11+C183+C234+C583</f>
        <v>433759.61424900003</v>
      </c>
      <c r="D10" s="515">
        <f t="shared" ref="D10:AR10" si="0">D11+D183+D234+D583</f>
        <v>225495.68238400004</v>
      </c>
      <c r="E10" s="515">
        <f t="shared" si="0"/>
        <v>97226.255151000005</v>
      </c>
      <c r="F10" s="515">
        <f t="shared" si="0"/>
        <v>11050.014799999999</v>
      </c>
      <c r="G10" s="515">
        <f t="shared" si="0"/>
        <v>99987.661914000011</v>
      </c>
      <c r="H10" s="515">
        <f t="shared" si="0"/>
        <v>2160306.3994999998</v>
      </c>
      <c r="I10" s="515">
        <f t="shared" si="0"/>
        <v>1755127.6894999999</v>
      </c>
      <c r="J10" s="515">
        <f t="shared" si="0"/>
        <v>1409710.99</v>
      </c>
      <c r="K10" s="515">
        <f t="shared" si="0"/>
        <v>345416.69949999999</v>
      </c>
      <c r="L10" s="515">
        <f t="shared" si="0"/>
        <v>405178.71</v>
      </c>
      <c r="M10" s="515">
        <f t="shared" si="0"/>
        <v>223601.01</v>
      </c>
      <c r="N10" s="515">
        <f t="shared" si="0"/>
        <v>181577.7</v>
      </c>
      <c r="O10" s="516">
        <f t="shared" si="0"/>
        <v>1424955.7572850001</v>
      </c>
      <c r="P10" s="519">
        <f>S10+V10</f>
        <v>947824.37070700002</v>
      </c>
      <c r="Q10" s="519">
        <f>T10+W10</f>
        <v>477131.38657799992</v>
      </c>
      <c r="R10" s="515">
        <f t="shared" si="0"/>
        <v>971550.0686440001</v>
      </c>
      <c r="S10" s="515">
        <f t="shared" si="0"/>
        <v>720943.11339800002</v>
      </c>
      <c r="T10" s="515">
        <f t="shared" si="0"/>
        <v>250606.95524599997</v>
      </c>
      <c r="U10" s="515">
        <f t="shared" si="0"/>
        <v>453405.68864100002</v>
      </c>
      <c r="V10" s="515">
        <f t="shared" si="0"/>
        <v>226881.25730900001</v>
      </c>
      <c r="W10" s="515">
        <f t="shared" si="0"/>
        <v>226524.43133199998</v>
      </c>
      <c r="X10" s="515">
        <f t="shared" si="0"/>
        <v>63351.704317999996</v>
      </c>
      <c r="Y10" s="515">
        <f t="shared" si="0"/>
        <v>34895.163010000004</v>
      </c>
      <c r="Z10" s="515">
        <f t="shared" si="0"/>
        <v>2548.158559</v>
      </c>
      <c r="AA10" s="515">
        <f t="shared" si="0"/>
        <v>32347.004451000001</v>
      </c>
      <c r="AB10" s="515">
        <f t="shared" si="0"/>
        <v>28456.541307999993</v>
      </c>
      <c r="AC10" s="515">
        <f t="shared" si="0"/>
        <v>1770.2899999999984</v>
      </c>
      <c r="AD10" s="515">
        <f t="shared" si="0"/>
        <v>26686.251307999995</v>
      </c>
      <c r="AE10" s="515">
        <f t="shared" si="0"/>
        <v>0</v>
      </c>
      <c r="AF10" s="515">
        <f t="shared" si="0"/>
        <v>0</v>
      </c>
      <c r="AG10" s="515">
        <f t="shared" si="0"/>
        <v>0</v>
      </c>
      <c r="AH10" s="515">
        <f t="shared" si="0"/>
        <v>0</v>
      </c>
      <c r="AI10" s="515">
        <f t="shared" si="0"/>
        <v>0</v>
      </c>
      <c r="AJ10" s="515">
        <f t="shared" si="0"/>
        <v>0</v>
      </c>
      <c r="AK10" s="515">
        <f t="shared" si="0"/>
        <v>926088.10338400002</v>
      </c>
      <c r="AL10" s="515">
        <f t="shared" si="0"/>
        <v>776421.39042700001</v>
      </c>
      <c r="AM10" s="515">
        <f t="shared" si="0"/>
        <v>115312.75619199999</v>
      </c>
      <c r="AN10" s="515">
        <f t="shared" si="0"/>
        <v>5999.4774910000015</v>
      </c>
      <c r="AO10" s="515">
        <f t="shared" si="0"/>
        <v>28354.479274000005</v>
      </c>
      <c r="AP10" s="515">
        <f t="shared" si="0"/>
        <v>179670.44876199987</v>
      </c>
      <c r="AQ10" s="516">
        <f t="shared" si="0"/>
        <v>106374.425128</v>
      </c>
      <c r="AR10" s="516">
        <f t="shared" si="0"/>
        <v>8937.9170639999993</v>
      </c>
    </row>
    <row r="11" spans="1:44" s="84" customFormat="1">
      <c r="A11" s="517" t="s">
        <v>7</v>
      </c>
      <c r="B11" s="518" t="s">
        <v>363</v>
      </c>
      <c r="C11" s="519">
        <f t="shared" ref="C11:AO11" si="1">C12+C138</f>
        <v>65604.490484999988</v>
      </c>
      <c r="D11" s="519">
        <f t="shared" si="1"/>
        <v>37644.656798999997</v>
      </c>
      <c r="E11" s="519">
        <f t="shared" si="1"/>
        <v>4324.4555059999993</v>
      </c>
      <c r="F11" s="519">
        <f t="shared" si="1"/>
        <v>11050.014799999999</v>
      </c>
      <c r="G11" s="519">
        <f t="shared" si="1"/>
        <v>12585.363380000004</v>
      </c>
      <c r="H11" s="519">
        <f t="shared" si="1"/>
        <v>389786</v>
      </c>
      <c r="I11" s="519">
        <f t="shared" si="1"/>
        <v>96410.989999999991</v>
      </c>
      <c r="J11" s="519">
        <f t="shared" si="1"/>
        <v>84027.989999999991</v>
      </c>
      <c r="K11" s="519">
        <f t="shared" si="1"/>
        <v>12383</v>
      </c>
      <c r="L11" s="519">
        <f t="shared" si="1"/>
        <v>293375.01</v>
      </c>
      <c r="M11" s="519">
        <f t="shared" si="1"/>
        <v>196868.01</v>
      </c>
      <c r="N11" s="519">
        <f t="shared" si="1"/>
        <v>96507</v>
      </c>
      <c r="O11" s="520">
        <f t="shared" si="1"/>
        <v>404330.12465000001</v>
      </c>
      <c r="P11" s="520">
        <f>P12+P138</f>
        <v>298755.403223</v>
      </c>
      <c r="Q11" s="520">
        <f t="shared" si="1"/>
        <v>105574.721427</v>
      </c>
      <c r="R11" s="520">
        <f t="shared" si="1"/>
        <v>109391.58300899999</v>
      </c>
      <c r="S11" s="519">
        <f>S12+S138</f>
        <v>98444.145913999993</v>
      </c>
      <c r="T11" s="519">
        <f t="shared" si="1"/>
        <v>10947.437095000001</v>
      </c>
      <c r="U11" s="520">
        <f>U12+U138</f>
        <v>294938.54164100002</v>
      </c>
      <c r="V11" s="519">
        <f t="shared" si="1"/>
        <v>200311.25730900001</v>
      </c>
      <c r="W11" s="519">
        <f t="shared" si="1"/>
        <v>94627.284331999996</v>
      </c>
      <c r="X11" s="519">
        <f t="shared" si="1"/>
        <v>18370.154330999998</v>
      </c>
      <c r="Y11" s="519">
        <f t="shared" si="1"/>
        <v>5751.7662509999991</v>
      </c>
      <c r="Z11" s="519">
        <f t="shared" si="1"/>
        <v>769.56399999999996</v>
      </c>
      <c r="AA11" s="519">
        <f t="shared" si="1"/>
        <v>4982.2022509999997</v>
      </c>
      <c r="AB11" s="519">
        <f t="shared" si="1"/>
        <v>12618.388079999997</v>
      </c>
      <c r="AC11" s="519">
        <f t="shared" si="1"/>
        <v>1770.2899999999984</v>
      </c>
      <c r="AD11" s="519">
        <f t="shared" si="1"/>
        <v>10848.09808</v>
      </c>
      <c r="AE11" s="519">
        <f t="shared" si="1"/>
        <v>0</v>
      </c>
      <c r="AF11" s="519">
        <f t="shared" si="1"/>
        <v>0</v>
      </c>
      <c r="AG11" s="519">
        <f t="shared" si="1"/>
        <v>0</v>
      </c>
      <c r="AH11" s="519">
        <f t="shared" si="1"/>
        <v>0</v>
      </c>
      <c r="AI11" s="519">
        <f t="shared" si="1"/>
        <v>0</v>
      </c>
      <c r="AJ11" s="519">
        <f t="shared" si="1"/>
        <v>0</v>
      </c>
      <c r="AK11" s="519">
        <f t="shared" si="1"/>
        <v>32680.437303999995</v>
      </c>
      <c r="AL11" s="519">
        <f t="shared" si="1"/>
        <v>22458.936884999996</v>
      </c>
      <c r="AM11" s="519">
        <f t="shared" si="1"/>
        <v>768.24196000000029</v>
      </c>
      <c r="AN11" s="519">
        <f t="shared" si="1"/>
        <v>5836.4774910000015</v>
      </c>
      <c r="AO11" s="519">
        <f t="shared" si="1"/>
        <v>3616.7809679999982</v>
      </c>
      <c r="AP11" s="519">
        <f t="shared" ref="AP11:AP74" si="2">C11+H11-O11-X11-AK11</f>
        <v>9.7741999999525433</v>
      </c>
      <c r="AQ11" s="520">
        <f t="shared" ref="AQ11:AR11" si="3">AQ12+AQ138</f>
        <v>0</v>
      </c>
      <c r="AR11" s="520">
        <f t="shared" si="3"/>
        <v>767.8279600000003</v>
      </c>
    </row>
    <row r="12" spans="1:44" s="84" customFormat="1">
      <c r="A12" s="517" t="s">
        <v>364</v>
      </c>
      <c r="B12" s="518" t="s">
        <v>365</v>
      </c>
      <c r="C12" s="519">
        <f t="shared" ref="C12:AO12" si="4">C13+C34+C131</f>
        <v>42496.774885999992</v>
      </c>
      <c r="D12" s="519">
        <f t="shared" si="4"/>
        <v>17284.713</v>
      </c>
      <c r="E12" s="519">
        <f t="shared" si="4"/>
        <v>2586.1565059999994</v>
      </c>
      <c r="F12" s="519">
        <f t="shared" si="4"/>
        <v>10239.147999999999</v>
      </c>
      <c r="G12" s="519">
        <f t="shared" si="4"/>
        <v>12386.757380000005</v>
      </c>
      <c r="H12" s="519">
        <f t="shared" si="4"/>
        <v>385707</v>
      </c>
      <c r="I12" s="519">
        <f t="shared" si="4"/>
        <v>96107.989999999991</v>
      </c>
      <c r="J12" s="519">
        <f t="shared" si="4"/>
        <v>84027.989999999991</v>
      </c>
      <c r="K12" s="519">
        <f t="shared" si="4"/>
        <v>12080</v>
      </c>
      <c r="L12" s="519">
        <f t="shared" si="4"/>
        <v>289599.01</v>
      </c>
      <c r="M12" s="519">
        <f t="shared" si="4"/>
        <v>196868.01</v>
      </c>
      <c r="N12" s="519">
        <f t="shared" si="4"/>
        <v>92731</v>
      </c>
      <c r="O12" s="519">
        <f t="shared" si="4"/>
        <v>381730.599736</v>
      </c>
      <c r="P12" s="519">
        <f t="shared" ref="P12:P14" si="5">S12+V12</f>
        <v>279673.94530899997</v>
      </c>
      <c r="Q12" s="519">
        <f t="shared" ref="Q12:Q14" si="6">T12+W12</f>
        <v>102056.654427</v>
      </c>
      <c r="R12" s="519">
        <f t="shared" si="4"/>
        <v>90463.206095000001</v>
      </c>
      <c r="S12" s="519">
        <f t="shared" si="4"/>
        <v>79515.769</v>
      </c>
      <c r="T12" s="519">
        <f t="shared" si="4"/>
        <v>10947.437095000001</v>
      </c>
      <c r="U12" s="519">
        <f t="shared" si="4"/>
        <v>291267.39364100003</v>
      </c>
      <c r="V12" s="519">
        <f t="shared" si="4"/>
        <v>200158.176309</v>
      </c>
      <c r="W12" s="519">
        <f t="shared" si="4"/>
        <v>91109.217332</v>
      </c>
      <c r="X12" s="519">
        <f t="shared" si="4"/>
        <v>14853.538530999998</v>
      </c>
      <c r="Y12" s="519">
        <f t="shared" si="4"/>
        <v>3091.1522509999995</v>
      </c>
      <c r="Z12" s="519">
        <f t="shared" si="4"/>
        <v>150.24900000000002</v>
      </c>
      <c r="AA12" s="519">
        <f t="shared" si="4"/>
        <v>2940.9032509999997</v>
      </c>
      <c r="AB12" s="519">
        <f t="shared" si="4"/>
        <v>11762.386279999997</v>
      </c>
      <c r="AC12" s="519">
        <f t="shared" si="4"/>
        <v>1112.5041999999983</v>
      </c>
      <c r="AD12" s="519">
        <f t="shared" si="4"/>
        <v>10649.882079999999</v>
      </c>
      <c r="AE12" s="519">
        <f t="shared" si="4"/>
        <v>0</v>
      </c>
      <c r="AF12" s="519">
        <f t="shared" si="4"/>
        <v>0</v>
      </c>
      <c r="AG12" s="519">
        <f t="shared" si="4"/>
        <v>0</v>
      </c>
      <c r="AH12" s="519">
        <f t="shared" si="4"/>
        <v>0</v>
      </c>
      <c r="AI12" s="519">
        <f t="shared" si="4"/>
        <v>0</v>
      </c>
      <c r="AJ12" s="519">
        <f t="shared" si="4"/>
        <v>0</v>
      </c>
      <c r="AK12" s="519">
        <f t="shared" si="4"/>
        <v>31609.862418999997</v>
      </c>
      <c r="AL12" s="519">
        <f t="shared" si="4"/>
        <v>21646.684999999998</v>
      </c>
      <c r="AM12" s="519">
        <f t="shared" si="4"/>
        <v>768.24196000000029</v>
      </c>
      <c r="AN12" s="519">
        <f t="shared" si="4"/>
        <v>5836.4774910000024</v>
      </c>
      <c r="AO12" s="519">
        <f t="shared" si="4"/>
        <v>3358.4579679999983</v>
      </c>
      <c r="AP12" s="519">
        <f t="shared" si="2"/>
        <v>9.7741999999707332</v>
      </c>
      <c r="AQ12" s="520">
        <f t="shared" ref="AQ12:AR12" si="7">AQ13+AQ34+AQ131</f>
        <v>0</v>
      </c>
      <c r="AR12" s="520">
        <f t="shared" si="7"/>
        <v>767.8279600000003</v>
      </c>
    </row>
    <row r="13" spans="1:44" s="84" customFormat="1">
      <c r="A13" s="517" t="s">
        <v>45</v>
      </c>
      <c r="B13" s="518" t="s">
        <v>366</v>
      </c>
      <c r="C13" s="519">
        <f t="shared" ref="C13:AO13" si="8">SUM(C14:C33)</f>
        <v>11493.953699999998</v>
      </c>
      <c r="D13" s="519">
        <f t="shared" si="8"/>
        <v>124.96100000000001</v>
      </c>
      <c r="E13" s="519">
        <f t="shared" si="8"/>
        <v>1453.0429999999999</v>
      </c>
      <c r="F13" s="519">
        <f t="shared" si="8"/>
        <v>1641.1419999999985</v>
      </c>
      <c r="G13" s="519">
        <f t="shared" si="8"/>
        <v>8274.8077000000012</v>
      </c>
      <c r="H13" s="519">
        <f t="shared" si="8"/>
        <v>127100</v>
      </c>
      <c r="I13" s="519">
        <f t="shared" ref="I13:AD13" si="9">SUM(I14:I33)</f>
        <v>2772</v>
      </c>
      <c r="J13" s="519">
        <f t="shared" si="9"/>
        <v>0</v>
      </c>
      <c r="K13" s="519">
        <f t="shared" si="9"/>
        <v>2772</v>
      </c>
      <c r="L13" s="519">
        <f>SUM(L14:L33)</f>
        <v>124328</v>
      </c>
      <c r="M13" s="519">
        <f t="shared" si="9"/>
        <v>89700</v>
      </c>
      <c r="N13" s="519">
        <f t="shared" si="9"/>
        <v>34628</v>
      </c>
      <c r="O13" s="519">
        <f t="shared" si="9"/>
        <v>124224.627481</v>
      </c>
      <c r="P13" s="519">
        <f t="shared" si="5"/>
        <v>89600.282309000002</v>
      </c>
      <c r="Q13" s="519">
        <f t="shared" si="6"/>
        <v>34624.345171999994</v>
      </c>
      <c r="R13" s="519">
        <f t="shared" si="9"/>
        <v>2031.7538399999999</v>
      </c>
      <c r="S13" s="519">
        <f t="shared" si="9"/>
        <v>0</v>
      </c>
      <c r="T13" s="519">
        <f>SUM(T14:T33)</f>
        <v>2031.7538399999999</v>
      </c>
      <c r="U13" s="519">
        <f>SUM(U14:U33)</f>
        <v>122192.87364100001</v>
      </c>
      <c r="V13" s="519">
        <f t="shared" si="9"/>
        <v>89600.282309000002</v>
      </c>
      <c r="W13" s="519">
        <f t="shared" si="9"/>
        <v>32592.591331999996</v>
      </c>
      <c r="X13" s="519">
        <f t="shared" si="9"/>
        <v>9527.8449999999993</v>
      </c>
      <c r="Y13" s="519">
        <f t="shared" si="9"/>
        <v>1673.4599999999998</v>
      </c>
      <c r="Z13" s="519">
        <f t="shared" si="9"/>
        <v>124.96100000000001</v>
      </c>
      <c r="AA13" s="519">
        <f t="shared" si="9"/>
        <v>1548.4989999999998</v>
      </c>
      <c r="AB13" s="519">
        <f t="shared" si="9"/>
        <v>7854.3849999999984</v>
      </c>
      <c r="AC13" s="519">
        <f t="shared" si="9"/>
        <v>79.633999999998835</v>
      </c>
      <c r="AD13" s="519">
        <f t="shared" si="9"/>
        <v>7774.7510000000002</v>
      </c>
      <c r="AE13" s="519">
        <f t="shared" si="8"/>
        <v>0</v>
      </c>
      <c r="AF13" s="519">
        <f t="shared" si="8"/>
        <v>0</v>
      </c>
      <c r="AG13" s="519">
        <f t="shared" si="8"/>
        <v>0</v>
      </c>
      <c r="AH13" s="519">
        <f t="shared" si="8"/>
        <v>0</v>
      </c>
      <c r="AI13" s="519">
        <f t="shared" si="8"/>
        <v>0</v>
      </c>
      <c r="AJ13" s="519">
        <f t="shared" si="8"/>
        <v>0</v>
      </c>
      <c r="AK13" s="519">
        <f>SUM(AK14:AK33)</f>
        <v>4831.9750189999986</v>
      </c>
      <c r="AL13" s="519">
        <f t="shared" si="8"/>
        <v>0</v>
      </c>
      <c r="AM13" s="519">
        <f t="shared" si="8"/>
        <v>635.28396000000032</v>
      </c>
      <c r="AN13" s="519">
        <f t="shared" si="8"/>
        <v>1661.225690999999</v>
      </c>
      <c r="AO13" s="519">
        <f t="shared" si="8"/>
        <v>2535.4653680000001</v>
      </c>
      <c r="AP13" s="519">
        <f t="shared" si="2"/>
        <v>9.5062000000116313</v>
      </c>
      <c r="AQ13" s="520">
        <f t="shared" ref="AQ13:AR13" si="10">SUM(AQ14:AQ33)</f>
        <v>0</v>
      </c>
      <c r="AR13" s="520">
        <f t="shared" si="10"/>
        <v>635.28396000000032</v>
      </c>
    </row>
    <row r="14" spans="1:44" s="83" customFormat="1" hidden="1" outlineLevel="1">
      <c r="A14" s="521"/>
      <c r="B14" s="522" t="s">
        <v>188</v>
      </c>
      <c r="C14" s="523">
        <f t="shared" ref="C14:C25" si="11">SUM(D14:G14)</f>
        <v>1454.243999999999</v>
      </c>
      <c r="D14" s="523">
        <v>0</v>
      </c>
      <c r="E14" s="523">
        <v>0</v>
      </c>
      <c r="F14" s="523">
        <v>661.04399999999896</v>
      </c>
      <c r="G14" s="523">
        <v>793.2</v>
      </c>
      <c r="H14" s="523">
        <f t="shared" ref="H14:H33" si="12">I14+L14</f>
        <v>7656</v>
      </c>
      <c r="I14" s="523">
        <f t="shared" ref="I14:I19" si="13">J14+K14</f>
        <v>0</v>
      </c>
      <c r="J14" s="523"/>
      <c r="K14" s="523">
        <v>0</v>
      </c>
      <c r="L14" s="523">
        <f t="shared" ref="L14:L23" si="14">M14+N14</f>
        <v>7656</v>
      </c>
      <c r="M14" s="523">
        <v>3610</v>
      </c>
      <c r="N14" s="523">
        <v>4046</v>
      </c>
      <c r="O14" s="523">
        <f t="shared" ref="O14:O28" si="15">R14+U14</f>
        <v>7494.5330000000004</v>
      </c>
      <c r="P14" s="543">
        <f t="shared" si="5"/>
        <v>3684.3389999999999</v>
      </c>
      <c r="Q14" s="543">
        <f t="shared" si="6"/>
        <v>3810.1940000000004</v>
      </c>
      <c r="R14" s="523"/>
      <c r="S14" s="523"/>
      <c r="T14" s="523"/>
      <c r="U14" s="523">
        <f>V14+W14</f>
        <v>7494.5330000000004</v>
      </c>
      <c r="V14" s="523">
        <v>3684.3389999999999</v>
      </c>
      <c r="W14" s="523">
        <f>575.702+3223.492+11</f>
        <v>3810.1940000000004</v>
      </c>
      <c r="X14" s="523">
        <f t="shared" ref="X14:X32" si="16">Y14+AB14+AE14+AH14</f>
        <v>801.06399999999996</v>
      </c>
      <c r="Y14" s="523">
        <f t="shared" ref="Y14:Y24" si="17">Z14+AA14</f>
        <v>0</v>
      </c>
      <c r="Z14" s="523"/>
      <c r="AA14" s="523"/>
      <c r="AB14" s="523">
        <f t="shared" ref="AB14:AB23" si="18">AC14+AD14</f>
        <v>801.06399999999996</v>
      </c>
      <c r="AC14" s="523">
        <v>19</v>
      </c>
      <c r="AD14" s="523">
        <f>801.064-19</f>
        <v>782.06399999999996</v>
      </c>
      <c r="AE14" s="523">
        <f t="shared" ref="AE14:AE24" si="19">AF14+AG14</f>
        <v>0</v>
      </c>
      <c r="AF14" s="523"/>
      <c r="AG14" s="523"/>
      <c r="AH14" s="523">
        <f t="shared" ref="AH14:AH20" si="20">AI14+AJ14</f>
        <v>0</v>
      </c>
      <c r="AI14" s="523"/>
      <c r="AJ14" s="523"/>
      <c r="AK14" s="523">
        <f t="shared" ref="AK14:AK80" si="21">SUM(AL14:AO14)</f>
        <v>814.64699999999846</v>
      </c>
      <c r="AL14" s="523">
        <f t="shared" ref="AL14:AM29" si="22">D14+J14-S14-Z14-AF14</f>
        <v>0</v>
      </c>
      <c r="AM14" s="523">
        <f t="shared" si="22"/>
        <v>0</v>
      </c>
      <c r="AN14" s="523">
        <f t="shared" ref="AN14:AO31" si="23">F14+M14-V14-AC14-AI14</f>
        <v>567.70499999999902</v>
      </c>
      <c r="AO14" s="523">
        <f t="shared" si="23"/>
        <v>246.94199999999944</v>
      </c>
      <c r="AP14" s="523">
        <f t="shared" si="2"/>
        <v>0</v>
      </c>
      <c r="AQ14" s="524"/>
      <c r="AR14" s="524"/>
    </row>
    <row r="15" spans="1:44" s="83" customFormat="1" hidden="1" outlineLevel="1">
      <c r="A15" s="521"/>
      <c r="B15" s="522" t="s">
        <v>200</v>
      </c>
      <c r="C15" s="523">
        <f t="shared" si="11"/>
        <v>747.83469999999977</v>
      </c>
      <c r="D15" s="523">
        <v>0</v>
      </c>
      <c r="E15" s="523">
        <v>0</v>
      </c>
      <c r="F15" s="523">
        <v>71.87</v>
      </c>
      <c r="G15" s="523">
        <v>675.96469999999977</v>
      </c>
      <c r="H15" s="523">
        <f t="shared" si="12"/>
        <v>10719</v>
      </c>
      <c r="I15" s="523">
        <f t="shared" si="13"/>
        <v>0</v>
      </c>
      <c r="J15" s="523"/>
      <c r="K15" s="523">
        <v>0</v>
      </c>
      <c r="L15" s="523">
        <f t="shared" si="14"/>
        <v>10719</v>
      </c>
      <c r="M15" s="523">
        <v>7220</v>
      </c>
      <c r="N15" s="523">
        <v>3499</v>
      </c>
      <c r="O15" s="523">
        <f t="shared" si="15"/>
        <v>10032.02</v>
      </c>
      <c r="P15" s="543">
        <f t="shared" ref="P15:P78" si="24">S15+V15</f>
        <v>7189.18</v>
      </c>
      <c r="Q15" s="543">
        <f t="shared" ref="Q15:Q78" si="25">T15+W15</f>
        <v>2842.84</v>
      </c>
      <c r="R15" s="523"/>
      <c r="S15" s="523"/>
      <c r="T15" s="523"/>
      <c r="U15" s="523">
        <f>V15+W15</f>
        <v>10032.02</v>
      </c>
      <c r="V15" s="523">
        <f>71.87+7117.31</f>
        <v>7189.18</v>
      </c>
      <c r="W15" s="523">
        <v>2842.84</v>
      </c>
      <c r="X15" s="523">
        <f t="shared" si="16"/>
        <v>226</v>
      </c>
      <c r="Y15" s="523">
        <f t="shared" si="17"/>
        <v>0</v>
      </c>
      <c r="Z15" s="523"/>
      <c r="AA15" s="523"/>
      <c r="AB15" s="523">
        <f t="shared" si="18"/>
        <v>226</v>
      </c>
      <c r="AC15" s="523"/>
      <c r="AD15" s="523">
        <v>226</v>
      </c>
      <c r="AE15" s="523">
        <f t="shared" si="19"/>
        <v>0</v>
      </c>
      <c r="AF15" s="523"/>
      <c r="AG15" s="523"/>
      <c r="AH15" s="523">
        <f t="shared" si="20"/>
        <v>0</v>
      </c>
      <c r="AI15" s="523"/>
      <c r="AJ15" s="523"/>
      <c r="AK15" s="523">
        <f t="shared" si="21"/>
        <v>1208.814699999999</v>
      </c>
      <c r="AL15" s="523">
        <f t="shared" si="22"/>
        <v>0</v>
      </c>
      <c r="AM15" s="523">
        <f t="shared" si="22"/>
        <v>0</v>
      </c>
      <c r="AN15" s="523">
        <f t="shared" si="23"/>
        <v>102.6899999999996</v>
      </c>
      <c r="AO15" s="523">
        <f t="shared" si="23"/>
        <v>1106.1246999999994</v>
      </c>
      <c r="AP15" s="523">
        <f t="shared" si="2"/>
        <v>0</v>
      </c>
      <c r="AQ15" s="524"/>
      <c r="AR15" s="524"/>
    </row>
    <row r="16" spans="1:44" s="83" customFormat="1" hidden="1" outlineLevel="1">
      <c r="A16" s="521"/>
      <c r="B16" s="522" t="s">
        <v>197</v>
      </c>
      <c r="C16" s="523">
        <f t="shared" si="11"/>
        <v>620.08000000000072</v>
      </c>
      <c r="D16" s="523">
        <v>0</v>
      </c>
      <c r="E16" s="523">
        <v>0</v>
      </c>
      <c r="F16" s="523">
        <v>51.390000000000555</v>
      </c>
      <c r="G16" s="523">
        <v>568.69000000000017</v>
      </c>
      <c r="H16" s="523">
        <f t="shared" si="12"/>
        <v>9667</v>
      </c>
      <c r="I16" s="523">
        <f t="shared" si="13"/>
        <v>0</v>
      </c>
      <c r="J16" s="523"/>
      <c r="K16" s="523">
        <v>0</v>
      </c>
      <c r="L16" s="523">
        <f t="shared" si="14"/>
        <v>9667</v>
      </c>
      <c r="M16" s="523">
        <v>6565</v>
      </c>
      <c r="N16" s="523">
        <v>3102</v>
      </c>
      <c r="O16" s="523">
        <f t="shared" si="15"/>
        <v>9633.4259999999995</v>
      </c>
      <c r="P16" s="543">
        <f t="shared" si="24"/>
        <v>6555.4259999999995</v>
      </c>
      <c r="Q16" s="543">
        <f t="shared" si="25"/>
        <v>3078</v>
      </c>
      <c r="R16" s="523"/>
      <c r="S16" s="523"/>
      <c r="T16" s="523"/>
      <c r="U16" s="523">
        <f>V16+W16</f>
        <v>9633.4259999999995</v>
      </c>
      <c r="V16" s="523">
        <f>6545.227+10.199</f>
        <v>6555.4259999999995</v>
      </c>
      <c r="W16" s="523">
        <f>3078</f>
        <v>3078</v>
      </c>
      <c r="X16" s="523">
        <f t="shared" si="16"/>
        <v>609.84100000000001</v>
      </c>
      <c r="Y16" s="523">
        <f t="shared" si="17"/>
        <v>0</v>
      </c>
      <c r="Z16" s="523"/>
      <c r="AA16" s="523"/>
      <c r="AB16" s="523">
        <f t="shared" si="18"/>
        <v>609.84100000000001</v>
      </c>
      <c r="AC16" s="523">
        <v>41.154000000000003</v>
      </c>
      <c r="AD16" s="523">
        <f>648.687-AD182</f>
        <v>568.68700000000001</v>
      </c>
      <c r="AE16" s="523">
        <f t="shared" si="19"/>
        <v>0</v>
      </c>
      <c r="AF16" s="523"/>
      <c r="AG16" s="523"/>
      <c r="AH16" s="523">
        <f t="shared" si="20"/>
        <v>0</v>
      </c>
      <c r="AI16" s="523"/>
      <c r="AJ16" s="523"/>
      <c r="AK16" s="523">
        <f t="shared" si="21"/>
        <v>43.813000000000891</v>
      </c>
      <c r="AL16" s="523">
        <f t="shared" si="22"/>
        <v>0</v>
      </c>
      <c r="AM16" s="523">
        <f t="shared" si="22"/>
        <v>0</v>
      </c>
      <c r="AN16" s="523">
        <f t="shared" si="23"/>
        <v>19.810000000000848</v>
      </c>
      <c r="AO16" s="523">
        <f t="shared" si="23"/>
        <v>24.003000000000043</v>
      </c>
      <c r="AP16" s="523">
        <f t="shared" si="2"/>
        <v>-4.4764192352886312E-13</v>
      </c>
      <c r="AQ16" s="524"/>
      <c r="AR16" s="524"/>
    </row>
    <row r="17" spans="1:44" s="83" customFormat="1" hidden="1" outlineLevel="1">
      <c r="A17" s="521"/>
      <c r="B17" s="522" t="s">
        <v>198</v>
      </c>
      <c r="C17" s="523">
        <f t="shared" si="11"/>
        <v>931.12099999999998</v>
      </c>
      <c r="D17" s="523">
        <v>0</v>
      </c>
      <c r="E17" s="523">
        <v>0</v>
      </c>
      <c r="F17" s="523">
        <v>7.999999999992724E-2</v>
      </c>
      <c r="G17" s="523">
        <v>931.04100000000005</v>
      </c>
      <c r="H17" s="523">
        <f t="shared" si="12"/>
        <v>10490</v>
      </c>
      <c r="I17" s="523">
        <f t="shared" si="13"/>
        <v>0</v>
      </c>
      <c r="J17" s="523"/>
      <c r="K17" s="523">
        <v>0</v>
      </c>
      <c r="L17" s="523">
        <f t="shared" si="14"/>
        <v>10490</v>
      </c>
      <c r="M17" s="523">
        <v>7650</v>
      </c>
      <c r="N17" s="523">
        <v>2840</v>
      </c>
      <c r="O17" s="523">
        <f t="shared" si="15"/>
        <v>10376.909</v>
      </c>
      <c r="P17" s="543">
        <f t="shared" si="24"/>
        <v>7650</v>
      </c>
      <c r="Q17" s="543">
        <f t="shared" si="25"/>
        <v>2726.9090000000001</v>
      </c>
      <c r="R17" s="523"/>
      <c r="S17" s="523"/>
      <c r="T17" s="523"/>
      <c r="U17" s="523">
        <f>V17+W17</f>
        <v>10376.909</v>
      </c>
      <c r="V17" s="523">
        <v>7650</v>
      </c>
      <c r="W17" s="523">
        <v>2726.9090000000001</v>
      </c>
      <c r="X17" s="523">
        <f t="shared" si="16"/>
        <v>931</v>
      </c>
      <c r="Y17" s="523">
        <f t="shared" si="17"/>
        <v>0</v>
      </c>
      <c r="Z17" s="523"/>
      <c r="AA17" s="523"/>
      <c r="AB17" s="523">
        <f t="shared" si="18"/>
        <v>931</v>
      </c>
      <c r="AC17" s="523"/>
      <c r="AD17" s="523">
        <v>931</v>
      </c>
      <c r="AE17" s="523">
        <f t="shared" si="19"/>
        <v>0</v>
      </c>
      <c r="AF17" s="523"/>
      <c r="AG17" s="523"/>
      <c r="AH17" s="523">
        <f t="shared" si="20"/>
        <v>0</v>
      </c>
      <c r="AI17" s="523"/>
      <c r="AJ17" s="523"/>
      <c r="AK17" s="523">
        <f t="shared" si="21"/>
        <v>113.21199999999999</v>
      </c>
      <c r="AL17" s="523">
        <f t="shared" si="22"/>
        <v>0</v>
      </c>
      <c r="AM17" s="523">
        <f t="shared" si="22"/>
        <v>0</v>
      </c>
      <c r="AN17" s="523">
        <f t="shared" si="23"/>
        <v>7.999999999992724E-2</v>
      </c>
      <c r="AO17" s="523">
        <f t="shared" si="23"/>
        <v>113.13200000000006</v>
      </c>
      <c r="AP17" s="523">
        <f t="shared" si="2"/>
        <v>-4.5474735088646412E-13</v>
      </c>
      <c r="AQ17" s="524"/>
      <c r="AR17" s="524"/>
    </row>
    <row r="18" spans="1:44" s="83" customFormat="1" hidden="1" outlineLevel="1">
      <c r="A18" s="521"/>
      <c r="B18" s="522" t="s">
        <v>194</v>
      </c>
      <c r="C18" s="523">
        <f t="shared" si="11"/>
        <v>1261.0699999999997</v>
      </c>
      <c r="D18" s="523">
        <v>0</v>
      </c>
      <c r="E18" s="523">
        <v>0</v>
      </c>
      <c r="F18" s="525">
        <v>262.40999999999985</v>
      </c>
      <c r="G18" s="523">
        <v>998.65999999999985</v>
      </c>
      <c r="H18" s="523">
        <f t="shared" si="12"/>
        <v>19085</v>
      </c>
      <c r="I18" s="523">
        <f t="shared" si="13"/>
        <v>0</v>
      </c>
      <c r="J18" s="523"/>
      <c r="K18" s="523">
        <v>0</v>
      </c>
      <c r="L18" s="523">
        <f t="shared" si="14"/>
        <v>19085</v>
      </c>
      <c r="M18" s="523">
        <v>14440</v>
      </c>
      <c r="N18" s="523">
        <v>4645</v>
      </c>
      <c r="O18" s="523">
        <f t="shared" si="15"/>
        <v>18908.86</v>
      </c>
      <c r="P18" s="543">
        <f t="shared" si="24"/>
        <v>14462.08</v>
      </c>
      <c r="Q18" s="543">
        <f t="shared" si="25"/>
        <v>4446.78</v>
      </c>
      <c r="R18" s="523">
        <f>S18+T18</f>
        <v>0</v>
      </c>
      <c r="S18" s="523"/>
      <c r="T18" s="523"/>
      <c r="U18" s="523">
        <f>V18+W18</f>
        <v>18908.86</v>
      </c>
      <c r="V18" s="523">
        <v>14462.08</v>
      </c>
      <c r="W18" s="523">
        <v>4446.78</v>
      </c>
      <c r="X18" s="523">
        <f t="shared" si="16"/>
        <v>998.66</v>
      </c>
      <c r="Y18" s="523">
        <f t="shared" si="17"/>
        <v>0</v>
      </c>
      <c r="Z18" s="523"/>
      <c r="AA18" s="523"/>
      <c r="AB18" s="523">
        <f t="shared" si="18"/>
        <v>998.66</v>
      </c>
      <c r="AC18" s="523"/>
      <c r="AD18" s="523">
        <v>998.66</v>
      </c>
      <c r="AE18" s="523">
        <f t="shared" si="19"/>
        <v>0</v>
      </c>
      <c r="AF18" s="523"/>
      <c r="AG18" s="523"/>
      <c r="AH18" s="523">
        <f t="shared" si="20"/>
        <v>0</v>
      </c>
      <c r="AI18" s="523"/>
      <c r="AJ18" s="523"/>
      <c r="AK18" s="523">
        <f t="shared" si="21"/>
        <v>438.55000000000007</v>
      </c>
      <c r="AL18" s="523">
        <f t="shared" si="22"/>
        <v>0</v>
      </c>
      <c r="AM18" s="523">
        <f t="shared" si="22"/>
        <v>0</v>
      </c>
      <c r="AN18" s="525">
        <f t="shared" si="23"/>
        <v>240.32999999999993</v>
      </c>
      <c r="AO18" s="523">
        <f t="shared" si="23"/>
        <v>198.22000000000014</v>
      </c>
      <c r="AP18" s="523">
        <f t="shared" si="2"/>
        <v>-9.0949470177292824E-13</v>
      </c>
      <c r="AQ18" s="524"/>
      <c r="AR18" s="524"/>
    </row>
    <row r="19" spans="1:44" s="83" customFormat="1" hidden="1" outlineLevel="1">
      <c r="A19" s="521"/>
      <c r="B19" s="522" t="s">
        <v>195</v>
      </c>
      <c r="C19" s="523">
        <f t="shared" si="11"/>
        <v>520.15599999999995</v>
      </c>
      <c r="D19" s="523">
        <v>0</v>
      </c>
      <c r="E19" s="523">
        <v>0</v>
      </c>
      <c r="F19" s="523">
        <v>0</v>
      </c>
      <c r="G19" s="523">
        <v>520.15599999999995</v>
      </c>
      <c r="H19" s="523">
        <f t="shared" si="12"/>
        <v>15157</v>
      </c>
      <c r="I19" s="523">
        <f t="shared" si="13"/>
        <v>0</v>
      </c>
      <c r="J19" s="523"/>
      <c r="K19" s="523">
        <v>0</v>
      </c>
      <c r="L19" s="523">
        <f t="shared" si="14"/>
        <v>15157</v>
      </c>
      <c r="M19" s="523">
        <v>11490</v>
      </c>
      <c r="N19" s="523">
        <f>3605+62</f>
        <v>3667</v>
      </c>
      <c r="O19" s="523">
        <f t="shared" si="15"/>
        <v>14964.976999999999</v>
      </c>
      <c r="P19" s="543">
        <f t="shared" si="24"/>
        <v>11427.121999999999</v>
      </c>
      <c r="Q19" s="543">
        <f t="shared" si="25"/>
        <v>3537.855</v>
      </c>
      <c r="R19" s="523"/>
      <c r="S19" s="523"/>
      <c r="T19" s="523"/>
      <c r="U19" s="523">
        <f>SUM(V19:W19)</f>
        <v>14964.976999999999</v>
      </c>
      <c r="V19" s="523">
        <v>11427.121999999999</v>
      </c>
      <c r="W19" s="523">
        <f>3477.358+60.497</f>
        <v>3537.855</v>
      </c>
      <c r="X19" s="523">
        <f t="shared" si="16"/>
        <v>495.8</v>
      </c>
      <c r="Y19" s="523">
        <f t="shared" si="17"/>
        <v>0</v>
      </c>
      <c r="Z19" s="523"/>
      <c r="AA19" s="523"/>
      <c r="AB19" s="523">
        <f t="shared" si="18"/>
        <v>495.8</v>
      </c>
      <c r="AC19" s="523"/>
      <c r="AD19" s="523">
        <v>495.8</v>
      </c>
      <c r="AE19" s="523">
        <f t="shared" si="19"/>
        <v>0</v>
      </c>
      <c r="AF19" s="523"/>
      <c r="AG19" s="523"/>
      <c r="AH19" s="523">
        <f t="shared" si="20"/>
        <v>0</v>
      </c>
      <c r="AI19" s="523"/>
      <c r="AJ19" s="523"/>
      <c r="AK19" s="523">
        <f t="shared" si="21"/>
        <v>216.37900000000053</v>
      </c>
      <c r="AL19" s="523">
        <f t="shared" si="22"/>
        <v>0</v>
      </c>
      <c r="AM19" s="523">
        <f t="shared" si="22"/>
        <v>0</v>
      </c>
      <c r="AN19" s="523">
        <f t="shared" si="23"/>
        <v>62.878000000000611</v>
      </c>
      <c r="AO19" s="523">
        <f t="shared" si="23"/>
        <v>153.50099999999992</v>
      </c>
      <c r="AP19" s="523">
        <f t="shared" si="2"/>
        <v>-4.5474735088646412E-13</v>
      </c>
      <c r="AQ19" s="524"/>
      <c r="AR19" s="524"/>
    </row>
    <row r="20" spans="1:44" s="83" customFormat="1" hidden="1" outlineLevel="1">
      <c r="A20" s="521"/>
      <c r="B20" s="522" t="s">
        <v>199</v>
      </c>
      <c r="C20" s="523">
        <f t="shared" si="11"/>
        <v>217.68100000000041</v>
      </c>
      <c r="D20" s="523">
        <v>0</v>
      </c>
      <c r="E20" s="523">
        <v>0</v>
      </c>
      <c r="F20" s="523">
        <v>87.868000000000393</v>
      </c>
      <c r="G20" s="523">
        <v>129.81300000000002</v>
      </c>
      <c r="H20" s="523">
        <f t="shared" si="12"/>
        <v>6781</v>
      </c>
      <c r="I20" s="523"/>
      <c r="J20" s="523"/>
      <c r="K20" s="523"/>
      <c r="L20" s="523">
        <f t="shared" si="14"/>
        <v>6781</v>
      </c>
      <c r="M20" s="523">
        <v>4925</v>
      </c>
      <c r="N20" s="523">
        <f>1918-62</f>
        <v>1856</v>
      </c>
      <c r="O20" s="523">
        <f t="shared" si="15"/>
        <v>6417.1786410000004</v>
      </c>
      <c r="P20" s="543">
        <f t="shared" si="24"/>
        <v>4923.7253090000004</v>
      </c>
      <c r="Q20" s="543">
        <f t="shared" si="25"/>
        <v>1493.453332</v>
      </c>
      <c r="R20" s="523"/>
      <c r="S20" s="523"/>
      <c r="T20" s="523"/>
      <c r="U20" s="523">
        <f>V20+W20</f>
        <v>6417.1786410000004</v>
      </c>
      <c r="V20" s="523">
        <v>4923.7253090000004</v>
      </c>
      <c r="W20" s="523">
        <f>1489.783332+3.67</f>
        <v>1493.453332</v>
      </c>
      <c r="X20" s="523">
        <f t="shared" si="16"/>
        <v>115.15</v>
      </c>
      <c r="Y20" s="523">
        <f t="shared" si="17"/>
        <v>0</v>
      </c>
      <c r="Z20" s="523"/>
      <c r="AA20" s="523"/>
      <c r="AB20" s="523">
        <f t="shared" si="18"/>
        <v>115.15</v>
      </c>
      <c r="AC20" s="523"/>
      <c r="AD20" s="523">
        <v>115.15</v>
      </c>
      <c r="AE20" s="523">
        <f t="shared" si="19"/>
        <v>0</v>
      </c>
      <c r="AF20" s="523"/>
      <c r="AG20" s="523"/>
      <c r="AH20" s="523">
        <f t="shared" si="20"/>
        <v>0</v>
      </c>
      <c r="AI20" s="523"/>
      <c r="AJ20" s="523"/>
      <c r="AK20" s="523">
        <f t="shared" si="21"/>
        <v>466.35235900000009</v>
      </c>
      <c r="AL20" s="523">
        <f t="shared" si="22"/>
        <v>0</v>
      </c>
      <c r="AM20" s="523">
        <f t="shared" si="22"/>
        <v>0</v>
      </c>
      <c r="AN20" s="523">
        <f t="shared" si="23"/>
        <v>89.142691000000013</v>
      </c>
      <c r="AO20" s="523">
        <f t="shared" si="23"/>
        <v>377.20966800000008</v>
      </c>
      <c r="AP20" s="523">
        <f t="shared" si="2"/>
        <v>0</v>
      </c>
      <c r="AQ20" s="524"/>
      <c r="AR20" s="524"/>
    </row>
    <row r="21" spans="1:44" s="83" customFormat="1" hidden="1" outlineLevel="1">
      <c r="A21" s="521"/>
      <c r="B21" s="522" t="s">
        <v>196</v>
      </c>
      <c r="C21" s="523">
        <f t="shared" si="11"/>
        <v>1637.6899999999998</v>
      </c>
      <c r="D21" s="523">
        <v>0</v>
      </c>
      <c r="E21" s="523">
        <v>0</v>
      </c>
      <c r="F21" s="523">
        <v>429.44999999999982</v>
      </c>
      <c r="G21" s="523">
        <v>1208.24</v>
      </c>
      <c r="H21" s="523">
        <f t="shared" si="12"/>
        <v>9490</v>
      </c>
      <c r="I21" s="523">
        <f t="shared" ref="I21:I33" si="26">J21+K21</f>
        <v>0</v>
      </c>
      <c r="J21" s="523"/>
      <c r="K21" s="523">
        <v>0</v>
      </c>
      <c r="L21" s="523">
        <f t="shared" si="14"/>
        <v>9490</v>
      </c>
      <c r="M21" s="523">
        <v>6890</v>
      </c>
      <c r="N21" s="523">
        <v>2600</v>
      </c>
      <c r="O21" s="523">
        <f t="shared" si="15"/>
        <v>9842.9</v>
      </c>
      <c r="P21" s="543">
        <f t="shared" si="24"/>
        <v>7295.12</v>
      </c>
      <c r="Q21" s="543">
        <f t="shared" si="25"/>
        <v>2547.7800000000002</v>
      </c>
      <c r="R21" s="523"/>
      <c r="S21" s="523"/>
      <c r="T21" s="523"/>
      <c r="U21" s="523">
        <f>V21+W21</f>
        <v>9842.9</v>
      </c>
      <c r="V21" s="523">
        <v>7295.12</v>
      </c>
      <c r="W21" s="523">
        <v>2547.7800000000002</v>
      </c>
      <c r="X21" s="523">
        <f t="shared" si="16"/>
        <v>1226.75</v>
      </c>
      <c r="Y21" s="523">
        <f t="shared" si="17"/>
        <v>0</v>
      </c>
      <c r="Z21" s="523"/>
      <c r="AA21" s="523"/>
      <c r="AB21" s="523">
        <f t="shared" si="18"/>
        <v>1226.75</v>
      </c>
      <c r="AC21" s="523">
        <v>18.45</v>
      </c>
      <c r="AD21" s="523">
        <v>1208.3</v>
      </c>
      <c r="AE21" s="523">
        <f t="shared" si="19"/>
        <v>0</v>
      </c>
      <c r="AF21" s="523"/>
      <c r="AG21" s="523"/>
      <c r="AH21" s="523"/>
      <c r="AI21" s="523"/>
      <c r="AJ21" s="523"/>
      <c r="AK21" s="523">
        <f t="shared" si="21"/>
        <v>58.039999999999552</v>
      </c>
      <c r="AL21" s="523">
        <f t="shared" si="22"/>
        <v>0</v>
      </c>
      <c r="AM21" s="523">
        <f t="shared" si="22"/>
        <v>0</v>
      </c>
      <c r="AN21" s="523">
        <f t="shared" si="23"/>
        <v>5.879999999999928</v>
      </c>
      <c r="AO21" s="523">
        <f t="shared" si="23"/>
        <v>52.159999999999627</v>
      </c>
      <c r="AP21" s="523">
        <f t="shared" si="2"/>
        <v>1.3216094885137863E-12</v>
      </c>
      <c r="AQ21" s="524"/>
      <c r="AR21" s="524"/>
    </row>
    <row r="22" spans="1:44" s="83" customFormat="1" hidden="1" outlineLevel="1">
      <c r="A22" s="521"/>
      <c r="B22" s="522" t="s">
        <v>193</v>
      </c>
      <c r="C22" s="523">
        <f t="shared" si="11"/>
        <v>1256.7999999999988</v>
      </c>
      <c r="D22" s="523">
        <v>0</v>
      </c>
      <c r="E22" s="523">
        <v>0</v>
      </c>
      <c r="F22" s="523">
        <v>1.0299999999988358</v>
      </c>
      <c r="G22" s="523">
        <v>1255.77</v>
      </c>
      <c r="H22" s="523">
        <f t="shared" si="12"/>
        <v>16538</v>
      </c>
      <c r="I22" s="523">
        <f t="shared" si="26"/>
        <v>0</v>
      </c>
      <c r="J22" s="523"/>
      <c r="K22" s="523">
        <v>0</v>
      </c>
      <c r="L22" s="523">
        <f t="shared" si="14"/>
        <v>16538</v>
      </c>
      <c r="M22" s="523">
        <v>12470</v>
      </c>
      <c r="N22" s="523">
        <v>4068</v>
      </c>
      <c r="O22" s="523">
        <f t="shared" si="15"/>
        <v>16254</v>
      </c>
      <c r="P22" s="543">
        <f t="shared" si="24"/>
        <v>12378.75</v>
      </c>
      <c r="Q22" s="543">
        <f t="shared" si="25"/>
        <v>3875.25</v>
      </c>
      <c r="R22" s="523"/>
      <c r="S22" s="523"/>
      <c r="T22" s="523"/>
      <c r="U22" s="523">
        <f>V22+W22</f>
        <v>16254</v>
      </c>
      <c r="V22" s="523">
        <v>12378.75</v>
      </c>
      <c r="W22" s="523">
        <v>3875.25</v>
      </c>
      <c r="X22" s="523">
        <f t="shared" si="16"/>
        <v>1256.8199999999988</v>
      </c>
      <c r="Y22" s="523">
        <f t="shared" si="17"/>
        <v>0</v>
      </c>
      <c r="Z22" s="523"/>
      <c r="AA22" s="523"/>
      <c r="AB22" s="523">
        <f t="shared" si="18"/>
        <v>1256.8199999999988</v>
      </c>
      <c r="AC22" s="523">
        <v>1.0299999999988358</v>
      </c>
      <c r="AD22" s="523">
        <v>1255.79</v>
      </c>
      <c r="AE22" s="523">
        <f t="shared" si="19"/>
        <v>0</v>
      </c>
      <c r="AF22" s="523"/>
      <c r="AG22" s="523"/>
      <c r="AH22" s="523"/>
      <c r="AI22" s="523"/>
      <c r="AJ22" s="523"/>
      <c r="AK22" s="523">
        <f t="shared" si="21"/>
        <v>283.98000000000047</v>
      </c>
      <c r="AL22" s="523">
        <f t="shared" si="22"/>
        <v>0</v>
      </c>
      <c r="AM22" s="523">
        <f t="shared" si="22"/>
        <v>0</v>
      </c>
      <c r="AN22" s="523">
        <f t="shared" si="23"/>
        <v>91.25</v>
      </c>
      <c r="AO22" s="523">
        <f t="shared" si="23"/>
        <v>192.73000000000047</v>
      </c>
      <c r="AP22" s="523">
        <f t="shared" si="2"/>
        <v>0</v>
      </c>
      <c r="AQ22" s="524"/>
      <c r="AR22" s="524"/>
    </row>
    <row r="23" spans="1:44" s="83" customFormat="1" hidden="1" outlineLevel="1">
      <c r="A23" s="521"/>
      <c r="B23" s="522" t="s">
        <v>192</v>
      </c>
      <c r="C23" s="523">
        <f t="shared" si="11"/>
        <v>1269.2730000000001</v>
      </c>
      <c r="D23" s="523">
        <v>0</v>
      </c>
      <c r="E23" s="523">
        <v>0</v>
      </c>
      <c r="F23" s="523">
        <v>76</v>
      </c>
      <c r="G23" s="523">
        <v>1193.2730000000001</v>
      </c>
      <c r="H23" s="523">
        <f t="shared" si="12"/>
        <v>18745</v>
      </c>
      <c r="I23" s="523">
        <f t="shared" si="26"/>
        <v>0</v>
      </c>
      <c r="J23" s="523"/>
      <c r="K23" s="523">
        <v>0</v>
      </c>
      <c r="L23" s="523">
        <f t="shared" si="14"/>
        <v>18745</v>
      </c>
      <c r="M23" s="523">
        <v>14440</v>
      </c>
      <c r="N23" s="523">
        <v>4305</v>
      </c>
      <c r="O23" s="523">
        <f t="shared" si="15"/>
        <v>18268.07</v>
      </c>
      <c r="P23" s="543">
        <f t="shared" si="24"/>
        <v>14034.54</v>
      </c>
      <c r="Q23" s="543">
        <f t="shared" si="25"/>
        <v>4233.53</v>
      </c>
      <c r="R23" s="523"/>
      <c r="S23" s="523"/>
      <c r="T23" s="523"/>
      <c r="U23" s="523">
        <f>V23+W23</f>
        <v>18268.07</v>
      </c>
      <c r="V23" s="523">
        <v>14034.54</v>
      </c>
      <c r="W23" s="523">
        <v>4233.53</v>
      </c>
      <c r="X23" s="523">
        <f t="shared" si="16"/>
        <v>1193.3</v>
      </c>
      <c r="Y23" s="523">
        <f t="shared" si="17"/>
        <v>0</v>
      </c>
      <c r="Z23" s="523"/>
      <c r="AA23" s="523"/>
      <c r="AB23" s="523">
        <f t="shared" si="18"/>
        <v>1193.3</v>
      </c>
      <c r="AC23" s="523"/>
      <c r="AD23" s="523">
        <v>1193.3</v>
      </c>
      <c r="AE23" s="523">
        <f t="shared" si="19"/>
        <v>0</v>
      </c>
      <c r="AF23" s="523"/>
      <c r="AG23" s="523"/>
      <c r="AH23" s="523"/>
      <c r="AI23" s="523"/>
      <c r="AJ23" s="523"/>
      <c r="AK23" s="523">
        <f t="shared" si="21"/>
        <v>552.90299999999957</v>
      </c>
      <c r="AL23" s="523">
        <f t="shared" si="22"/>
        <v>0</v>
      </c>
      <c r="AM23" s="523">
        <f t="shared" si="22"/>
        <v>0</v>
      </c>
      <c r="AN23" s="523">
        <f t="shared" si="23"/>
        <v>481.45999999999913</v>
      </c>
      <c r="AO23" s="523">
        <f t="shared" si="23"/>
        <v>71.443000000000438</v>
      </c>
      <c r="AP23" s="523">
        <f t="shared" si="2"/>
        <v>1.8189894035458565E-12</v>
      </c>
      <c r="AQ23" s="524"/>
      <c r="AR23" s="524"/>
    </row>
    <row r="24" spans="1:44" s="83" customFormat="1" hidden="1" outlineLevel="1">
      <c r="A24" s="526"/>
      <c r="B24" s="527" t="s">
        <v>177</v>
      </c>
      <c r="C24" s="528">
        <f t="shared" si="11"/>
        <v>0</v>
      </c>
      <c r="D24" s="528">
        <v>0</v>
      </c>
      <c r="E24" s="528"/>
      <c r="F24" s="528">
        <v>0</v>
      </c>
      <c r="G24" s="528">
        <v>0</v>
      </c>
      <c r="H24" s="528">
        <f t="shared" si="12"/>
        <v>700</v>
      </c>
      <c r="I24" s="528">
        <f t="shared" si="26"/>
        <v>700</v>
      </c>
      <c r="J24" s="528"/>
      <c r="K24" s="528">
        <v>700</v>
      </c>
      <c r="L24" s="528">
        <v>0</v>
      </c>
      <c r="M24" s="528"/>
      <c r="N24" s="528">
        <v>0</v>
      </c>
      <c r="O24" s="523">
        <f t="shared" si="15"/>
        <v>674.88199999999995</v>
      </c>
      <c r="P24" s="543">
        <f t="shared" si="24"/>
        <v>0</v>
      </c>
      <c r="Q24" s="543">
        <f t="shared" si="25"/>
        <v>674.88199999999995</v>
      </c>
      <c r="R24" s="528">
        <f t="shared" ref="R24:R26" si="27">S24+T24</f>
        <v>674.88199999999995</v>
      </c>
      <c r="S24" s="528"/>
      <c r="T24" s="528">
        <v>674.88199999999995</v>
      </c>
      <c r="U24" s="528"/>
      <c r="V24" s="528"/>
      <c r="W24" s="528"/>
      <c r="X24" s="528">
        <f t="shared" si="16"/>
        <v>0</v>
      </c>
      <c r="Y24" s="528">
        <f t="shared" si="17"/>
        <v>0</v>
      </c>
      <c r="Z24" s="528"/>
      <c r="AA24" s="528"/>
      <c r="AB24" s="528">
        <f>AC24+AD24</f>
        <v>0</v>
      </c>
      <c r="AC24" s="528"/>
      <c r="AD24" s="528"/>
      <c r="AE24" s="528">
        <f t="shared" si="19"/>
        <v>0</v>
      </c>
      <c r="AF24" s="528"/>
      <c r="AG24" s="528"/>
      <c r="AH24" s="528"/>
      <c r="AI24" s="528"/>
      <c r="AJ24" s="528"/>
      <c r="AK24" s="528">
        <f t="shared" si="21"/>
        <v>25.118000000000052</v>
      </c>
      <c r="AL24" s="528">
        <f t="shared" si="22"/>
        <v>0</v>
      </c>
      <c r="AM24" s="528">
        <f t="shared" si="22"/>
        <v>25.118000000000052</v>
      </c>
      <c r="AN24" s="528">
        <f t="shared" si="23"/>
        <v>0</v>
      </c>
      <c r="AO24" s="528">
        <f t="shared" si="23"/>
        <v>0</v>
      </c>
      <c r="AP24" s="528">
        <f t="shared" si="2"/>
        <v>0</v>
      </c>
      <c r="AQ24" s="529"/>
      <c r="AR24" s="529">
        <f>AM24</f>
        <v>25.118000000000052</v>
      </c>
    </row>
    <row r="25" spans="1:44" s="83" customFormat="1" hidden="1" outlineLevel="1">
      <c r="A25" s="526"/>
      <c r="B25" s="527" t="s">
        <v>178</v>
      </c>
      <c r="C25" s="528">
        <f t="shared" si="11"/>
        <v>1340.867</v>
      </c>
      <c r="D25" s="528">
        <v>0</v>
      </c>
      <c r="E25" s="528">
        <v>1340.867</v>
      </c>
      <c r="F25" s="528">
        <v>0</v>
      </c>
      <c r="G25" s="528">
        <v>0</v>
      </c>
      <c r="H25" s="528">
        <f t="shared" si="12"/>
        <v>810</v>
      </c>
      <c r="I25" s="528">
        <f t="shared" si="26"/>
        <v>810</v>
      </c>
      <c r="J25" s="528"/>
      <c r="K25" s="528">
        <v>810</v>
      </c>
      <c r="L25" s="528"/>
      <c r="M25" s="528"/>
      <c r="N25" s="528"/>
      <c r="O25" s="523">
        <f t="shared" si="15"/>
        <v>306.63499999999999</v>
      </c>
      <c r="P25" s="543">
        <f t="shared" si="24"/>
        <v>0</v>
      </c>
      <c r="Q25" s="543">
        <f t="shared" si="25"/>
        <v>306.63499999999999</v>
      </c>
      <c r="R25" s="528">
        <f t="shared" si="27"/>
        <v>306.63499999999999</v>
      </c>
      <c r="S25" s="528"/>
      <c r="T25" s="528">
        <v>306.63499999999999</v>
      </c>
      <c r="U25" s="528"/>
      <c r="V25" s="528"/>
      <c r="W25" s="528"/>
      <c r="X25" s="528">
        <f t="shared" si="16"/>
        <v>1340.867</v>
      </c>
      <c r="Y25" s="528">
        <f>Z25+AA25</f>
        <v>1340.867</v>
      </c>
      <c r="Z25" s="528"/>
      <c r="AA25" s="528">
        <v>1340.867</v>
      </c>
      <c r="AB25" s="528"/>
      <c r="AC25" s="528"/>
      <c r="AD25" s="528"/>
      <c r="AE25" s="528"/>
      <c r="AF25" s="528"/>
      <c r="AG25" s="528"/>
      <c r="AH25" s="528"/>
      <c r="AI25" s="528"/>
      <c r="AJ25" s="528"/>
      <c r="AK25" s="528">
        <f t="shared" si="21"/>
        <v>503.36500000000024</v>
      </c>
      <c r="AL25" s="528">
        <f t="shared" si="22"/>
        <v>0</v>
      </c>
      <c r="AM25" s="528">
        <f t="shared" si="22"/>
        <v>503.36500000000024</v>
      </c>
      <c r="AN25" s="528">
        <f t="shared" si="23"/>
        <v>0</v>
      </c>
      <c r="AO25" s="528">
        <f t="shared" si="23"/>
        <v>0</v>
      </c>
      <c r="AP25" s="528">
        <f t="shared" si="2"/>
        <v>0</v>
      </c>
      <c r="AQ25" s="529"/>
      <c r="AR25" s="529">
        <f>AM25</f>
        <v>503.36500000000024</v>
      </c>
    </row>
    <row r="26" spans="1:44" s="83" customFormat="1" hidden="1" outlineLevel="1">
      <c r="A26" s="526"/>
      <c r="B26" s="527" t="s">
        <v>2144</v>
      </c>
      <c r="C26" s="528"/>
      <c r="D26" s="528"/>
      <c r="E26" s="528"/>
      <c r="F26" s="528"/>
      <c r="G26" s="528"/>
      <c r="H26" s="528">
        <f t="shared" si="12"/>
        <v>100</v>
      </c>
      <c r="I26" s="528">
        <f t="shared" si="26"/>
        <v>100</v>
      </c>
      <c r="J26" s="528"/>
      <c r="K26" s="528">
        <v>100</v>
      </c>
      <c r="L26" s="528"/>
      <c r="M26" s="528"/>
      <c r="N26" s="528"/>
      <c r="O26" s="523">
        <f t="shared" si="15"/>
        <v>100</v>
      </c>
      <c r="P26" s="543">
        <f t="shared" si="24"/>
        <v>0</v>
      </c>
      <c r="Q26" s="543">
        <f t="shared" si="25"/>
        <v>100</v>
      </c>
      <c r="R26" s="528">
        <f t="shared" si="27"/>
        <v>100</v>
      </c>
      <c r="S26" s="528"/>
      <c r="T26" s="528">
        <v>100</v>
      </c>
      <c r="U26" s="528"/>
      <c r="V26" s="528"/>
      <c r="W26" s="528"/>
      <c r="X26" s="528">
        <f t="shared" si="16"/>
        <v>0</v>
      </c>
      <c r="Y26" s="528">
        <f t="shared" ref="Y26:Y32" si="28">Z26+AA26</f>
        <v>0</v>
      </c>
      <c r="Z26" s="528"/>
      <c r="AA26" s="528"/>
      <c r="AB26" s="528"/>
      <c r="AC26" s="528"/>
      <c r="AD26" s="528"/>
      <c r="AE26" s="528"/>
      <c r="AF26" s="528"/>
      <c r="AG26" s="528"/>
      <c r="AH26" s="528"/>
      <c r="AI26" s="528"/>
      <c r="AJ26" s="528"/>
      <c r="AK26" s="528">
        <f t="shared" si="21"/>
        <v>0</v>
      </c>
      <c r="AL26" s="528">
        <f t="shared" si="22"/>
        <v>0</v>
      </c>
      <c r="AM26" s="528">
        <f t="shared" si="22"/>
        <v>0</v>
      </c>
      <c r="AN26" s="528">
        <f t="shared" si="23"/>
        <v>0</v>
      </c>
      <c r="AO26" s="528"/>
      <c r="AP26" s="528">
        <f t="shared" si="2"/>
        <v>0</v>
      </c>
      <c r="AQ26" s="529"/>
      <c r="AR26" s="529"/>
    </row>
    <row r="27" spans="1:44" s="83" customFormat="1" hidden="1" outlineLevel="1">
      <c r="A27" s="526"/>
      <c r="B27" s="527" t="s">
        <v>2145</v>
      </c>
      <c r="C27" s="528"/>
      <c r="D27" s="528"/>
      <c r="E27" s="528"/>
      <c r="F27" s="528"/>
      <c r="G27" s="528"/>
      <c r="H27" s="528">
        <f t="shared" si="12"/>
        <v>100</v>
      </c>
      <c r="I27" s="528">
        <f t="shared" si="26"/>
        <v>100</v>
      </c>
      <c r="J27" s="528"/>
      <c r="K27" s="528">
        <v>100</v>
      </c>
      <c r="L27" s="528"/>
      <c r="M27" s="528"/>
      <c r="N27" s="528"/>
      <c r="O27" s="523">
        <f t="shared" si="15"/>
        <v>99.5</v>
      </c>
      <c r="P27" s="543">
        <f t="shared" si="24"/>
        <v>0</v>
      </c>
      <c r="Q27" s="543">
        <f t="shared" si="25"/>
        <v>99.5</v>
      </c>
      <c r="R27" s="528">
        <f>S27+T27</f>
        <v>99.5</v>
      </c>
      <c r="S27" s="528"/>
      <c r="T27" s="528">
        <v>99.5</v>
      </c>
      <c r="U27" s="528"/>
      <c r="V27" s="528"/>
      <c r="W27" s="528"/>
      <c r="X27" s="528">
        <f t="shared" si="16"/>
        <v>0</v>
      </c>
      <c r="Y27" s="528">
        <f t="shared" si="28"/>
        <v>0</v>
      </c>
      <c r="Z27" s="528"/>
      <c r="AA27" s="528"/>
      <c r="AB27" s="528"/>
      <c r="AC27" s="528"/>
      <c r="AD27" s="528"/>
      <c r="AE27" s="528"/>
      <c r="AF27" s="528"/>
      <c r="AG27" s="528"/>
      <c r="AH27" s="528"/>
      <c r="AI27" s="528"/>
      <c r="AJ27" s="528"/>
      <c r="AK27" s="528">
        <f t="shared" si="21"/>
        <v>0</v>
      </c>
      <c r="AL27" s="528">
        <f t="shared" si="22"/>
        <v>0</v>
      </c>
      <c r="AM27" s="528"/>
      <c r="AN27" s="528">
        <f t="shared" si="23"/>
        <v>0</v>
      </c>
      <c r="AO27" s="528"/>
      <c r="AP27" s="528">
        <f t="shared" si="2"/>
        <v>0.5</v>
      </c>
      <c r="AQ27" s="529"/>
      <c r="AR27" s="529"/>
    </row>
    <row r="28" spans="1:44" s="83" customFormat="1" hidden="1" outlineLevel="1">
      <c r="A28" s="526"/>
      <c r="B28" s="527" t="s">
        <v>2146</v>
      </c>
      <c r="C28" s="528"/>
      <c r="D28" s="528"/>
      <c r="E28" s="528"/>
      <c r="F28" s="528"/>
      <c r="G28" s="528"/>
      <c r="H28" s="528">
        <f t="shared" si="12"/>
        <v>150</v>
      </c>
      <c r="I28" s="528">
        <f t="shared" si="26"/>
        <v>150</v>
      </c>
      <c r="J28" s="528"/>
      <c r="K28" s="528">
        <v>150</v>
      </c>
      <c r="L28" s="528"/>
      <c r="M28" s="528"/>
      <c r="N28" s="528"/>
      <c r="O28" s="523">
        <f t="shared" si="15"/>
        <v>50.599040000000002</v>
      </c>
      <c r="P28" s="543">
        <f t="shared" si="24"/>
        <v>0</v>
      </c>
      <c r="Q28" s="543">
        <f t="shared" si="25"/>
        <v>50.599040000000002</v>
      </c>
      <c r="R28" s="528">
        <f>S28+T28</f>
        <v>50.599040000000002</v>
      </c>
      <c r="S28" s="528"/>
      <c r="T28" s="528">
        <v>50.599040000000002</v>
      </c>
      <c r="U28" s="528"/>
      <c r="V28" s="528"/>
      <c r="W28" s="528"/>
      <c r="X28" s="528">
        <f t="shared" si="16"/>
        <v>0</v>
      </c>
      <c r="Y28" s="528">
        <f t="shared" si="28"/>
        <v>0</v>
      </c>
      <c r="Z28" s="528"/>
      <c r="AA28" s="528"/>
      <c r="AB28" s="528"/>
      <c r="AC28" s="528"/>
      <c r="AD28" s="528"/>
      <c r="AE28" s="528"/>
      <c r="AF28" s="528"/>
      <c r="AG28" s="528"/>
      <c r="AH28" s="528"/>
      <c r="AI28" s="528"/>
      <c r="AJ28" s="528"/>
      <c r="AK28" s="528">
        <f t="shared" si="21"/>
        <v>99.400959999999998</v>
      </c>
      <c r="AL28" s="528">
        <f t="shared" si="22"/>
        <v>0</v>
      </c>
      <c r="AM28" s="528">
        <f t="shared" si="22"/>
        <v>99.400959999999998</v>
      </c>
      <c r="AN28" s="528">
        <f t="shared" si="23"/>
        <v>0</v>
      </c>
      <c r="AO28" s="528"/>
      <c r="AP28" s="528">
        <f t="shared" si="2"/>
        <v>0</v>
      </c>
      <c r="AQ28" s="529"/>
      <c r="AR28" s="529">
        <f>AM28</f>
        <v>99.400959999999998</v>
      </c>
    </row>
    <row r="29" spans="1:44" s="83" customFormat="1" hidden="1" outlineLevel="1">
      <c r="A29" s="526"/>
      <c r="B29" s="527" t="s">
        <v>179</v>
      </c>
      <c r="C29" s="528"/>
      <c r="D29" s="528">
        <v>0</v>
      </c>
      <c r="E29" s="528"/>
      <c r="F29" s="528">
        <v>0</v>
      </c>
      <c r="G29" s="528">
        <v>0</v>
      </c>
      <c r="H29" s="528">
        <f t="shared" si="12"/>
        <v>100</v>
      </c>
      <c r="I29" s="528">
        <f t="shared" si="26"/>
        <v>100</v>
      </c>
      <c r="J29" s="528"/>
      <c r="K29" s="528">
        <v>100</v>
      </c>
      <c r="L29" s="528"/>
      <c r="M29" s="528"/>
      <c r="N29" s="528"/>
      <c r="O29" s="528">
        <f>R29+U29</f>
        <v>99.993799999999993</v>
      </c>
      <c r="P29" s="543">
        <f t="shared" si="24"/>
        <v>0</v>
      </c>
      <c r="Q29" s="543">
        <f t="shared" si="25"/>
        <v>99.993799999999993</v>
      </c>
      <c r="R29" s="528">
        <f t="shared" ref="R29:R33" si="29">S29+T29</f>
        <v>99.993799999999993</v>
      </c>
      <c r="S29" s="528"/>
      <c r="T29" s="528">
        <v>99.993799999999993</v>
      </c>
      <c r="U29" s="528"/>
      <c r="V29" s="528"/>
      <c r="W29" s="528"/>
      <c r="X29" s="528">
        <f t="shared" si="16"/>
        <v>0</v>
      </c>
      <c r="Y29" s="528">
        <f t="shared" si="28"/>
        <v>0</v>
      </c>
      <c r="Z29" s="528"/>
      <c r="AA29" s="528"/>
      <c r="AB29" s="528"/>
      <c r="AC29" s="528"/>
      <c r="AD29" s="528"/>
      <c r="AE29" s="528"/>
      <c r="AF29" s="528"/>
      <c r="AG29" s="528"/>
      <c r="AH29" s="528"/>
      <c r="AI29" s="528"/>
      <c r="AJ29" s="528"/>
      <c r="AK29" s="528">
        <f t="shared" si="21"/>
        <v>0</v>
      </c>
      <c r="AL29" s="528">
        <f t="shared" si="22"/>
        <v>0</v>
      </c>
      <c r="AM29" s="528"/>
      <c r="AN29" s="528">
        <f t="shared" si="23"/>
        <v>0</v>
      </c>
      <c r="AO29" s="528">
        <f t="shared" si="23"/>
        <v>0</v>
      </c>
      <c r="AP29" s="528">
        <f t="shared" si="2"/>
        <v>6.2000000000068667E-3</v>
      </c>
      <c r="AQ29" s="529"/>
      <c r="AR29" s="529"/>
    </row>
    <row r="30" spans="1:44" s="83" customFormat="1" hidden="1" outlineLevel="1">
      <c r="A30" s="526"/>
      <c r="B30" s="527" t="s">
        <v>180</v>
      </c>
      <c r="C30" s="528"/>
      <c r="D30" s="528">
        <v>0</v>
      </c>
      <c r="E30" s="528">
        <v>0</v>
      </c>
      <c r="F30" s="528">
        <v>0</v>
      </c>
      <c r="G30" s="528">
        <v>0</v>
      </c>
      <c r="H30" s="528">
        <f t="shared" si="12"/>
        <v>200</v>
      </c>
      <c r="I30" s="528">
        <f t="shared" si="26"/>
        <v>200</v>
      </c>
      <c r="J30" s="528"/>
      <c r="K30" s="528">
        <v>200</v>
      </c>
      <c r="L30" s="528"/>
      <c r="M30" s="528"/>
      <c r="N30" s="528"/>
      <c r="O30" s="528">
        <f>R30+U30</f>
        <v>104.544</v>
      </c>
      <c r="P30" s="543">
        <f t="shared" si="24"/>
        <v>0</v>
      </c>
      <c r="Q30" s="543">
        <f t="shared" si="25"/>
        <v>104.544</v>
      </c>
      <c r="R30" s="528">
        <f t="shared" si="29"/>
        <v>104.544</v>
      </c>
      <c r="S30" s="528"/>
      <c r="T30" s="528">
        <v>104.544</v>
      </c>
      <c r="U30" s="528"/>
      <c r="V30" s="528"/>
      <c r="W30" s="528"/>
      <c r="X30" s="528">
        <f t="shared" si="16"/>
        <v>95.456000000000003</v>
      </c>
      <c r="Y30" s="528">
        <f t="shared" si="28"/>
        <v>95.456000000000003</v>
      </c>
      <c r="Z30" s="528"/>
      <c r="AA30" s="528">
        <v>95.456000000000003</v>
      </c>
      <c r="AB30" s="528"/>
      <c r="AC30" s="528"/>
      <c r="AD30" s="528"/>
      <c r="AE30" s="528"/>
      <c r="AF30" s="528"/>
      <c r="AG30" s="528"/>
      <c r="AH30" s="528"/>
      <c r="AI30" s="528"/>
      <c r="AJ30" s="528"/>
      <c r="AK30" s="528">
        <f t="shared" si="21"/>
        <v>0</v>
      </c>
      <c r="AL30" s="528">
        <f>D30+J30-S30-Z30-AF30</f>
        <v>0</v>
      </c>
      <c r="AM30" s="528">
        <f>E30+K30-T30-AA30-AG30</f>
        <v>0</v>
      </c>
      <c r="AN30" s="528">
        <f t="shared" si="23"/>
        <v>0</v>
      </c>
      <c r="AO30" s="528">
        <f t="shared" si="23"/>
        <v>0</v>
      </c>
      <c r="AP30" s="528">
        <f t="shared" si="2"/>
        <v>0</v>
      </c>
      <c r="AQ30" s="529"/>
      <c r="AR30" s="529"/>
    </row>
    <row r="31" spans="1:44" s="83" customFormat="1" hidden="1" outlineLevel="1">
      <c r="A31" s="526"/>
      <c r="B31" s="527" t="s">
        <v>2147</v>
      </c>
      <c r="C31" s="528"/>
      <c r="D31" s="528">
        <v>0</v>
      </c>
      <c r="E31" s="528">
        <v>0</v>
      </c>
      <c r="F31" s="528">
        <v>0</v>
      </c>
      <c r="G31" s="528">
        <v>0</v>
      </c>
      <c r="H31" s="528">
        <f t="shared" si="12"/>
        <v>302</v>
      </c>
      <c r="I31" s="528">
        <f t="shared" si="26"/>
        <v>302</v>
      </c>
      <c r="J31" s="528"/>
      <c r="K31" s="528">
        <v>302</v>
      </c>
      <c r="L31" s="528"/>
      <c r="M31" s="528"/>
      <c r="N31" s="528"/>
      <c r="O31" s="528">
        <f>R31+U31</f>
        <v>293</v>
      </c>
      <c r="P31" s="543">
        <f t="shared" si="24"/>
        <v>0</v>
      </c>
      <c r="Q31" s="543">
        <f t="shared" si="25"/>
        <v>293</v>
      </c>
      <c r="R31" s="528">
        <f t="shared" si="29"/>
        <v>293</v>
      </c>
      <c r="S31" s="528"/>
      <c r="T31" s="528">
        <v>293</v>
      </c>
      <c r="U31" s="528"/>
      <c r="V31" s="528"/>
      <c r="W31" s="528"/>
      <c r="X31" s="528">
        <f t="shared" si="16"/>
        <v>0</v>
      </c>
      <c r="Y31" s="528">
        <f t="shared" si="28"/>
        <v>0</v>
      </c>
      <c r="Z31" s="528"/>
      <c r="AA31" s="528"/>
      <c r="AB31" s="528"/>
      <c r="AC31" s="528"/>
      <c r="AD31" s="528"/>
      <c r="AE31" s="528"/>
      <c r="AF31" s="528"/>
      <c r="AG31" s="528"/>
      <c r="AH31" s="528"/>
      <c r="AI31" s="528"/>
      <c r="AJ31" s="528"/>
      <c r="AK31" s="528">
        <f t="shared" si="21"/>
        <v>0</v>
      </c>
      <c r="AL31" s="528">
        <f>D31+J31-S31-Z31-AF31</f>
        <v>0</v>
      </c>
      <c r="AM31" s="528"/>
      <c r="AN31" s="528">
        <f t="shared" si="23"/>
        <v>0</v>
      </c>
      <c r="AO31" s="528">
        <f t="shared" si="23"/>
        <v>0</v>
      </c>
      <c r="AP31" s="528">
        <f t="shared" si="2"/>
        <v>9</v>
      </c>
      <c r="AQ31" s="529"/>
      <c r="AR31" s="529"/>
    </row>
    <row r="32" spans="1:44" s="83" customFormat="1" hidden="1" outlineLevel="1">
      <c r="A32" s="526"/>
      <c r="B32" s="527" t="s">
        <v>2148</v>
      </c>
      <c r="C32" s="528"/>
      <c r="D32" s="528"/>
      <c r="E32" s="528"/>
      <c r="F32" s="528"/>
      <c r="G32" s="528"/>
      <c r="H32" s="528">
        <f t="shared" si="12"/>
        <v>310</v>
      </c>
      <c r="I32" s="528">
        <f t="shared" si="26"/>
        <v>310</v>
      </c>
      <c r="J32" s="528"/>
      <c r="K32" s="528">
        <v>310</v>
      </c>
      <c r="L32" s="528"/>
      <c r="M32" s="528"/>
      <c r="N32" s="528"/>
      <c r="O32" s="528">
        <f>R32+U32</f>
        <v>302.60000000000002</v>
      </c>
      <c r="P32" s="543">
        <f t="shared" si="24"/>
        <v>0</v>
      </c>
      <c r="Q32" s="543">
        <f t="shared" si="25"/>
        <v>302.60000000000002</v>
      </c>
      <c r="R32" s="528">
        <f t="shared" si="29"/>
        <v>302.60000000000002</v>
      </c>
      <c r="S32" s="528"/>
      <c r="T32" s="528">
        <v>302.60000000000002</v>
      </c>
      <c r="U32" s="528"/>
      <c r="V32" s="528"/>
      <c r="W32" s="528"/>
      <c r="X32" s="528">
        <f t="shared" si="16"/>
        <v>0</v>
      </c>
      <c r="Y32" s="528">
        <f t="shared" si="28"/>
        <v>0</v>
      </c>
      <c r="Z32" s="528"/>
      <c r="AA32" s="528"/>
      <c r="AB32" s="528"/>
      <c r="AC32" s="528"/>
      <c r="AD32" s="528"/>
      <c r="AE32" s="528"/>
      <c r="AF32" s="528"/>
      <c r="AG32" s="528"/>
      <c r="AH32" s="528"/>
      <c r="AI32" s="528"/>
      <c r="AJ32" s="528"/>
      <c r="AK32" s="528">
        <f t="shared" ref="AK32:AK33" si="30">SUM(AL32:AO32)</f>
        <v>7.3999999999999773</v>
      </c>
      <c r="AL32" s="528">
        <f>D32+J32-S32-Z32-AF32</f>
        <v>0</v>
      </c>
      <c r="AM32" s="528">
        <f>E32+K32-T32-AA32-AG32</f>
        <v>7.3999999999999773</v>
      </c>
      <c r="AN32" s="528">
        <f t="shared" ref="AN32:AO33" si="31">F32+M32-V32-AC32-AI32</f>
        <v>0</v>
      </c>
      <c r="AO32" s="528">
        <f t="shared" si="31"/>
        <v>0</v>
      </c>
      <c r="AP32" s="528">
        <f t="shared" si="2"/>
        <v>0</v>
      </c>
      <c r="AQ32" s="529"/>
      <c r="AR32" s="529">
        <f>AM32</f>
        <v>7.3999999999999773</v>
      </c>
    </row>
    <row r="33" spans="1:44" s="83" customFormat="1" hidden="1" outlineLevel="1">
      <c r="A33" s="526"/>
      <c r="B33" s="527" t="s">
        <v>367</v>
      </c>
      <c r="C33" s="528">
        <f>SUM(D33:G33)</f>
        <v>237.13700000000003</v>
      </c>
      <c r="D33" s="523">
        <v>124.96100000000001</v>
      </c>
      <c r="E33" s="523">
        <v>112.17600000000002</v>
      </c>
      <c r="F33" s="528">
        <v>0</v>
      </c>
      <c r="G33" s="528">
        <v>0</v>
      </c>
      <c r="H33" s="528">
        <f t="shared" si="12"/>
        <v>0</v>
      </c>
      <c r="I33" s="528">
        <f t="shared" si="26"/>
        <v>0</v>
      </c>
      <c r="J33" s="528"/>
      <c r="K33" s="528"/>
      <c r="L33" s="528"/>
      <c r="M33" s="528"/>
      <c r="N33" s="528"/>
      <c r="O33" s="528">
        <f>R33+U33</f>
        <v>0</v>
      </c>
      <c r="P33" s="543">
        <f t="shared" si="24"/>
        <v>0</v>
      </c>
      <c r="Q33" s="543">
        <f t="shared" si="25"/>
        <v>0</v>
      </c>
      <c r="R33" s="528">
        <f t="shared" si="29"/>
        <v>0</v>
      </c>
      <c r="S33" s="528"/>
      <c r="T33" s="528"/>
      <c r="U33" s="528"/>
      <c r="V33" s="528"/>
      <c r="W33" s="528"/>
      <c r="X33" s="528">
        <f>Y33+AB33+AE33+AH33</f>
        <v>237.13700000000003</v>
      </c>
      <c r="Y33" s="528">
        <f>Z33+AA33</f>
        <v>237.13700000000003</v>
      </c>
      <c r="Z33" s="528">
        <v>124.96100000000001</v>
      </c>
      <c r="AA33" s="528">
        <v>112.17600000000002</v>
      </c>
      <c r="AB33" s="528">
        <f>AC33+AD33</f>
        <v>0</v>
      </c>
      <c r="AC33" s="528"/>
      <c r="AD33" s="528"/>
      <c r="AE33" s="528">
        <f>AF33+AG33</f>
        <v>0</v>
      </c>
      <c r="AF33" s="528"/>
      <c r="AG33" s="528"/>
      <c r="AH33" s="528">
        <f>AI33+AJ33</f>
        <v>0</v>
      </c>
      <c r="AI33" s="528"/>
      <c r="AJ33" s="528"/>
      <c r="AK33" s="528">
        <f t="shared" si="30"/>
        <v>0</v>
      </c>
      <c r="AL33" s="528">
        <f>D33+J33-S33-Z33-AF33</f>
        <v>0</v>
      </c>
      <c r="AM33" s="528">
        <f>E33+K33-T33-AA33-AG33</f>
        <v>0</v>
      </c>
      <c r="AN33" s="528">
        <f t="shared" si="31"/>
        <v>0</v>
      </c>
      <c r="AO33" s="528">
        <f t="shared" si="31"/>
        <v>0</v>
      </c>
      <c r="AP33" s="528">
        <f t="shared" si="2"/>
        <v>0</v>
      </c>
      <c r="AQ33" s="529"/>
      <c r="AR33" s="529"/>
    </row>
    <row r="34" spans="1:44" s="84" customFormat="1" collapsed="1">
      <c r="A34" s="530" t="s">
        <v>29</v>
      </c>
      <c r="B34" s="518" t="s">
        <v>368</v>
      </c>
      <c r="C34" s="531">
        <f t="shared" ref="C34:AR34" si="32">C35+C58+C95+C104+C118</f>
        <v>30652.217185999998</v>
      </c>
      <c r="D34" s="531">
        <f t="shared" si="32"/>
        <v>17159.752</v>
      </c>
      <c r="E34" s="531">
        <f t="shared" si="32"/>
        <v>817.69950599999947</v>
      </c>
      <c r="F34" s="531">
        <f t="shared" si="32"/>
        <v>8598.0060000000012</v>
      </c>
      <c r="G34" s="531">
        <f t="shared" si="32"/>
        <v>4076.7596800000033</v>
      </c>
      <c r="H34" s="531">
        <f t="shared" si="32"/>
        <v>258607</v>
      </c>
      <c r="I34" s="531">
        <f t="shared" si="32"/>
        <v>93335.989999999991</v>
      </c>
      <c r="J34" s="531">
        <f t="shared" si="32"/>
        <v>84027.989999999991</v>
      </c>
      <c r="K34" s="531">
        <f t="shared" si="32"/>
        <v>9308</v>
      </c>
      <c r="L34" s="531">
        <f t="shared" si="32"/>
        <v>165271.01</v>
      </c>
      <c r="M34" s="531">
        <f t="shared" si="32"/>
        <v>107168.01</v>
      </c>
      <c r="N34" s="531">
        <f t="shared" si="32"/>
        <v>58103</v>
      </c>
      <c r="O34" s="531">
        <f t="shared" si="32"/>
        <v>257505.972255</v>
      </c>
      <c r="P34" s="543">
        <f t="shared" si="24"/>
        <v>190073.663</v>
      </c>
      <c r="Q34" s="543">
        <f t="shared" si="25"/>
        <v>67432.309255</v>
      </c>
      <c r="R34" s="531">
        <f t="shared" si="32"/>
        <v>88431.452254999997</v>
      </c>
      <c r="S34" s="531">
        <f t="shared" si="32"/>
        <v>79515.769</v>
      </c>
      <c r="T34" s="531">
        <f t="shared" si="32"/>
        <v>8915.6832550000017</v>
      </c>
      <c r="U34" s="531">
        <f t="shared" si="32"/>
        <v>169074.52000000002</v>
      </c>
      <c r="V34" s="531">
        <f t="shared" si="32"/>
        <v>110557.894</v>
      </c>
      <c r="W34" s="531">
        <f t="shared" si="32"/>
        <v>58516.626000000004</v>
      </c>
      <c r="X34" s="531">
        <f t="shared" si="32"/>
        <v>4975.3535309999997</v>
      </c>
      <c r="Y34" s="531">
        <f t="shared" si="32"/>
        <v>1102.6922509999997</v>
      </c>
      <c r="Z34" s="531">
        <f t="shared" si="32"/>
        <v>25.288</v>
      </c>
      <c r="AA34" s="531">
        <f t="shared" si="32"/>
        <v>1077.4042509999999</v>
      </c>
      <c r="AB34" s="531">
        <f t="shared" si="32"/>
        <v>3872.6612799999989</v>
      </c>
      <c r="AC34" s="531">
        <f t="shared" si="32"/>
        <v>1032.8701999999994</v>
      </c>
      <c r="AD34" s="531">
        <f t="shared" si="32"/>
        <v>2839.79108</v>
      </c>
      <c r="AE34" s="531">
        <f t="shared" si="32"/>
        <v>0</v>
      </c>
      <c r="AF34" s="531">
        <f t="shared" si="32"/>
        <v>0</v>
      </c>
      <c r="AG34" s="531">
        <f t="shared" si="32"/>
        <v>0</v>
      </c>
      <c r="AH34" s="531">
        <f t="shared" si="32"/>
        <v>0</v>
      </c>
      <c r="AI34" s="531">
        <f t="shared" si="32"/>
        <v>0</v>
      </c>
      <c r="AJ34" s="531">
        <f t="shared" si="32"/>
        <v>0</v>
      </c>
      <c r="AK34" s="531">
        <f t="shared" si="32"/>
        <v>26777.823400000001</v>
      </c>
      <c r="AL34" s="531">
        <f t="shared" si="32"/>
        <v>21646.684999999998</v>
      </c>
      <c r="AM34" s="531">
        <f t="shared" si="32"/>
        <v>132.54399999999998</v>
      </c>
      <c r="AN34" s="531">
        <f t="shared" si="32"/>
        <v>4175.2518000000036</v>
      </c>
      <c r="AO34" s="531">
        <f t="shared" si="32"/>
        <v>823.34259999999824</v>
      </c>
      <c r="AP34" s="531">
        <f t="shared" si="2"/>
        <v>6.8000000021129381E-2</v>
      </c>
      <c r="AQ34" s="532">
        <f t="shared" si="32"/>
        <v>0</v>
      </c>
      <c r="AR34" s="532">
        <f t="shared" si="32"/>
        <v>132.54399999999998</v>
      </c>
    </row>
    <row r="35" spans="1:44" s="84" customFormat="1" hidden="1" outlineLevel="1">
      <c r="A35" s="533" t="s">
        <v>211</v>
      </c>
      <c r="B35" s="518" t="s">
        <v>369</v>
      </c>
      <c r="C35" s="531">
        <f t="shared" ref="C35:C97" si="33">SUM(D35:G35)</f>
        <v>20221.969006000003</v>
      </c>
      <c r="D35" s="534">
        <v>17159.752</v>
      </c>
      <c r="E35" s="534">
        <v>408.58150599999954</v>
      </c>
      <c r="F35" s="531">
        <v>698.54300000000148</v>
      </c>
      <c r="G35" s="531">
        <v>1955.0925000000034</v>
      </c>
      <c r="H35" s="531">
        <f>H36+H42+H48+H55</f>
        <v>167404</v>
      </c>
      <c r="I35" s="531">
        <f t="shared" ref="I35:AR35" si="34">I36+I42+I48+I55</f>
        <v>86287.989999999991</v>
      </c>
      <c r="J35" s="531">
        <f t="shared" si="34"/>
        <v>84027.989999999991</v>
      </c>
      <c r="K35" s="531">
        <f t="shared" si="34"/>
        <v>2260</v>
      </c>
      <c r="L35" s="531">
        <f t="shared" si="34"/>
        <v>81116.009999999995</v>
      </c>
      <c r="M35" s="531">
        <f t="shared" si="34"/>
        <v>40538.009999999995</v>
      </c>
      <c r="N35" s="531">
        <f t="shared" si="34"/>
        <v>40578</v>
      </c>
      <c r="O35" s="531">
        <f t="shared" si="34"/>
        <v>162233.37336500001</v>
      </c>
      <c r="P35" s="543">
        <f t="shared" si="24"/>
        <v>119841.018</v>
      </c>
      <c r="Q35" s="543">
        <f t="shared" si="25"/>
        <v>42392.355365000003</v>
      </c>
      <c r="R35" s="531">
        <f t="shared" si="34"/>
        <v>81449.716365</v>
      </c>
      <c r="S35" s="531">
        <f t="shared" si="34"/>
        <v>79515.769</v>
      </c>
      <c r="T35" s="531">
        <f t="shared" si="34"/>
        <v>1933.947365</v>
      </c>
      <c r="U35" s="531">
        <f t="shared" si="34"/>
        <v>80783.657000000007</v>
      </c>
      <c r="V35" s="531">
        <f t="shared" si="34"/>
        <v>40325.248999999996</v>
      </c>
      <c r="W35" s="531">
        <f t="shared" si="34"/>
        <v>40458.408000000003</v>
      </c>
      <c r="X35" s="531">
        <f t="shared" si="34"/>
        <v>2332.462141</v>
      </c>
      <c r="Y35" s="531">
        <f t="shared" si="34"/>
        <v>748.35514099999978</v>
      </c>
      <c r="Z35" s="531">
        <f t="shared" si="34"/>
        <v>25.288</v>
      </c>
      <c r="AA35" s="531">
        <f t="shared" si="34"/>
        <v>723.06714099999976</v>
      </c>
      <c r="AB35" s="531">
        <f t="shared" si="34"/>
        <v>1584.1070000000002</v>
      </c>
      <c r="AC35" s="531">
        <f t="shared" si="34"/>
        <v>9.84</v>
      </c>
      <c r="AD35" s="531">
        <f t="shared" si="34"/>
        <v>1574.2670000000003</v>
      </c>
      <c r="AE35" s="531">
        <f t="shared" si="34"/>
        <v>0</v>
      </c>
      <c r="AF35" s="531">
        <f t="shared" si="34"/>
        <v>0</v>
      </c>
      <c r="AG35" s="531">
        <f t="shared" si="34"/>
        <v>0</v>
      </c>
      <c r="AH35" s="531">
        <f t="shared" si="34"/>
        <v>0</v>
      </c>
      <c r="AI35" s="531">
        <f t="shared" si="34"/>
        <v>0</v>
      </c>
      <c r="AJ35" s="531">
        <f t="shared" si="34"/>
        <v>0</v>
      </c>
      <c r="AK35" s="531">
        <f t="shared" si="34"/>
        <v>23060.1335</v>
      </c>
      <c r="AL35" s="531">
        <f t="shared" si="34"/>
        <v>21646.684999999998</v>
      </c>
      <c r="AM35" s="531">
        <f t="shared" si="34"/>
        <v>11.567000000000007</v>
      </c>
      <c r="AN35" s="531">
        <f t="shared" si="34"/>
        <v>901.46400000000369</v>
      </c>
      <c r="AO35" s="531">
        <f t="shared" si="34"/>
        <v>500.41749999999831</v>
      </c>
      <c r="AP35" s="531">
        <f t="shared" si="2"/>
        <v>0</v>
      </c>
      <c r="AQ35" s="532">
        <f t="shared" si="34"/>
        <v>0</v>
      </c>
      <c r="AR35" s="532">
        <f t="shared" si="34"/>
        <v>11.567000000000007</v>
      </c>
    </row>
    <row r="36" spans="1:44" s="83" customFormat="1" hidden="1" outlineLevel="1">
      <c r="A36" s="535" t="s">
        <v>103</v>
      </c>
      <c r="B36" s="536" t="s">
        <v>370</v>
      </c>
      <c r="C36" s="528">
        <f t="shared" si="33"/>
        <v>17858.295000000002</v>
      </c>
      <c r="D36" s="523">
        <v>17159.752</v>
      </c>
      <c r="E36" s="523">
        <v>0</v>
      </c>
      <c r="F36" s="528">
        <v>698.54300000000148</v>
      </c>
      <c r="G36" s="528">
        <v>0</v>
      </c>
      <c r="H36" s="523">
        <f>SUM(H37:H41)</f>
        <v>124566</v>
      </c>
      <c r="I36" s="523">
        <f t="shared" ref="I36:AJ36" si="35">SUM(I37:I41)</f>
        <v>84027.989999999991</v>
      </c>
      <c r="J36" s="523">
        <f t="shared" si="35"/>
        <v>84027.989999999991</v>
      </c>
      <c r="K36" s="523">
        <f t="shared" si="35"/>
        <v>0</v>
      </c>
      <c r="L36" s="523">
        <f t="shared" si="35"/>
        <v>40538.009999999995</v>
      </c>
      <c r="M36" s="523">
        <f t="shared" si="35"/>
        <v>40538.009999999995</v>
      </c>
      <c r="N36" s="523">
        <f t="shared" si="35"/>
        <v>0</v>
      </c>
      <c r="O36" s="523">
        <f t="shared" si="35"/>
        <v>119841.01799999998</v>
      </c>
      <c r="P36" s="543">
        <f t="shared" si="24"/>
        <v>119841.018</v>
      </c>
      <c r="Q36" s="543">
        <f t="shared" si="25"/>
        <v>0</v>
      </c>
      <c r="R36" s="523">
        <f t="shared" si="35"/>
        <v>79515.769</v>
      </c>
      <c r="S36" s="523">
        <f t="shared" si="35"/>
        <v>79515.769</v>
      </c>
      <c r="T36" s="523">
        <f t="shared" si="35"/>
        <v>0</v>
      </c>
      <c r="U36" s="523">
        <f t="shared" si="35"/>
        <v>40325.248999999996</v>
      </c>
      <c r="V36" s="523">
        <f t="shared" si="35"/>
        <v>40325.248999999996</v>
      </c>
      <c r="W36" s="523">
        <f t="shared" si="35"/>
        <v>0</v>
      </c>
      <c r="X36" s="523">
        <f t="shared" si="35"/>
        <v>35.128</v>
      </c>
      <c r="Y36" s="523">
        <f t="shared" si="35"/>
        <v>25.288</v>
      </c>
      <c r="Z36" s="523">
        <f t="shared" si="35"/>
        <v>25.288</v>
      </c>
      <c r="AA36" s="523">
        <f t="shared" si="35"/>
        <v>0</v>
      </c>
      <c r="AB36" s="523">
        <f t="shared" si="35"/>
        <v>9.84</v>
      </c>
      <c r="AC36" s="523">
        <f t="shared" si="35"/>
        <v>9.84</v>
      </c>
      <c r="AD36" s="523">
        <f t="shared" si="35"/>
        <v>0</v>
      </c>
      <c r="AE36" s="523">
        <f t="shared" si="35"/>
        <v>0</v>
      </c>
      <c r="AF36" s="523">
        <f t="shared" si="35"/>
        <v>0</v>
      </c>
      <c r="AG36" s="523">
        <f t="shared" si="35"/>
        <v>0</v>
      </c>
      <c r="AH36" s="523">
        <f t="shared" si="35"/>
        <v>0</v>
      </c>
      <c r="AI36" s="523">
        <f t="shared" si="35"/>
        <v>0</v>
      </c>
      <c r="AJ36" s="523">
        <f t="shared" si="35"/>
        <v>0</v>
      </c>
      <c r="AK36" s="528">
        <f t="shared" si="21"/>
        <v>22548.149000000001</v>
      </c>
      <c r="AL36" s="523">
        <f t="shared" ref="AL36:AM54" si="36">D36+J36-S36-Z36-AF36</f>
        <v>21646.684999999998</v>
      </c>
      <c r="AM36" s="523">
        <f t="shared" si="36"/>
        <v>0</v>
      </c>
      <c r="AN36" s="528">
        <f t="shared" ref="AN36:AO54" si="37">F36+M36-V36-AC36-AI36</f>
        <v>901.46400000000369</v>
      </c>
      <c r="AO36" s="528">
        <f t="shared" si="37"/>
        <v>0</v>
      </c>
      <c r="AP36" s="528">
        <f t="shared" si="2"/>
        <v>2.9103830456733704E-11</v>
      </c>
      <c r="AQ36" s="529"/>
      <c r="AR36" s="529"/>
    </row>
    <row r="37" spans="1:44" s="83" customFormat="1" hidden="1" outlineLevel="1">
      <c r="A37" s="535"/>
      <c r="B37" s="536" t="s">
        <v>192</v>
      </c>
      <c r="C37" s="528">
        <f t="shared" si="33"/>
        <v>5.6000000000494765E-2</v>
      </c>
      <c r="D37" s="523">
        <v>5.6000000000494765E-2</v>
      </c>
      <c r="E37" s="523">
        <v>0</v>
      </c>
      <c r="F37" s="528">
        <v>0</v>
      </c>
      <c r="G37" s="528">
        <v>0</v>
      </c>
      <c r="H37" s="523">
        <f t="shared" ref="H37:H56" si="38">I37+L37</f>
        <v>25381</v>
      </c>
      <c r="I37" s="523">
        <f t="shared" ref="I37:I56" si="39">J37+K37</f>
        <v>17351</v>
      </c>
      <c r="J37" s="523">
        <v>17351</v>
      </c>
      <c r="K37" s="523">
        <v>0</v>
      </c>
      <c r="L37" s="523">
        <f t="shared" ref="L37:L56" si="40">M37+N37</f>
        <v>8030</v>
      </c>
      <c r="M37" s="528">
        <v>8030</v>
      </c>
      <c r="N37" s="528"/>
      <c r="O37" s="528">
        <f>R37+U37</f>
        <v>12282.261999999999</v>
      </c>
      <c r="P37" s="543">
        <f t="shared" si="24"/>
        <v>12282.261999999999</v>
      </c>
      <c r="Q37" s="543">
        <f t="shared" si="25"/>
        <v>0</v>
      </c>
      <c r="R37" s="528">
        <f>S37+T37</f>
        <v>4334.5619999999999</v>
      </c>
      <c r="S37" s="528">
        <v>4334.5619999999999</v>
      </c>
      <c r="T37" s="528"/>
      <c r="U37" s="528">
        <f>V37+W37</f>
        <v>7947.7</v>
      </c>
      <c r="V37" s="528">
        <v>7947.7</v>
      </c>
      <c r="W37" s="528"/>
      <c r="X37" s="528">
        <f t="shared" ref="X37:X40" si="41">Y37+AB37</f>
        <v>1</v>
      </c>
      <c r="Y37" s="528"/>
      <c r="Z37" s="528"/>
      <c r="AA37" s="528"/>
      <c r="AB37" s="528">
        <f t="shared" ref="AB37:AB40" si="42">AC37+AD37</f>
        <v>1</v>
      </c>
      <c r="AC37" s="528">
        <v>1</v>
      </c>
      <c r="AD37" s="528"/>
      <c r="AE37" s="528"/>
      <c r="AF37" s="528"/>
      <c r="AG37" s="528"/>
      <c r="AH37" s="528"/>
      <c r="AI37" s="528"/>
      <c r="AJ37" s="528"/>
      <c r="AK37" s="528">
        <f t="shared" si="21"/>
        <v>13097.794000000002</v>
      </c>
      <c r="AL37" s="523">
        <f t="shared" si="36"/>
        <v>13016.494000000001</v>
      </c>
      <c r="AM37" s="523">
        <f t="shared" si="36"/>
        <v>0</v>
      </c>
      <c r="AN37" s="528">
        <f t="shared" si="37"/>
        <v>81.300000000000182</v>
      </c>
      <c r="AO37" s="528">
        <f t="shared" si="37"/>
        <v>0</v>
      </c>
      <c r="AP37" s="528">
        <f t="shared" si="2"/>
        <v>0</v>
      </c>
      <c r="AQ37" s="529"/>
      <c r="AR37" s="529"/>
    </row>
    <row r="38" spans="1:44" s="83" customFormat="1" hidden="1" outlineLevel="1">
      <c r="A38" s="535"/>
      <c r="B38" s="536" t="s">
        <v>193</v>
      </c>
      <c r="C38" s="528">
        <f t="shared" si="33"/>
        <v>11818.228999999999</v>
      </c>
      <c r="D38" s="523">
        <v>11818.228999999999</v>
      </c>
      <c r="E38" s="523">
        <v>0</v>
      </c>
      <c r="F38" s="528">
        <v>0</v>
      </c>
      <c r="G38" s="528">
        <v>0</v>
      </c>
      <c r="H38" s="523">
        <f t="shared" si="38"/>
        <v>28089</v>
      </c>
      <c r="I38" s="523">
        <f t="shared" si="39"/>
        <v>21177</v>
      </c>
      <c r="J38" s="523">
        <v>21177</v>
      </c>
      <c r="K38" s="523">
        <v>0</v>
      </c>
      <c r="L38" s="523">
        <f t="shared" si="40"/>
        <v>6912</v>
      </c>
      <c r="M38" s="528">
        <v>6912</v>
      </c>
      <c r="N38" s="528"/>
      <c r="O38" s="528">
        <f>R38+U38</f>
        <v>31832.844000000001</v>
      </c>
      <c r="P38" s="543">
        <f t="shared" si="24"/>
        <v>31832.844000000001</v>
      </c>
      <c r="Q38" s="543">
        <f t="shared" si="25"/>
        <v>0</v>
      </c>
      <c r="R38" s="528">
        <f>S38+T38</f>
        <v>24920.844000000001</v>
      </c>
      <c r="S38" s="528">
        <v>24920.844000000001</v>
      </c>
      <c r="T38" s="528"/>
      <c r="U38" s="528">
        <f>V38+W38</f>
        <v>6912</v>
      </c>
      <c r="V38" s="528">
        <v>6912</v>
      </c>
      <c r="W38" s="528"/>
      <c r="X38" s="528">
        <f t="shared" si="41"/>
        <v>0</v>
      </c>
      <c r="Y38" s="528"/>
      <c r="Z38" s="528"/>
      <c r="AA38" s="528"/>
      <c r="AB38" s="528">
        <f t="shared" si="42"/>
        <v>0</v>
      </c>
      <c r="AC38" s="528"/>
      <c r="AD38" s="528"/>
      <c r="AE38" s="528"/>
      <c r="AF38" s="528"/>
      <c r="AG38" s="528"/>
      <c r="AH38" s="528"/>
      <c r="AI38" s="528"/>
      <c r="AJ38" s="528"/>
      <c r="AK38" s="528">
        <f t="shared" si="21"/>
        <v>8074.3849999999984</v>
      </c>
      <c r="AL38" s="523">
        <f t="shared" si="36"/>
        <v>8074.3849999999984</v>
      </c>
      <c r="AM38" s="523">
        <f t="shared" si="36"/>
        <v>0</v>
      </c>
      <c r="AN38" s="528">
        <f t="shared" si="37"/>
        <v>0</v>
      </c>
      <c r="AO38" s="528">
        <f t="shared" si="37"/>
        <v>0</v>
      </c>
      <c r="AP38" s="528">
        <f t="shared" si="2"/>
        <v>0</v>
      </c>
      <c r="AQ38" s="529"/>
      <c r="AR38" s="529"/>
    </row>
    <row r="39" spans="1:44" s="83" customFormat="1" hidden="1" outlineLevel="1">
      <c r="A39" s="535"/>
      <c r="B39" s="522" t="s">
        <v>194</v>
      </c>
      <c r="C39" s="528">
        <f t="shared" si="33"/>
        <v>1669.4549999999999</v>
      </c>
      <c r="D39" s="523">
        <v>1577.8050000000003</v>
      </c>
      <c r="E39" s="523">
        <v>0</v>
      </c>
      <c r="F39" s="528">
        <v>91.649999999999636</v>
      </c>
      <c r="G39" s="528">
        <v>0</v>
      </c>
      <c r="H39" s="523">
        <f t="shared" si="38"/>
        <v>24879</v>
      </c>
      <c r="I39" s="523">
        <f t="shared" si="39"/>
        <v>4285.99</v>
      </c>
      <c r="J39" s="523">
        <f>5390.4-572-476-56.41</f>
        <v>4285.99</v>
      </c>
      <c r="K39" s="523">
        <v>0</v>
      </c>
      <c r="L39" s="523">
        <f t="shared" si="40"/>
        <v>20593.009999999998</v>
      </c>
      <c r="M39" s="528">
        <f>19488.6+572+476+56.41</f>
        <v>20593.009999999998</v>
      </c>
      <c r="N39" s="528"/>
      <c r="O39" s="528">
        <f>R39+U39</f>
        <v>25670.501999999997</v>
      </c>
      <c r="P39" s="543">
        <f t="shared" si="24"/>
        <v>25670.501999999997</v>
      </c>
      <c r="Q39" s="543">
        <f t="shared" si="25"/>
        <v>0</v>
      </c>
      <c r="R39" s="528">
        <f>S39+T39</f>
        <v>5796.0819999999994</v>
      </c>
      <c r="S39" s="528">
        <f>4146.565+1649.517</f>
        <v>5796.0819999999994</v>
      </c>
      <c r="T39" s="528"/>
      <c r="U39" s="528">
        <f>V39+W39</f>
        <v>19874.419999999998</v>
      </c>
      <c r="V39" s="528">
        <f>18770.01+1104.41</f>
        <v>19874.419999999998</v>
      </c>
      <c r="W39" s="528"/>
      <c r="X39" s="528">
        <f t="shared" si="41"/>
        <v>25.288</v>
      </c>
      <c r="Y39" s="528">
        <f>Z39+AA39</f>
        <v>25.288</v>
      </c>
      <c r="Z39" s="528">
        <v>25.288</v>
      </c>
      <c r="AA39" s="528"/>
      <c r="AB39" s="528">
        <f t="shared" si="42"/>
        <v>0</v>
      </c>
      <c r="AC39" s="528"/>
      <c r="AD39" s="528"/>
      <c r="AE39" s="528"/>
      <c r="AF39" s="528"/>
      <c r="AG39" s="528"/>
      <c r="AH39" s="528"/>
      <c r="AI39" s="528"/>
      <c r="AJ39" s="528"/>
      <c r="AK39" s="528">
        <f t="shared" si="21"/>
        <v>852.6649999999986</v>
      </c>
      <c r="AL39" s="523">
        <f t="shared" si="36"/>
        <v>42.425000000000651</v>
      </c>
      <c r="AM39" s="523">
        <f t="shared" si="36"/>
        <v>0</v>
      </c>
      <c r="AN39" s="528">
        <f t="shared" si="37"/>
        <v>810.23999999999796</v>
      </c>
      <c r="AO39" s="528">
        <f t="shared" si="37"/>
        <v>0</v>
      </c>
      <c r="AP39" s="528">
        <f t="shared" si="2"/>
        <v>6.3664629124104977E-12</v>
      </c>
      <c r="AQ39" s="529"/>
      <c r="AR39" s="529"/>
    </row>
    <row r="40" spans="1:44" s="83" customFormat="1" hidden="1" outlineLevel="1">
      <c r="A40" s="535"/>
      <c r="B40" s="536" t="s">
        <v>195</v>
      </c>
      <c r="C40" s="528">
        <f t="shared" si="33"/>
        <v>4033.1950000000002</v>
      </c>
      <c r="D40" s="523">
        <v>3763.6620000000003</v>
      </c>
      <c r="E40" s="523">
        <v>0</v>
      </c>
      <c r="F40" s="528">
        <v>269.5329999999999</v>
      </c>
      <c r="G40" s="528">
        <v>0</v>
      </c>
      <c r="H40" s="523">
        <f t="shared" si="38"/>
        <v>20523</v>
      </c>
      <c r="I40" s="523">
        <f t="shared" si="39"/>
        <v>15520</v>
      </c>
      <c r="J40" s="523">
        <v>15520</v>
      </c>
      <c r="K40" s="523">
        <v>0</v>
      </c>
      <c r="L40" s="523">
        <f t="shared" si="40"/>
        <v>5003</v>
      </c>
      <c r="M40" s="528">
        <v>5003</v>
      </c>
      <c r="N40" s="528"/>
      <c r="O40" s="528">
        <f>R40+U40</f>
        <v>24037.915000000001</v>
      </c>
      <c r="P40" s="543">
        <f t="shared" si="24"/>
        <v>24037.915000000001</v>
      </c>
      <c r="Q40" s="543">
        <f t="shared" si="25"/>
        <v>0</v>
      </c>
      <c r="R40" s="528">
        <f>S40+T40</f>
        <v>18770.346000000001</v>
      </c>
      <c r="S40" s="528">
        <v>18770.346000000001</v>
      </c>
      <c r="T40" s="528"/>
      <c r="U40" s="528">
        <f>V40+W40</f>
        <v>5267.5689999999995</v>
      </c>
      <c r="V40" s="528">
        <f>5001.571+265.998</f>
        <v>5267.5689999999995</v>
      </c>
      <c r="W40" s="528"/>
      <c r="X40" s="528">
        <f t="shared" si="41"/>
        <v>0</v>
      </c>
      <c r="Y40" s="528"/>
      <c r="Z40" s="528"/>
      <c r="AA40" s="528"/>
      <c r="AB40" s="528">
        <f t="shared" si="42"/>
        <v>0</v>
      </c>
      <c r="AC40" s="528"/>
      <c r="AD40" s="528"/>
      <c r="AE40" s="528"/>
      <c r="AF40" s="528"/>
      <c r="AG40" s="528"/>
      <c r="AH40" s="528"/>
      <c r="AI40" s="528"/>
      <c r="AJ40" s="528"/>
      <c r="AK40" s="528">
        <f t="shared" si="21"/>
        <v>518.27999999999884</v>
      </c>
      <c r="AL40" s="523">
        <f t="shared" si="36"/>
        <v>513.31599999999889</v>
      </c>
      <c r="AM40" s="523">
        <f t="shared" si="36"/>
        <v>0</v>
      </c>
      <c r="AN40" s="528">
        <f t="shared" si="37"/>
        <v>4.9639999999999418</v>
      </c>
      <c r="AO40" s="528">
        <f t="shared" si="37"/>
        <v>0</v>
      </c>
      <c r="AP40" s="528">
        <f t="shared" si="2"/>
        <v>0</v>
      </c>
      <c r="AQ40" s="529"/>
      <c r="AR40" s="529"/>
    </row>
    <row r="41" spans="1:44" s="83" customFormat="1" hidden="1" outlineLevel="1">
      <c r="A41" s="535"/>
      <c r="B41" s="536" t="s">
        <v>196</v>
      </c>
      <c r="C41" s="528">
        <f t="shared" si="33"/>
        <v>337.35999999999967</v>
      </c>
      <c r="D41" s="523">
        <v>0</v>
      </c>
      <c r="E41" s="523">
        <v>0</v>
      </c>
      <c r="F41" s="528">
        <v>337.35999999999967</v>
      </c>
      <c r="G41" s="528">
        <v>0</v>
      </c>
      <c r="H41" s="523">
        <f t="shared" si="38"/>
        <v>25694</v>
      </c>
      <c r="I41" s="523">
        <f t="shared" si="39"/>
        <v>25694</v>
      </c>
      <c r="J41" s="523">
        <v>25694</v>
      </c>
      <c r="K41" s="523">
        <v>0</v>
      </c>
      <c r="L41" s="523">
        <f t="shared" si="40"/>
        <v>0</v>
      </c>
      <c r="M41" s="528"/>
      <c r="N41" s="528"/>
      <c r="O41" s="528">
        <f>R41+U41</f>
        <v>26017.495000000003</v>
      </c>
      <c r="P41" s="543">
        <f t="shared" si="24"/>
        <v>26017.495000000003</v>
      </c>
      <c r="Q41" s="543">
        <f t="shared" si="25"/>
        <v>0</v>
      </c>
      <c r="R41" s="528">
        <f>S41+T41</f>
        <v>25693.935000000001</v>
      </c>
      <c r="S41" s="528">
        <v>25693.935000000001</v>
      </c>
      <c r="T41" s="528"/>
      <c r="U41" s="528">
        <f>V41+W41</f>
        <v>323.56</v>
      </c>
      <c r="V41" s="528">
        <v>323.56</v>
      </c>
      <c r="W41" s="528"/>
      <c r="X41" s="528">
        <f>Y41+AB41</f>
        <v>8.84</v>
      </c>
      <c r="Y41" s="528"/>
      <c r="Z41" s="528"/>
      <c r="AA41" s="528"/>
      <c r="AB41" s="528">
        <f>AC41+AD41</f>
        <v>8.84</v>
      </c>
      <c r="AC41" s="528">
        <v>8.84</v>
      </c>
      <c r="AD41" s="528"/>
      <c r="AE41" s="528"/>
      <c r="AF41" s="528"/>
      <c r="AG41" s="528"/>
      <c r="AH41" s="528"/>
      <c r="AI41" s="528"/>
      <c r="AJ41" s="528"/>
      <c r="AK41" s="528">
        <f t="shared" si="21"/>
        <v>5.0249999999983608</v>
      </c>
      <c r="AL41" s="523">
        <f t="shared" si="36"/>
        <v>6.4999999998690328E-2</v>
      </c>
      <c r="AM41" s="523">
        <f t="shared" si="36"/>
        <v>0</v>
      </c>
      <c r="AN41" s="528">
        <f t="shared" si="37"/>
        <v>4.9599999999996705</v>
      </c>
      <c r="AO41" s="528">
        <f t="shared" si="37"/>
        <v>0</v>
      </c>
      <c r="AP41" s="528">
        <f t="shared" si="2"/>
        <v>-3.979039320256561E-13</v>
      </c>
      <c r="AQ41" s="529"/>
      <c r="AR41" s="529"/>
    </row>
    <row r="42" spans="1:44" s="83" customFormat="1" hidden="1" outlineLevel="1">
      <c r="A42" s="535" t="s">
        <v>104</v>
      </c>
      <c r="B42" s="536" t="s">
        <v>371</v>
      </c>
      <c r="C42" s="528">
        <f t="shared" si="33"/>
        <v>262.6880000000001</v>
      </c>
      <c r="D42" s="523">
        <v>0</v>
      </c>
      <c r="E42" s="523">
        <v>0</v>
      </c>
      <c r="F42" s="528">
        <v>0</v>
      </c>
      <c r="G42" s="528">
        <v>262.6880000000001</v>
      </c>
      <c r="H42" s="523">
        <f>SUM(H43:H47)</f>
        <v>7959</v>
      </c>
      <c r="I42" s="523">
        <f t="shared" ref="I42:AJ42" si="43">SUM(I43:I47)</f>
        <v>0</v>
      </c>
      <c r="J42" s="523">
        <f t="shared" si="43"/>
        <v>0</v>
      </c>
      <c r="K42" s="523">
        <f t="shared" si="43"/>
        <v>0</v>
      </c>
      <c r="L42" s="523">
        <f t="shared" si="43"/>
        <v>7959</v>
      </c>
      <c r="M42" s="523">
        <f t="shared" si="43"/>
        <v>0</v>
      </c>
      <c r="N42" s="523">
        <f t="shared" si="43"/>
        <v>7959</v>
      </c>
      <c r="O42" s="523">
        <f t="shared" si="43"/>
        <v>8017.299</v>
      </c>
      <c r="P42" s="543">
        <f t="shared" si="24"/>
        <v>0</v>
      </c>
      <c r="Q42" s="543">
        <f t="shared" si="25"/>
        <v>8017.299</v>
      </c>
      <c r="R42" s="523">
        <f t="shared" si="43"/>
        <v>0</v>
      </c>
      <c r="S42" s="523">
        <f t="shared" si="43"/>
        <v>0</v>
      </c>
      <c r="T42" s="523">
        <f t="shared" si="43"/>
        <v>0</v>
      </c>
      <c r="U42" s="523">
        <f t="shared" si="43"/>
        <v>8017.299</v>
      </c>
      <c r="V42" s="523">
        <f t="shared" si="43"/>
        <v>0</v>
      </c>
      <c r="W42" s="523">
        <f t="shared" si="43"/>
        <v>8017.299</v>
      </c>
      <c r="X42" s="523">
        <f t="shared" si="43"/>
        <v>145.96999999999994</v>
      </c>
      <c r="Y42" s="523">
        <f t="shared" si="43"/>
        <v>0</v>
      </c>
      <c r="Z42" s="523">
        <f t="shared" si="43"/>
        <v>0</v>
      </c>
      <c r="AA42" s="523">
        <f t="shared" si="43"/>
        <v>0</v>
      </c>
      <c r="AB42" s="523">
        <f t="shared" si="43"/>
        <v>145.96999999999994</v>
      </c>
      <c r="AC42" s="523">
        <f t="shared" si="43"/>
        <v>0</v>
      </c>
      <c r="AD42" s="523">
        <f t="shared" si="43"/>
        <v>145.96999999999994</v>
      </c>
      <c r="AE42" s="523">
        <f t="shared" si="43"/>
        <v>0</v>
      </c>
      <c r="AF42" s="523">
        <f t="shared" si="43"/>
        <v>0</v>
      </c>
      <c r="AG42" s="523">
        <f t="shared" si="43"/>
        <v>0</v>
      </c>
      <c r="AH42" s="523">
        <f t="shared" si="43"/>
        <v>0</v>
      </c>
      <c r="AI42" s="523">
        <f t="shared" si="43"/>
        <v>0</v>
      </c>
      <c r="AJ42" s="523">
        <f t="shared" si="43"/>
        <v>0</v>
      </c>
      <c r="AK42" s="528">
        <f t="shared" si="21"/>
        <v>58.419000000000182</v>
      </c>
      <c r="AL42" s="523">
        <f t="shared" si="36"/>
        <v>0</v>
      </c>
      <c r="AM42" s="523">
        <f t="shared" si="36"/>
        <v>0</v>
      </c>
      <c r="AN42" s="528">
        <f t="shared" si="37"/>
        <v>0</v>
      </c>
      <c r="AO42" s="528">
        <f t="shared" si="37"/>
        <v>58.419000000000182</v>
      </c>
      <c r="AP42" s="528">
        <f t="shared" si="2"/>
        <v>0</v>
      </c>
      <c r="AQ42" s="529"/>
      <c r="AR42" s="529"/>
    </row>
    <row r="43" spans="1:44" s="83" customFormat="1" hidden="1" outlineLevel="1">
      <c r="A43" s="535"/>
      <c r="B43" s="536" t="s">
        <v>192</v>
      </c>
      <c r="C43" s="528">
        <f t="shared" si="33"/>
        <v>73</v>
      </c>
      <c r="D43" s="523">
        <v>0</v>
      </c>
      <c r="E43" s="523">
        <v>0</v>
      </c>
      <c r="F43" s="528">
        <v>0</v>
      </c>
      <c r="G43" s="528">
        <v>73</v>
      </c>
      <c r="H43" s="523">
        <f t="shared" si="38"/>
        <v>1831</v>
      </c>
      <c r="I43" s="523">
        <f t="shared" si="39"/>
        <v>0</v>
      </c>
      <c r="J43" s="523"/>
      <c r="K43" s="523">
        <v>0</v>
      </c>
      <c r="L43" s="523">
        <f t="shared" si="40"/>
        <v>1831</v>
      </c>
      <c r="M43" s="528"/>
      <c r="N43" s="528">
        <v>1831</v>
      </c>
      <c r="O43" s="528">
        <f>R43+U43</f>
        <v>1831</v>
      </c>
      <c r="P43" s="543">
        <f t="shared" si="24"/>
        <v>0</v>
      </c>
      <c r="Q43" s="543">
        <f t="shared" si="25"/>
        <v>1831</v>
      </c>
      <c r="R43" s="528">
        <f>S43+T43</f>
        <v>0</v>
      </c>
      <c r="S43" s="528"/>
      <c r="T43" s="528"/>
      <c r="U43" s="528">
        <f>V43+W43</f>
        <v>1831</v>
      </c>
      <c r="V43" s="528"/>
      <c r="W43" s="528">
        <v>1831</v>
      </c>
      <c r="X43" s="528">
        <f>Y43+AB43</f>
        <v>73</v>
      </c>
      <c r="Y43" s="528">
        <f>Z43+AA43</f>
        <v>0</v>
      </c>
      <c r="Z43" s="528"/>
      <c r="AA43" s="528"/>
      <c r="AB43" s="528">
        <f>AC43+AD43</f>
        <v>73</v>
      </c>
      <c r="AC43" s="528"/>
      <c r="AD43" s="528">
        <v>73</v>
      </c>
      <c r="AE43" s="528"/>
      <c r="AF43" s="528"/>
      <c r="AG43" s="528"/>
      <c r="AH43" s="528"/>
      <c r="AI43" s="528"/>
      <c r="AJ43" s="528"/>
      <c r="AK43" s="528">
        <f t="shared" si="21"/>
        <v>0</v>
      </c>
      <c r="AL43" s="523">
        <f t="shared" si="36"/>
        <v>0</v>
      </c>
      <c r="AM43" s="523">
        <f t="shared" si="36"/>
        <v>0</v>
      </c>
      <c r="AN43" s="528">
        <f t="shared" si="37"/>
        <v>0</v>
      </c>
      <c r="AO43" s="528">
        <f t="shared" si="37"/>
        <v>0</v>
      </c>
      <c r="AP43" s="528">
        <f t="shared" si="2"/>
        <v>0</v>
      </c>
      <c r="AQ43" s="529"/>
      <c r="AR43" s="529"/>
    </row>
    <row r="44" spans="1:44" s="83" customFormat="1" hidden="1" outlineLevel="1">
      <c r="A44" s="535"/>
      <c r="B44" s="536" t="s">
        <v>193</v>
      </c>
      <c r="C44" s="528">
        <f t="shared" si="33"/>
        <v>0</v>
      </c>
      <c r="D44" s="523">
        <v>0</v>
      </c>
      <c r="E44" s="523">
        <v>0</v>
      </c>
      <c r="F44" s="528">
        <v>0</v>
      </c>
      <c r="G44" s="528">
        <v>0</v>
      </c>
      <c r="H44" s="523">
        <f t="shared" si="38"/>
        <v>1795</v>
      </c>
      <c r="I44" s="523">
        <f t="shared" si="39"/>
        <v>0</v>
      </c>
      <c r="J44" s="523"/>
      <c r="K44" s="523">
        <v>0</v>
      </c>
      <c r="L44" s="523">
        <f t="shared" si="40"/>
        <v>1795</v>
      </c>
      <c r="M44" s="528"/>
      <c r="N44" s="528">
        <v>1795</v>
      </c>
      <c r="O44" s="528">
        <f>R44+U44</f>
        <v>1795</v>
      </c>
      <c r="P44" s="543">
        <f t="shared" si="24"/>
        <v>0</v>
      </c>
      <c r="Q44" s="543">
        <f t="shared" si="25"/>
        <v>1795</v>
      </c>
      <c r="R44" s="528">
        <f>S44+T44</f>
        <v>0</v>
      </c>
      <c r="S44" s="528"/>
      <c r="T44" s="528"/>
      <c r="U44" s="528">
        <f>V44+W44</f>
        <v>1795</v>
      </c>
      <c r="V44" s="528"/>
      <c r="W44" s="528">
        <v>1795</v>
      </c>
      <c r="X44" s="528">
        <f t="shared" ref="X44:X47" si="44">Y44+AB44</f>
        <v>0</v>
      </c>
      <c r="Y44" s="528">
        <f t="shared" ref="Y44:Y47" si="45">Z44+AA44</f>
        <v>0</v>
      </c>
      <c r="Z44" s="528"/>
      <c r="AA44" s="528"/>
      <c r="AB44" s="528">
        <f t="shared" ref="AB44:AB47" si="46">AC44+AD44</f>
        <v>0</v>
      </c>
      <c r="AC44" s="528"/>
      <c r="AD44" s="528"/>
      <c r="AE44" s="528"/>
      <c r="AF44" s="528"/>
      <c r="AG44" s="528"/>
      <c r="AH44" s="528"/>
      <c r="AI44" s="528"/>
      <c r="AJ44" s="528"/>
      <c r="AK44" s="528">
        <f t="shared" si="21"/>
        <v>0</v>
      </c>
      <c r="AL44" s="523">
        <f t="shared" si="36"/>
        <v>0</v>
      </c>
      <c r="AM44" s="523">
        <f t="shared" si="36"/>
        <v>0</v>
      </c>
      <c r="AN44" s="528">
        <f t="shared" si="37"/>
        <v>0</v>
      </c>
      <c r="AO44" s="528">
        <f t="shared" si="37"/>
        <v>0</v>
      </c>
      <c r="AP44" s="528">
        <f t="shared" si="2"/>
        <v>0</v>
      </c>
      <c r="AQ44" s="529"/>
      <c r="AR44" s="529"/>
    </row>
    <row r="45" spans="1:44" s="83" customFormat="1" hidden="1" outlineLevel="1">
      <c r="A45" s="535"/>
      <c r="B45" s="522" t="s">
        <v>194</v>
      </c>
      <c r="C45" s="528">
        <f t="shared" si="33"/>
        <v>135.28999999999996</v>
      </c>
      <c r="D45" s="523">
        <v>0</v>
      </c>
      <c r="E45" s="523">
        <v>0</v>
      </c>
      <c r="F45" s="528">
        <v>0</v>
      </c>
      <c r="G45" s="528">
        <v>135.28999999999996</v>
      </c>
      <c r="H45" s="523">
        <f t="shared" si="38"/>
        <v>1590</v>
      </c>
      <c r="I45" s="523">
        <f t="shared" si="39"/>
        <v>0</v>
      </c>
      <c r="J45" s="523"/>
      <c r="K45" s="523">
        <v>0</v>
      </c>
      <c r="L45" s="523">
        <f t="shared" si="40"/>
        <v>1590</v>
      </c>
      <c r="M45" s="528"/>
      <c r="N45" s="528">
        <v>1590</v>
      </c>
      <c r="O45" s="528">
        <f>R45+U45</f>
        <v>1686.95</v>
      </c>
      <c r="P45" s="543">
        <f t="shared" si="24"/>
        <v>0</v>
      </c>
      <c r="Q45" s="543">
        <f t="shared" si="25"/>
        <v>1686.95</v>
      </c>
      <c r="R45" s="528">
        <f>S45+T45</f>
        <v>0</v>
      </c>
      <c r="S45" s="528"/>
      <c r="T45" s="528"/>
      <c r="U45" s="528">
        <f>V45+W45</f>
        <v>1686.95</v>
      </c>
      <c r="V45" s="528"/>
      <c r="W45" s="528">
        <v>1686.95</v>
      </c>
      <c r="X45" s="528">
        <f t="shared" si="44"/>
        <v>38.29</v>
      </c>
      <c r="Y45" s="528">
        <f t="shared" si="45"/>
        <v>0</v>
      </c>
      <c r="Z45" s="528"/>
      <c r="AA45" s="528"/>
      <c r="AB45" s="528">
        <f t="shared" si="46"/>
        <v>38.29</v>
      </c>
      <c r="AC45" s="528"/>
      <c r="AD45" s="528">
        <v>38.29</v>
      </c>
      <c r="AE45" s="528"/>
      <c r="AF45" s="528"/>
      <c r="AG45" s="528"/>
      <c r="AH45" s="528"/>
      <c r="AI45" s="528"/>
      <c r="AJ45" s="528"/>
      <c r="AK45" s="528">
        <f t="shared" si="21"/>
        <v>4.9999999999918998E-2</v>
      </c>
      <c r="AL45" s="523">
        <f t="shared" si="36"/>
        <v>0</v>
      </c>
      <c r="AM45" s="523">
        <f t="shared" si="36"/>
        <v>0</v>
      </c>
      <c r="AN45" s="528">
        <f t="shared" si="37"/>
        <v>0</v>
      </c>
      <c r="AO45" s="528">
        <f t="shared" si="37"/>
        <v>4.9999999999918998E-2</v>
      </c>
      <c r="AP45" s="528">
        <f t="shared" si="2"/>
        <v>0</v>
      </c>
      <c r="AQ45" s="529"/>
      <c r="AR45" s="529"/>
    </row>
    <row r="46" spans="1:44" s="83" customFormat="1" hidden="1" outlineLevel="1">
      <c r="A46" s="535"/>
      <c r="B46" s="536" t="s">
        <v>195</v>
      </c>
      <c r="C46" s="528">
        <f t="shared" si="33"/>
        <v>19.718000000000075</v>
      </c>
      <c r="D46" s="523">
        <v>0</v>
      </c>
      <c r="E46" s="523">
        <v>0</v>
      </c>
      <c r="F46" s="528">
        <v>0</v>
      </c>
      <c r="G46" s="528">
        <v>19.718000000000075</v>
      </c>
      <c r="H46" s="523">
        <f t="shared" si="38"/>
        <v>1538</v>
      </c>
      <c r="I46" s="523">
        <f t="shared" si="39"/>
        <v>0</v>
      </c>
      <c r="J46" s="523"/>
      <c r="K46" s="523">
        <v>0</v>
      </c>
      <c r="L46" s="523">
        <f t="shared" si="40"/>
        <v>1538</v>
      </c>
      <c r="M46" s="528"/>
      <c r="N46" s="528">
        <v>1538</v>
      </c>
      <c r="O46" s="528">
        <f>R46+U46</f>
        <v>1508.5889999999999</v>
      </c>
      <c r="P46" s="543">
        <f t="shared" si="24"/>
        <v>0</v>
      </c>
      <c r="Q46" s="543">
        <f t="shared" si="25"/>
        <v>1508.5889999999999</v>
      </c>
      <c r="R46" s="528">
        <f>S46+T46</f>
        <v>0</v>
      </c>
      <c r="S46" s="528"/>
      <c r="T46" s="528"/>
      <c r="U46" s="528">
        <f>V46+W46</f>
        <v>1508.5889999999999</v>
      </c>
      <c r="V46" s="528"/>
      <c r="W46" s="528">
        <v>1508.5889999999999</v>
      </c>
      <c r="X46" s="528">
        <f t="shared" si="44"/>
        <v>0</v>
      </c>
      <c r="Y46" s="528">
        <f t="shared" si="45"/>
        <v>0</v>
      </c>
      <c r="Z46" s="528"/>
      <c r="AA46" s="528"/>
      <c r="AB46" s="528">
        <f t="shared" si="46"/>
        <v>0</v>
      </c>
      <c r="AC46" s="528"/>
      <c r="AD46" s="528"/>
      <c r="AE46" s="528"/>
      <c r="AF46" s="528"/>
      <c r="AG46" s="528"/>
      <c r="AH46" s="528"/>
      <c r="AI46" s="528"/>
      <c r="AJ46" s="528"/>
      <c r="AK46" s="528">
        <f t="shared" si="21"/>
        <v>49.129000000000133</v>
      </c>
      <c r="AL46" s="523">
        <f t="shared" si="36"/>
        <v>0</v>
      </c>
      <c r="AM46" s="523">
        <f t="shared" si="36"/>
        <v>0</v>
      </c>
      <c r="AN46" s="528">
        <f t="shared" si="37"/>
        <v>0</v>
      </c>
      <c r="AO46" s="528">
        <f t="shared" si="37"/>
        <v>49.129000000000133</v>
      </c>
      <c r="AP46" s="528">
        <f t="shared" si="2"/>
        <v>0</v>
      </c>
      <c r="AQ46" s="529"/>
      <c r="AR46" s="529"/>
    </row>
    <row r="47" spans="1:44" s="83" customFormat="1" hidden="1" outlineLevel="1">
      <c r="A47" s="535"/>
      <c r="B47" s="536" t="s">
        <v>196</v>
      </c>
      <c r="C47" s="528">
        <f t="shared" si="33"/>
        <v>34.67999999999995</v>
      </c>
      <c r="D47" s="523">
        <v>0</v>
      </c>
      <c r="E47" s="523">
        <v>0</v>
      </c>
      <c r="F47" s="528">
        <v>0</v>
      </c>
      <c r="G47" s="528">
        <v>34.67999999999995</v>
      </c>
      <c r="H47" s="523">
        <f t="shared" si="38"/>
        <v>1205</v>
      </c>
      <c r="I47" s="523">
        <f t="shared" si="39"/>
        <v>0</v>
      </c>
      <c r="J47" s="523"/>
      <c r="K47" s="523">
        <v>0</v>
      </c>
      <c r="L47" s="523">
        <f t="shared" si="40"/>
        <v>1205</v>
      </c>
      <c r="M47" s="528"/>
      <c r="N47" s="528">
        <v>1205</v>
      </c>
      <c r="O47" s="528">
        <f>R47+U47</f>
        <v>1195.76</v>
      </c>
      <c r="P47" s="543">
        <f t="shared" si="24"/>
        <v>0</v>
      </c>
      <c r="Q47" s="543">
        <f t="shared" si="25"/>
        <v>1195.76</v>
      </c>
      <c r="R47" s="528">
        <f>S47+T47</f>
        <v>0</v>
      </c>
      <c r="S47" s="528"/>
      <c r="T47" s="528"/>
      <c r="U47" s="528">
        <f>V47+W47</f>
        <v>1195.76</v>
      </c>
      <c r="V47" s="528"/>
      <c r="W47" s="528">
        <v>1195.76</v>
      </c>
      <c r="X47" s="528">
        <f t="shared" si="44"/>
        <v>34.67999999999995</v>
      </c>
      <c r="Y47" s="528">
        <f t="shared" si="45"/>
        <v>0</v>
      </c>
      <c r="Z47" s="528"/>
      <c r="AA47" s="528"/>
      <c r="AB47" s="528">
        <f t="shared" si="46"/>
        <v>34.67999999999995</v>
      </c>
      <c r="AC47" s="528"/>
      <c r="AD47" s="528">
        <v>34.67999999999995</v>
      </c>
      <c r="AE47" s="528"/>
      <c r="AF47" s="528"/>
      <c r="AG47" s="528"/>
      <c r="AH47" s="528"/>
      <c r="AI47" s="528"/>
      <c r="AJ47" s="528"/>
      <c r="AK47" s="528">
        <f t="shared" si="21"/>
        <v>9.2399999999998954</v>
      </c>
      <c r="AL47" s="523">
        <f t="shared" si="36"/>
        <v>0</v>
      </c>
      <c r="AM47" s="523">
        <f t="shared" si="36"/>
        <v>0</v>
      </c>
      <c r="AN47" s="528">
        <f t="shared" si="37"/>
        <v>0</v>
      </c>
      <c r="AO47" s="528">
        <f t="shared" si="37"/>
        <v>9.2399999999998954</v>
      </c>
      <c r="AP47" s="528">
        <f t="shared" si="2"/>
        <v>0</v>
      </c>
      <c r="AQ47" s="529"/>
      <c r="AR47" s="529"/>
    </row>
    <row r="48" spans="1:44" s="83" customFormat="1" ht="31.2" hidden="1" outlineLevel="1">
      <c r="A48" s="535" t="s">
        <v>105</v>
      </c>
      <c r="B48" s="536" t="s">
        <v>372</v>
      </c>
      <c r="C48" s="528">
        <f t="shared" si="33"/>
        <v>1694.7245000000012</v>
      </c>
      <c r="D48" s="523">
        <v>0</v>
      </c>
      <c r="E48" s="523">
        <v>2.319999999999709</v>
      </c>
      <c r="F48" s="528">
        <v>0</v>
      </c>
      <c r="G48" s="528">
        <v>1692.4045000000015</v>
      </c>
      <c r="H48" s="523">
        <f t="shared" si="38"/>
        <v>34226</v>
      </c>
      <c r="I48" s="523">
        <f>SUM(I49:I54)</f>
        <v>1607</v>
      </c>
      <c r="J48" s="523">
        <f t="shared" ref="J48:AR48" si="47">SUM(J49:J54)</f>
        <v>0</v>
      </c>
      <c r="K48" s="523">
        <f t="shared" si="47"/>
        <v>1607</v>
      </c>
      <c r="L48" s="523">
        <f t="shared" si="47"/>
        <v>32619</v>
      </c>
      <c r="M48" s="523">
        <f t="shared" si="47"/>
        <v>0</v>
      </c>
      <c r="N48" s="523">
        <f>SUM(N49:N54)</f>
        <v>32619</v>
      </c>
      <c r="O48" s="523">
        <f t="shared" si="47"/>
        <v>34036.542000000001</v>
      </c>
      <c r="P48" s="543">
        <f t="shared" si="24"/>
        <v>0</v>
      </c>
      <c r="Q48" s="543">
        <f t="shared" si="25"/>
        <v>34036.542000000001</v>
      </c>
      <c r="R48" s="523">
        <f t="shared" si="47"/>
        <v>1595.433</v>
      </c>
      <c r="S48" s="523">
        <f t="shared" si="47"/>
        <v>0</v>
      </c>
      <c r="T48" s="523">
        <f t="shared" si="47"/>
        <v>1595.433</v>
      </c>
      <c r="U48" s="523">
        <f t="shared" si="47"/>
        <v>32441.109000000004</v>
      </c>
      <c r="V48" s="523">
        <f t="shared" si="47"/>
        <v>0</v>
      </c>
      <c r="W48" s="523">
        <f t="shared" si="47"/>
        <v>32441.109000000004</v>
      </c>
      <c r="X48" s="523">
        <f t="shared" si="47"/>
        <v>1430.617</v>
      </c>
      <c r="Y48" s="523">
        <f t="shared" si="47"/>
        <v>2.319999999999709</v>
      </c>
      <c r="Z48" s="523">
        <f t="shared" si="47"/>
        <v>0</v>
      </c>
      <c r="AA48" s="523">
        <f t="shared" si="47"/>
        <v>2.319999999999709</v>
      </c>
      <c r="AB48" s="523">
        <f t="shared" si="47"/>
        <v>1428.2970000000003</v>
      </c>
      <c r="AC48" s="523">
        <f t="shared" si="47"/>
        <v>0</v>
      </c>
      <c r="AD48" s="523">
        <f t="shared" si="47"/>
        <v>1428.2970000000003</v>
      </c>
      <c r="AE48" s="523">
        <f t="shared" si="47"/>
        <v>0</v>
      </c>
      <c r="AF48" s="523">
        <f t="shared" si="47"/>
        <v>0</v>
      </c>
      <c r="AG48" s="523">
        <f t="shared" si="47"/>
        <v>0</v>
      </c>
      <c r="AH48" s="523">
        <f t="shared" si="47"/>
        <v>0</v>
      </c>
      <c r="AI48" s="523">
        <f t="shared" si="47"/>
        <v>0</v>
      </c>
      <c r="AJ48" s="523">
        <f t="shared" si="47"/>
        <v>0</v>
      </c>
      <c r="AK48" s="523">
        <f t="shared" si="47"/>
        <v>453.56549999999817</v>
      </c>
      <c r="AL48" s="523">
        <f t="shared" si="47"/>
        <v>0</v>
      </c>
      <c r="AM48" s="523">
        <f t="shared" si="47"/>
        <v>11.567000000000007</v>
      </c>
      <c r="AN48" s="523">
        <f t="shared" si="47"/>
        <v>0</v>
      </c>
      <c r="AO48" s="523">
        <f t="shared" si="47"/>
        <v>441.99849999999816</v>
      </c>
      <c r="AP48" s="523">
        <f t="shared" si="2"/>
        <v>4.4906300900038332E-12</v>
      </c>
      <c r="AQ48" s="524">
        <f t="shared" si="47"/>
        <v>0</v>
      </c>
      <c r="AR48" s="524">
        <f t="shared" si="47"/>
        <v>11.567000000000007</v>
      </c>
    </row>
    <row r="49" spans="1:44" s="83" customFormat="1" hidden="1" outlineLevel="1">
      <c r="A49" s="535"/>
      <c r="B49" s="536" t="s">
        <v>178</v>
      </c>
      <c r="C49" s="528">
        <f t="shared" si="33"/>
        <v>2.319999999999709</v>
      </c>
      <c r="D49" s="523">
        <v>0</v>
      </c>
      <c r="E49" s="523">
        <v>2.319999999999709</v>
      </c>
      <c r="F49" s="528">
        <v>0</v>
      </c>
      <c r="G49" s="528">
        <v>0</v>
      </c>
      <c r="H49" s="523">
        <f t="shared" si="38"/>
        <v>1607</v>
      </c>
      <c r="I49" s="523">
        <f t="shared" si="39"/>
        <v>1607</v>
      </c>
      <c r="J49" s="523"/>
      <c r="K49" s="523">
        <f>4684-3077</f>
        <v>1607</v>
      </c>
      <c r="L49" s="523">
        <f>M49+N49</f>
        <v>0</v>
      </c>
      <c r="M49" s="528"/>
      <c r="N49" s="528"/>
      <c r="O49" s="528">
        <f t="shared" ref="O49:O54" si="48">R49+U49</f>
        <v>1595.433</v>
      </c>
      <c r="P49" s="543">
        <f t="shared" si="24"/>
        <v>0</v>
      </c>
      <c r="Q49" s="543">
        <f t="shared" si="25"/>
        <v>1595.433</v>
      </c>
      <c r="R49" s="528">
        <f t="shared" ref="R49:R54" si="49">S49+T49</f>
        <v>1595.433</v>
      </c>
      <c r="S49" s="528"/>
      <c r="T49" s="528">
        <v>1595.433</v>
      </c>
      <c r="U49" s="528"/>
      <c r="V49" s="528"/>
      <c r="W49" s="528"/>
      <c r="X49" s="528">
        <f>Y49+AB49</f>
        <v>2.319999999999709</v>
      </c>
      <c r="Y49" s="528">
        <f>Z49+AA49</f>
        <v>2.319999999999709</v>
      </c>
      <c r="Z49" s="528"/>
      <c r="AA49" s="528">
        <v>2.319999999999709</v>
      </c>
      <c r="AB49" s="528"/>
      <c r="AC49" s="528"/>
      <c r="AD49" s="528"/>
      <c r="AE49" s="528"/>
      <c r="AF49" s="528"/>
      <c r="AG49" s="528"/>
      <c r="AH49" s="528"/>
      <c r="AI49" s="528"/>
      <c r="AJ49" s="528"/>
      <c r="AK49" s="528">
        <f t="shared" si="21"/>
        <v>11.567000000000007</v>
      </c>
      <c r="AL49" s="523">
        <f t="shared" si="36"/>
        <v>0</v>
      </c>
      <c r="AM49" s="523">
        <f t="shared" si="36"/>
        <v>11.567000000000007</v>
      </c>
      <c r="AN49" s="528">
        <f t="shared" si="37"/>
        <v>0</v>
      </c>
      <c r="AO49" s="528">
        <f>G49+N49-W49-AD49-AJ49</f>
        <v>0</v>
      </c>
      <c r="AP49" s="528">
        <f t="shared" si="2"/>
        <v>0</v>
      </c>
      <c r="AQ49" s="529"/>
      <c r="AR49" s="529">
        <f>AM49</f>
        <v>11.567000000000007</v>
      </c>
    </row>
    <row r="50" spans="1:44" s="83" customFormat="1" hidden="1" outlineLevel="1">
      <c r="A50" s="535"/>
      <c r="B50" s="536" t="s">
        <v>192</v>
      </c>
      <c r="C50" s="528">
        <f t="shared" si="33"/>
        <v>1174.1774999999998</v>
      </c>
      <c r="D50" s="523">
        <v>0</v>
      </c>
      <c r="E50" s="523">
        <v>0</v>
      </c>
      <c r="F50" s="528">
        <v>0</v>
      </c>
      <c r="G50" s="528">
        <v>1174.1774999999998</v>
      </c>
      <c r="H50" s="523">
        <f t="shared" si="38"/>
        <v>7505</v>
      </c>
      <c r="I50" s="523">
        <f t="shared" si="39"/>
        <v>0</v>
      </c>
      <c r="J50" s="523"/>
      <c r="K50" s="523">
        <v>0</v>
      </c>
      <c r="L50" s="523">
        <f>M50+N50</f>
        <v>7505</v>
      </c>
      <c r="M50" s="528"/>
      <c r="N50" s="528">
        <f>6797+708</f>
        <v>7505</v>
      </c>
      <c r="O50" s="528">
        <f t="shared" si="48"/>
        <v>7432.5</v>
      </c>
      <c r="P50" s="543">
        <f t="shared" si="24"/>
        <v>0</v>
      </c>
      <c r="Q50" s="543">
        <f t="shared" si="25"/>
        <v>7432.5</v>
      </c>
      <c r="R50" s="528">
        <f t="shared" si="49"/>
        <v>0</v>
      </c>
      <c r="S50" s="528"/>
      <c r="T50" s="528"/>
      <c r="U50" s="528">
        <f>V50+W50</f>
        <v>7432.5</v>
      </c>
      <c r="V50" s="528"/>
      <c r="W50" s="528">
        <f>6400.5+324+708</f>
        <v>7432.5</v>
      </c>
      <c r="X50" s="528">
        <f t="shared" ref="X50:X54" si="50">Y50+AB50</f>
        <v>910.07</v>
      </c>
      <c r="Y50" s="528">
        <f t="shared" ref="Y50:Y54" si="51">Z50+AA50</f>
        <v>0</v>
      </c>
      <c r="Z50" s="528"/>
      <c r="AA50" s="528"/>
      <c r="AB50" s="528">
        <f t="shared" ref="AB50:AB54" si="52">AC50+AD50</f>
        <v>910.07</v>
      </c>
      <c r="AC50" s="528"/>
      <c r="AD50" s="528">
        <v>910.07</v>
      </c>
      <c r="AE50" s="528"/>
      <c r="AF50" s="528"/>
      <c r="AG50" s="528"/>
      <c r="AH50" s="528"/>
      <c r="AI50" s="528"/>
      <c r="AJ50" s="528"/>
      <c r="AK50" s="528">
        <f t="shared" si="21"/>
        <v>336.60749999999973</v>
      </c>
      <c r="AL50" s="523">
        <f t="shared" si="36"/>
        <v>0</v>
      </c>
      <c r="AM50" s="523">
        <f t="shared" si="36"/>
        <v>0</v>
      </c>
      <c r="AN50" s="528">
        <f t="shared" si="37"/>
        <v>0</v>
      </c>
      <c r="AO50" s="528">
        <f>G50+N50-W50-AD50-AJ50</f>
        <v>336.60749999999973</v>
      </c>
      <c r="AP50" s="528">
        <f t="shared" si="2"/>
        <v>0</v>
      </c>
      <c r="AQ50" s="529"/>
      <c r="AR50" s="529"/>
    </row>
    <row r="51" spans="1:44" s="83" customFormat="1" hidden="1" outlineLevel="1">
      <c r="A51" s="535"/>
      <c r="B51" s="536" t="s">
        <v>193</v>
      </c>
      <c r="C51" s="528">
        <f t="shared" si="33"/>
        <v>185.01000000000022</v>
      </c>
      <c r="D51" s="523">
        <v>0</v>
      </c>
      <c r="E51" s="523">
        <v>0</v>
      </c>
      <c r="F51" s="528">
        <v>0</v>
      </c>
      <c r="G51" s="528">
        <v>185.01000000000022</v>
      </c>
      <c r="H51" s="523">
        <f t="shared" si="38"/>
        <v>7355</v>
      </c>
      <c r="I51" s="523">
        <f t="shared" si="39"/>
        <v>0</v>
      </c>
      <c r="J51" s="523"/>
      <c r="K51" s="523">
        <v>0</v>
      </c>
      <c r="L51" s="523">
        <f>M51+N51</f>
        <v>7355</v>
      </c>
      <c r="M51" s="528"/>
      <c r="N51" s="528">
        <f>6662+693</f>
        <v>7355</v>
      </c>
      <c r="O51" s="528">
        <f t="shared" si="48"/>
        <v>7354.1</v>
      </c>
      <c r="P51" s="543">
        <f t="shared" si="24"/>
        <v>0</v>
      </c>
      <c r="Q51" s="543">
        <f t="shared" si="25"/>
        <v>7354.1</v>
      </c>
      <c r="R51" s="528">
        <f t="shared" si="49"/>
        <v>0</v>
      </c>
      <c r="S51" s="528"/>
      <c r="T51" s="528"/>
      <c r="U51" s="528">
        <f>V51+W51</f>
        <v>7354.1</v>
      </c>
      <c r="V51" s="528"/>
      <c r="W51" s="528">
        <f>6662+692.1</f>
        <v>7354.1</v>
      </c>
      <c r="X51" s="528">
        <f t="shared" si="50"/>
        <v>185.01000000000022</v>
      </c>
      <c r="Y51" s="528">
        <f t="shared" si="51"/>
        <v>0</v>
      </c>
      <c r="Z51" s="528"/>
      <c r="AA51" s="528"/>
      <c r="AB51" s="528">
        <f t="shared" si="52"/>
        <v>185.01000000000022</v>
      </c>
      <c r="AC51" s="528"/>
      <c r="AD51" s="528">
        <v>185.01000000000022</v>
      </c>
      <c r="AE51" s="528"/>
      <c r="AF51" s="528"/>
      <c r="AG51" s="528"/>
      <c r="AH51" s="528"/>
      <c r="AI51" s="528"/>
      <c r="AJ51" s="528"/>
      <c r="AK51" s="528">
        <f t="shared" si="21"/>
        <v>0.8999999999996362</v>
      </c>
      <c r="AL51" s="523">
        <f t="shared" si="36"/>
        <v>0</v>
      </c>
      <c r="AM51" s="523">
        <f t="shared" si="36"/>
        <v>0</v>
      </c>
      <c r="AN51" s="528">
        <f t="shared" si="37"/>
        <v>0</v>
      </c>
      <c r="AO51" s="528">
        <f>G51+N51-W51-AD51-AJ51</f>
        <v>0.8999999999996362</v>
      </c>
      <c r="AP51" s="528">
        <f t="shared" si="2"/>
        <v>0</v>
      </c>
      <c r="AQ51" s="529"/>
      <c r="AR51" s="529"/>
    </row>
    <row r="52" spans="1:44" s="83" customFormat="1" hidden="1" outlineLevel="1">
      <c r="A52" s="535"/>
      <c r="B52" s="522" t="s">
        <v>194</v>
      </c>
      <c r="C52" s="528">
        <f t="shared" si="33"/>
        <v>81.319999999999823</v>
      </c>
      <c r="D52" s="523">
        <v>0</v>
      </c>
      <c r="E52" s="523">
        <v>0</v>
      </c>
      <c r="F52" s="528">
        <v>0</v>
      </c>
      <c r="G52" s="528">
        <v>81.319999999999823</v>
      </c>
      <c r="H52" s="523">
        <f t="shared" si="38"/>
        <v>6515</v>
      </c>
      <c r="I52" s="523">
        <f t="shared" si="39"/>
        <v>0</v>
      </c>
      <c r="J52" s="523"/>
      <c r="K52" s="523">
        <v>0</v>
      </c>
      <c r="L52" s="523">
        <f>M52+N52</f>
        <v>6515</v>
      </c>
      <c r="M52" s="528"/>
      <c r="N52" s="528">
        <f>5900+615</f>
        <v>6515</v>
      </c>
      <c r="O52" s="528">
        <f t="shared" si="48"/>
        <v>6430.6</v>
      </c>
      <c r="P52" s="543">
        <f t="shared" si="24"/>
        <v>0</v>
      </c>
      <c r="Q52" s="543">
        <f t="shared" si="25"/>
        <v>6430.6</v>
      </c>
      <c r="R52" s="528">
        <f t="shared" si="49"/>
        <v>0</v>
      </c>
      <c r="S52" s="528"/>
      <c r="T52" s="528"/>
      <c r="U52" s="528">
        <f>V52+W52</f>
        <v>6430.6</v>
      </c>
      <c r="V52" s="528"/>
      <c r="W52" s="528">
        <f>5815.6+615</f>
        <v>6430.6</v>
      </c>
      <c r="X52" s="528">
        <f t="shared" si="50"/>
        <v>81.319999999999993</v>
      </c>
      <c r="Y52" s="528">
        <f t="shared" si="51"/>
        <v>0</v>
      </c>
      <c r="Z52" s="528"/>
      <c r="AA52" s="528"/>
      <c r="AB52" s="528">
        <f t="shared" si="52"/>
        <v>81.319999999999993</v>
      </c>
      <c r="AC52" s="528"/>
      <c r="AD52" s="528">
        <v>81.319999999999993</v>
      </c>
      <c r="AE52" s="528"/>
      <c r="AF52" s="528"/>
      <c r="AG52" s="528"/>
      <c r="AH52" s="528"/>
      <c r="AI52" s="528"/>
      <c r="AJ52" s="528"/>
      <c r="AK52" s="528">
        <f t="shared" si="21"/>
        <v>84.399999999999352</v>
      </c>
      <c r="AL52" s="523">
        <f t="shared" si="36"/>
        <v>0</v>
      </c>
      <c r="AM52" s="523">
        <f t="shared" si="36"/>
        <v>0</v>
      </c>
      <c r="AN52" s="528">
        <f t="shared" si="37"/>
        <v>0</v>
      </c>
      <c r="AO52" s="528">
        <f>G52+N52-W52-AD52-AJ52</f>
        <v>84.399999999999352</v>
      </c>
      <c r="AP52" s="528">
        <f t="shared" si="2"/>
        <v>0</v>
      </c>
      <c r="AQ52" s="529"/>
      <c r="AR52" s="529"/>
    </row>
    <row r="53" spans="1:44" s="83" customFormat="1" hidden="1" outlineLevel="1">
      <c r="A53" s="535"/>
      <c r="B53" s="536" t="s">
        <v>195</v>
      </c>
      <c r="C53" s="528">
        <f t="shared" si="33"/>
        <v>229.97699999999986</v>
      </c>
      <c r="D53" s="523">
        <v>0</v>
      </c>
      <c r="E53" s="523">
        <v>0</v>
      </c>
      <c r="F53" s="528">
        <v>0</v>
      </c>
      <c r="G53" s="528">
        <v>229.97699999999986</v>
      </c>
      <c r="H53" s="523">
        <f t="shared" si="38"/>
        <v>6305</v>
      </c>
      <c r="I53" s="523">
        <f t="shared" si="39"/>
        <v>0</v>
      </c>
      <c r="J53" s="523"/>
      <c r="K53" s="523">
        <v>0</v>
      </c>
      <c r="L53" s="523">
        <f t="shared" si="40"/>
        <v>6305</v>
      </c>
      <c r="M53" s="528"/>
      <c r="N53" s="528">
        <f>5710+595</f>
        <v>6305</v>
      </c>
      <c r="O53" s="528">
        <f t="shared" si="48"/>
        <v>6290.3990000000003</v>
      </c>
      <c r="P53" s="543">
        <f t="shared" si="24"/>
        <v>0</v>
      </c>
      <c r="Q53" s="543">
        <f t="shared" si="25"/>
        <v>6290.3990000000003</v>
      </c>
      <c r="R53" s="528">
        <f t="shared" si="49"/>
        <v>0</v>
      </c>
      <c r="S53" s="528"/>
      <c r="T53" s="528"/>
      <c r="U53" s="528">
        <f>V53+W53</f>
        <v>6290.3990000000003</v>
      </c>
      <c r="V53" s="528"/>
      <c r="W53" s="528">
        <f>5710+580.399</f>
        <v>6290.3990000000003</v>
      </c>
      <c r="X53" s="528">
        <f t="shared" si="50"/>
        <v>229.97699999999986</v>
      </c>
      <c r="Y53" s="528">
        <f t="shared" si="51"/>
        <v>0</v>
      </c>
      <c r="Z53" s="528"/>
      <c r="AA53" s="528"/>
      <c r="AB53" s="528">
        <f t="shared" si="52"/>
        <v>229.97699999999986</v>
      </c>
      <c r="AC53" s="528"/>
      <c r="AD53" s="528">
        <v>229.97699999999986</v>
      </c>
      <c r="AE53" s="528"/>
      <c r="AF53" s="528"/>
      <c r="AG53" s="528"/>
      <c r="AH53" s="528"/>
      <c r="AI53" s="528"/>
      <c r="AJ53" s="528"/>
      <c r="AK53" s="528">
        <f t="shared" si="21"/>
        <v>14.600999999999658</v>
      </c>
      <c r="AL53" s="523">
        <f t="shared" si="36"/>
        <v>0</v>
      </c>
      <c r="AM53" s="523">
        <f t="shared" si="36"/>
        <v>0</v>
      </c>
      <c r="AN53" s="528">
        <f t="shared" si="37"/>
        <v>0</v>
      </c>
      <c r="AO53" s="528">
        <f t="shared" si="37"/>
        <v>14.600999999999658</v>
      </c>
      <c r="AP53" s="528">
        <f t="shared" si="2"/>
        <v>0</v>
      </c>
      <c r="AQ53" s="529"/>
      <c r="AR53" s="529"/>
    </row>
    <row r="54" spans="1:44" s="83" customFormat="1" hidden="1" outlineLevel="1">
      <c r="A54" s="535"/>
      <c r="B54" s="536" t="s">
        <v>196</v>
      </c>
      <c r="C54" s="528">
        <f t="shared" si="33"/>
        <v>21.920000000000073</v>
      </c>
      <c r="D54" s="523">
        <v>0</v>
      </c>
      <c r="E54" s="523">
        <v>0</v>
      </c>
      <c r="F54" s="528">
        <v>0</v>
      </c>
      <c r="G54" s="528">
        <v>21.920000000000073</v>
      </c>
      <c r="H54" s="523">
        <f t="shared" si="38"/>
        <v>4939</v>
      </c>
      <c r="I54" s="523">
        <f t="shared" si="39"/>
        <v>0</v>
      </c>
      <c r="J54" s="523"/>
      <c r="K54" s="523">
        <v>0</v>
      </c>
      <c r="L54" s="523">
        <f t="shared" si="40"/>
        <v>4939</v>
      </c>
      <c r="M54" s="528"/>
      <c r="N54" s="528">
        <f>4473+466</f>
        <v>4939</v>
      </c>
      <c r="O54" s="528">
        <f t="shared" si="48"/>
        <v>4933.51</v>
      </c>
      <c r="P54" s="543">
        <f t="shared" si="24"/>
        <v>0</v>
      </c>
      <c r="Q54" s="543">
        <f t="shared" si="25"/>
        <v>4933.51</v>
      </c>
      <c r="R54" s="528">
        <f t="shared" si="49"/>
        <v>0</v>
      </c>
      <c r="S54" s="528"/>
      <c r="T54" s="528"/>
      <c r="U54" s="528">
        <f>V54+W54</f>
        <v>4933.51</v>
      </c>
      <c r="V54" s="528"/>
      <c r="W54" s="528">
        <v>4933.51</v>
      </c>
      <c r="X54" s="528">
        <f t="shared" si="50"/>
        <v>21.920000000000073</v>
      </c>
      <c r="Y54" s="528">
        <f t="shared" si="51"/>
        <v>0</v>
      </c>
      <c r="Z54" s="528"/>
      <c r="AA54" s="528"/>
      <c r="AB54" s="528">
        <f t="shared" si="52"/>
        <v>21.920000000000073</v>
      </c>
      <c r="AC54" s="528"/>
      <c r="AD54" s="528">
        <v>21.920000000000073</v>
      </c>
      <c r="AE54" s="528"/>
      <c r="AF54" s="528"/>
      <c r="AG54" s="528"/>
      <c r="AH54" s="528"/>
      <c r="AI54" s="528"/>
      <c r="AJ54" s="528"/>
      <c r="AK54" s="528">
        <f t="shared" si="21"/>
        <v>5.4899999999997817</v>
      </c>
      <c r="AL54" s="523">
        <f t="shared" si="36"/>
        <v>0</v>
      </c>
      <c r="AM54" s="523">
        <f t="shared" si="36"/>
        <v>0</v>
      </c>
      <c r="AN54" s="528">
        <f t="shared" si="37"/>
        <v>0</v>
      </c>
      <c r="AO54" s="528">
        <f t="shared" si="37"/>
        <v>5.4899999999997817</v>
      </c>
      <c r="AP54" s="528">
        <f t="shared" si="2"/>
        <v>0</v>
      </c>
      <c r="AQ54" s="529"/>
      <c r="AR54" s="529"/>
    </row>
    <row r="55" spans="1:44" s="83" customFormat="1" ht="31.2" hidden="1" outlineLevel="1">
      <c r="A55" s="535" t="s">
        <v>107</v>
      </c>
      <c r="B55" s="536" t="s">
        <v>373</v>
      </c>
      <c r="C55" s="528">
        <f t="shared" si="33"/>
        <v>406.261506</v>
      </c>
      <c r="D55" s="523">
        <v>0</v>
      </c>
      <c r="E55" s="523">
        <v>406.261506</v>
      </c>
      <c r="F55" s="523">
        <v>0</v>
      </c>
      <c r="G55" s="523">
        <v>0</v>
      </c>
      <c r="H55" s="523">
        <f t="shared" ref="H55" si="53">SUM(H56:H57)</f>
        <v>653</v>
      </c>
      <c r="I55" s="523">
        <f t="shared" ref="I55:AO55" si="54">SUM(I56:I57)</f>
        <v>653</v>
      </c>
      <c r="J55" s="523">
        <f t="shared" si="54"/>
        <v>0</v>
      </c>
      <c r="K55" s="523">
        <f t="shared" si="54"/>
        <v>653</v>
      </c>
      <c r="L55" s="523">
        <f t="shared" si="54"/>
        <v>0</v>
      </c>
      <c r="M55" s="523">
        <f t="shared" si="54"/>
        <v>0</v>
      </c>
      <c r="N55" s="523">
        <f t="shared" si="54"/>
        <v>0</v>
      </c>
      <c r="O55" s="523">
        <f t="shared" si="54"/>
        <v>338.514365</v>
      </c>
      <c r="P55" s="543">
        <f t="shared" si="24"/>
        <v>0</v>
      </c>
      <c r="Q55" s="543">
        <f t="shared" si="25"/>
        <v>338.514365</v>
      </c>
      <c r="R55" s="523">
        <f t="shared" si="54"/>
        <v>338.514365</v>
      </c>
      <c r="S55" s="523">
        <f t="shared" si="54"/>
        <v>0</v>
      </c>
      <c r="T55" s="523">
        <f t="shared" si="54"/>
        <v>338.514365</v>
      </c>
      <c r="U55" s="523">
        <f t="shared" si="54"/>
        <v>0</v>
      </c>
      <c r="V55" s="523">
        <f t="shared" si="54"/>
        <v>0</v>
      </c>
      <c r="W55" s="523">
        <f t="shared" si="54"/>
        <v>0</v>
      </c>
      <c r="X55" s="523">
        <f t="shared" si="54"/>
        <v>720.74714100000006</v>
      </c>
      <c r="Y55" s="523">
        <f t="shared" si="54"/>
        <v>720.74714100000006</v>
      </c>
      <c r="Z55" s="523">
        <f t="shared" si="54"/>
        <v>0</v>
      </c>
      <c r="AA55" s="523">
        <f t="shared" si="54"/>
        <v>720.74714100000006</v>
      </c>
      <c r="AB55" s="523">
        <f t="shared" si="54"/>
        <v>0</v>
      </c>
      <c r="AC55" s="523">
        <f t="shared" si="54"/>
        <v>0</v>
      </c>
      <c r="AD55" s="523">
        <f t="shared" si="54"/>
        <v>0</v>
      </c>
      <c r="AE55" s="523">
        <f t="shared" si="54"/>
        <v>0</v>
      </c>
      <c r="AF55" s="523">
        <f t="shared" si="54"/>
        <v>0</v>
      </c>
      <c r="AG55" s="523">
        <f t="shared" si="54"/>
        <v>0</v>
      </c>
      <c r="AH55" s="523">
        <f t="shared" si="54"/>
        <v>0</v>
      </c>
      <c r="AI55" s="523">
        <f t="shared" si="54"/>
        <v>0</v>
      </c>
      <c r="AJ55" s="523">
        <f t="shared" si="54"/>
        <v>0</v>
      </c>
      <c r="AK55" s="523">
        <f t="shared" si="54"/>
        <v>0</v>
      </c>
      <c r="AL55" s="523">
        <f t="shared" si="54"/>
        <v>0</v>
      </c>
      <c r="AM55" s="523">
        <f t="shared" si="54"/>
        <v>0</v>
      </c>
      <c r="AN55" s="523">
        <f t="shared" si="54"/>
        <v>0</v>
      </c>
      <c r="AO55" s="523">
        <f t="shared" si="54"/>
        <v>0</v>
      </c>
      <c r="AP55" s="523">
        <f t="shared" si="2"/>
        <v>0</v>
      </c>
      <c r="AQ55" s="524"/>
      <c r="AR55" s="524"/>
    </row>
    <row r="56" spans="1:44" s="83" customFormat="1" hidden="1" outlineLevel="1">
      <c r="A56" s="535"/>
      <c r="B56" s="527" t="s">
        <v>180</v>
      </c>
      <c r="C56" s="528">
        <f t="shared" si="33"/>
        <v>0</v>
      </c>
      <c r="D56" s="523">
        <v>0</v>
      </c>
      <c r="E56" s="523">
        <v>0</v>
      </c>
      <c r="F56" s="528">
        <v>0</v>
      </c>
      <c r="G56" s="528">
        <v>0</v>
      </c>
      <c r="H56" s="523">
        <f t="shared" si="38"/>
        <v>653</v>
      </c>
      <c r="I56" s="523">
        <f t="shared" si="39"/>
        <v>653</v>
      </c>
      <c r="J56" s="523"/>
      <c r="K56" s="523">
        <v>653</v>
      </c>
      <c r="L56" s="523">
        <f t="shared" si="40"/>
        <v>0</v>
      </c>
      <c r="M56" s="528"/>
      <c r="N56" s="528"/>
      <c r="O56" s="528">
        <f>R56+U56</f>
        <v>338.514365</v>
      </c>
      <c r="P56" s="543">
        <f t="shared" si="24"/>
        <v>0</v>
      </c>
      <c r="Q56" s="543">
        <f t="shared" si="25"/>
        <v>338.514365</v>
      </c>
      <c r="R56" s="528">
        <f>S56+T56</f>
        <v>338.514365</v>
      </c>
      <c r="S56" s="528"/>
      <c r="T56" s="523">
        <v>338.514365</v>
      </c>
      <c r="U56" s="528"/>
      <c r="V56" s="528"/>
      <c r="W56" s="528"/>
      <c r="X56" s="528">
        <f>Y56+AB56</f>
        <v>314.485635</v>
      </c>
      <c r="Y56" s="528">
        <f>Z56+AA56</f>
        <v>314.485635</v>
      </c>
      <c r="Z56" s="528"/>
      <c r="AA56" s="528">
        <v>314.485635</v>
      </c>
      <c r="AB56" s="528"/>
      <c r="AC56" s="528"/>
      <c r="AD56" s="528"/>
      <c r="AE56" s="528"/>
      <c r="AF56" s="528"/>
      <c r="AG56" s="528"/>
      <c r="AH56" s="528"/>
      <c r="AI56" s="528"/>
      <c r="AJ56" s="528"/>
      <c r="AK56" s="528">
        <f t="shared" si="21"/>
        <v>0</v>
      </c>
      <c r="AL56" s="523">
        <f t="shared" ref="AL56:AM94" si="55">D56+J56-S56-Z56-AF56</f>
        <v>0</v>
      </c>
      <c r="AM56" s="523">
        <f t="shared" si="55"/>
        <v>0</v>
      </c>
      <c r="AN56" s="528">
        <f t="shared" ref="AN56:AO94" si="56">F56+M56-V56-AC56-AI56</f>
        <v>0</v>
      </c>
      <c r="AO56" s="528">
        <f t="shared" si="56"/>
        <v>0</v>
      </c>
      <c r="AP56" s="528">
        <f t="shared" si="2"/>
        <v>0</v>
      </c>
      <c r="AQ56" s="529"/>
      <c r="AR56" s="529"/>
    </row>
    <row r="57" spans="1:44" s="83" customFormat="1" hidden="1" outlineLevel="1">
      <c r="A57" s="535"/>
      <c r="B57" s="527" t="s">
        <v>374</v>
      </c>
      <c r="C57" s="528">
        <f t="shared" si="33"/>
        <v>406.261506</v>
      </c>
      <c r="D57" s="523">
        <v>0</v>
      </c>
      <c r="E57" s="523">
        <v>406.261506</v>
      </c>
      <c r="F57" s="528">
        <v>0</v>
      </c>
      <c r="G57" s="528">
        <v>0</v>
      </c>
      <c r="H57" s="523">
        <f>I57+L57</f>
        <v>0</v>
      </c>
      <c r="I57" s="523">
        <f>J57+K57</f>
        <v>0</v>
      </c>
      <c r="J57" s="523"/>
      <c r="K57" s="523"/>
      <c r="L57" s="523"/>
      <c r="M57" s="528"/>
      <c r="N57" s="528"/>
      <c r="O57" s="528"/>
      <c r="P57" s="543">
        <f t="shared" si="24"/>
        <v>0</v>
      </c>
      <c r="Q57" s="543">
        <f t="shared" si="25"/>
        <v>0</v>
      </c>
      <c r="R57" s="528"/>
      <c r="S57" s="528"/>
      <c r="T57" s="528"/>
      <c r="U57" s="528"/>
      <c r="V57" s="528"/>
      <c r="W57" s="528"/>
      <c r="X57" s="528">
        <f>Y57+AB57</f>
        <v>406.261506</v>
      </c>
      <c r="Y57" s="528">
        <f>Z57+AA57</f>
        <v>406.261506</v>
      </c>
      <c r="Z57" s="528"/>
      <c r="AA57" s="528">
        <v>406.261506</v>
      </c>
      <c r="AB57" s="528"/>
      <c r="AC57" s="528"/>
      <c r="AD57" s="528"/>
      <c r="AE57" s="528"/>
      <c r="AF57" s="528"/>
      <c r="AG57" s="528"/>
      <c r="AH57" s="528"/>
      <c r="AI57" s="528"/>
      <c r="AJ57" s="528"/>
      <c r="AK57" s="528">
        <f>SUM(AL57:AO57)</f>
        <v>0</v>
      </c>
      <c r="AL57" s="523">
        <f t="shared" si="55"/>
        <v>0</v>
      </c>
      <c r="AM57" s="523">
        <f t="shared" si="55"/>
        <v>0</v>
      </c>
      <c r="AN57" s="528">
        <f t="shared" si="56"/>
        <v>0</v>
      </c>
      <c r="AO57" s="528">
        <f t="shared" si="56"/>
        <v>0</v>
      </c>
      <c r="AP57" s="528">
        <f t="shared" si="2"/>
        <v>0</v>
      </c>
      <c r="AQ57" s="529"/>
      <c r="AR57" s="529"/>
    </row>
    <row r="58" spans="1:44" s="84" customFormat="1" hidden="1" outlineLevel="1">
      <c r="A58" s="533" t="s">
        <v>212</v>
      </c>
      <c r="B58" s="518" t="s">
        <v>375</v>
      </c>
      <c r="C58" s="531">
        <f t="shared" ref="C58:G58" si="57">C59+C70+C81+C93</f>
        <v>9818.6161799999973</v>
      </c>
      <c r="D58" s="531">
        <f t="shared" si="57"/>
        <v>0</v>
      </c>
      <c r="E58" s="531">
        <f t="shared" si="57"/>
        <v>294.84199999999998</v>
      </c>
      <c r="F58" s="531">
        <f t="shared" si="57"/>
        <v>7899.4629999999997</v>
      </c>
      <c r="G58" s="531">
        <f t="shared" si="57"/>
        <v>1624.3111799999997</v>
      </c>
      <c r="H58" s="531">
        <f>H59+H70+H81+H93</f>
        <v>88841</v>
      </c>
      <c r="I58" s="531">
        <f t="shared" ref="I58:AR58" si="58">I59+I70+I81+I93</f>
        <v>6646</v>
      </c>
      <c r="J58" s="531">
        <f t="shared" si="58"/>
        <v>0</v>
      </c>
      <c r="K58" s="531">
        <f t="shared" si="58"/>
        <v>6646</v>
      </c>
      <c r="L58" s="531">
        <f t="shared" si="58"/>
        <v>82195</v>
      </c>
      <c r="M58" s="531">
        <f t="shared" si="58"/>
        <v>66630</v>
      </c>
      <c r="N58" s="531">
        <f t="shared" si="58"/>
        <v>15565</v>
      </c>
      <c r="O58" s="531">
        <f t="shared" si="58"/>
        <v>92594.809000000008</v>
      </c>
      <c r="P58" s="543">
        <f t="shared" si="24"/>
        <v>70232.645000000004</v>
      </c>
      <c r="Q58" s="543">
        <f t="shared" si="25"/>
        <v>22362.164000000001</v>
      </c>
      <c r="R58" s="531">
        <f t="shared" si="58"/>
        <v>6525.0230000000001</v>
      </c>
      <c r="S58" s="531">
        <f t="shared" si="58"/>
        <v>0</v>
      </c>
      <c r="T58" s="531">
        <f t="shared" si="58"/>
        <v>6525.0230000000001</v>
      </c>
      <c r="U58" s="531">
        <f t="shared" si="58"/>
        <v>86069.786000000007</v>
      </c>
      <c r="V58" s="531">
        <f t="shared" si="58"/>
        <v>70232.645000000004</v>
      </c>
      <c r="W58" s="531">
        <f t="shared" si="58"/>
        <v>15837.141000000001</v>
      </c>
      <c r="X58" s="531">
        <f t="shared" si="58"/>
        <v>2461.2662799999994</v>
      </c>
      <c r="Y58" s="531">
        <f t="shared" si="58"/>
        <v>294.84199999999998</v>
      </c>
      <c r="Z58" s="531">
        <f t="shared" si="58"/>
        <v>0</v>
      </c>
      <c r="AA58" s="531">
        <f t="shared" si="58"/>
        <v>294.84199999999998</v>
      </c>
      <c r="AB58" s="531">
        <f t="shared" si="58"/>
        <v>2166.4242799999993</v>
      </c>
      <c r="AC58" s="531">
        <f t="shared" si="58"/>
        <v>1023.0301999999995</v>
      </c>
      <c r="AD58" s="531">
        <f t="shared" si="58"/>
        <v>1143.39408</v>
      </c>
      <c r="AE58" s="531">
        <f t="shared" si="58"/>
        <v>0</v>
      </c>
      <c r="AF58" s="531">
        <f t="shared" si="58"/>
        <v>0</v>
      </c>
      <c r="AG58" s="531">
        <f t="shared" si="58"/>
        <v>0</v>
      </c>
      <c r="AH58" s="531">
        <f t="shared" si="58"/>
        <v>0</v>
      </c>
      <c r="AI58" s="531">
        <f t="shared" si="58"/>
        <v>0</v>
      </c>
      <c r="AJ58" s="531">
        <f t="shared" si="58"/>
        <v>0</v>
      </c>
      <c r="AK58" s="531">
        <f t="shared" si="58"/>
        <v>3603.5409</v>
      </c>
      <c r="AL58" s="531">
        <f t="shared" si="58"/>
        <v>0</v>
      </c>
      <c r="AM58" s="531">
        <f t="shared" si="58"/>
        <v>120.97699999999998</v>
      </c>
      <c r="AN58" s="531">
        <f t="shared" si="58"/>
        <v>3273.7878000000001</v>
      </c>
      <c r="AO58" s="531">
        <f t="shared" si="58"/>
        <v>208.77609999999987</v>
      </c>
      <c r="AP58" s="531">
        <f t="shared" si="2"/>
        <v>-1.0459189070388675E-11</v>
      </c>
      <c r="AQ58" s="532">
        <f t="shared" si="58"/>
        <v>0</v>
      </c>
      <c r="AR58" s="532">
        <f t="shared" si="58"/>
        <v>120.97699999999998</v>
      </c>
    </row>
    <row r="59" spans="1:44" s="83" customFormat="1" hidden="1" outlineLevel="1">
      <c r="A59" s="535" t="s">
        <v>103</v>
      </c>
      <c r="B59" s="536" t="s">
        <v>370</v>
      </c>
      <c r="C59" s="523">
        <f t="shared" ref="C59:G59" si="59">SUM(C60:C69)</f>
        <v>7899.4629999999997</v>
      </c>
      <c r="D59" s="523">
        <f t="shared" si="59"/>
        <v>0</v>
      </c>
      <c r="E59" s="523">
        <f t="shared" si="59"/>
        <v>0</v>
      </c>
      <c r="F59" s="523">
        <f t="shared" si="59"/>
        <v>7899.4629999999997</v>
      </c>
      <c r="G59" s="523">
        <f t="shared" si="59"/>
        <v>0</v>
      </c>
      <c r="H59" s="523">
        <f>SUM(H60:H69)</f>
        <v>66630</v>
      </c>
      <c r="I59" s="523">
        <f t="shared" ref="I59:AJ59" si="60">SUM(I60:I69)</f>
        <v>0</v>
      </c>
      <c r="J59" s="523">
        <f t="shared" si="60"/>
        <v>0</v>
      </c>
      <c r="K59" s="523">
        <f t="shared" si="60"/>
        <v>0</v>
      </c>
      <c r="L59" s="523">
        <f t="shared" si="60"/>
        <v>66630</v>
      </c>
      <c r="M59" s="523">
        <f t="shared" si="60"/>
        <v>66630</v>
      </c>
      <c r="N59" s="523">
        <f t="shared" si="60"/>
        <v>0</v>
      </c>
      <c r="O59" s="523">
        <f t="shared" si="60"/>
        <v>70232.645000000004</v>
      </c>
      <c r="P59" s="543">
        <f t="shared" si="24"/>
        <v>70232.645000000004</v>
      </c>
      <c r="Q59" s="543">
        <f t="shared" si="25"/>
        <v>0</v>
      </c>
      <c r="R59" s="523">
        <f t="shared" si="60"/>
        <v>0</v>
      </c>
      <c r="S59" s="523">
        <f t="shared" si="60"/>
        <v>0</v>
      </c>
      <c r="T59" s="523">
        <f t="shared" si="60"/>
        <v>0</v>
      </c>
      <c r="U59" s="523">
        <f>SUM(U60:U69)</f>
        <v>70232.645000000004</v>
      </c>
      <c r="V59" s="523">
        <f t="shared" si="60"/>
        <v>70232.645000000004</v>
      </c>
      <c r="W59" s="523">
        <f t="shared" si="60"/>
        <v>0</v>
      </c>
      <c r="X59" s="523">
        <f t="shared" si="60"/>
        <v>1023.0301999999995</v>
      </c>
      <c r="Y59" s="523">
        <f t="shared" si="60"/>
        <v>0</v>
      </c>
      <c r="Z59" s="523">
        <f t="shared" si="60"/>
        <v>0</v>
      </c>
      <c r="AA59" s="523">
        <f t="shared" si="60"/>
        <v>0</v>
      </c>
      <c r="AB59" s="523">
        <f t="shared" si="60"/>
        <v>1023.0301999999995</v>
      </c>
      <c r="AC59" s="523">
        <f t="shared" si="60"/>
        <v>1023.0301999999995</v>
      </c>
      <c r="AD59" s="523">
        <f t="shared" si="60"/>
        <v>0</v>
      </c>
      <c r="AE59" s="523">
        <f t="shared" si="60"/>
        <v>0</v>
      </c>
      <c r="AF59" s="523">
        <f t="shared" si="60"/>
        <v>0</v>
      </c>
      <c r="AG59" s="523">
        <f t="shared" si="60"/>
        <v>0</v>
      </c>
      <c r="AH59" s="523">
        <f t="shared" si="60"/>
        <v>0</v>
      </c>
      <c r="AI59" s="523">
        <f t="shared" si="60"/>
        <v>0</v>
      </c>
      <c r="AJ59" s="523">
        <f t="shared" si="60"/>
        <v>0</v>
      </c>
      <c r="AK59" s="528">
        <f t="shared" si="21"/>
        <v>3273.7878000000001</v>
      </c>
      <c r="AL59" s="523">
        <f t="shared" si="55"/>
        <v>0</v>
      </c>
      <c r="AM59" s="523">
        <f t="shared" si="55"/>
        <v>0</v>
      </c>
      <c r="AN59" s="528">
        <f t="shared" si="56"/>
        <v>3273.7878000000001</v>
      </c>
      <c r="AO59" s="528">
        <f t="shared" si="56"/>
        <v>0</v>
      </c>
      <c r="AP59" s="528">
        <f t="shared" si="2"/>
        <v>0</v>
      </c>
      <c r="AQ59" s="529"/>
      <c r="AR59" s="529"/>
    </row>
    <row r="60" spans="1:44" s="83" customFormat="1" hidden="1" outlineLevel="1">
      <c r="A60" s="535"/>
      <c r="B60" s="536" t="s">
        <v>194</v>
      </c>
      <c r="C60" s="528">
        <f t="shared" si="33"/>
        <v>1201.55</v>
      </c>
      <c r="D60" s="523">
        <v>0</v>
      </c>
      <c r="E60" s="523">
        <v>0</v>
      </c>
      <c r="F60" s="528">
        <v>1201.55</v>
      </c>
      <c r="G60" s="528">
        <v>0</v>
      </c>
      <c r="H60" s="523">
        <f t="shared" ref="H60:H67" si="61">I60+L60</f>
        <v>10703</v>
      </c>
      <c r="I60" s="523">
        <f t="shared" ref="I60:I67" si="62">J60+K60</f>
        <v>0</v>
      </c>
      <c r="J60" s="523"/>
      <c r="K60" s="523">
        <v>0</v>
      </c>
      <c r="L60" s="523">
        <f t="shared" ref="L60:L67" si="63">M60+N60</f>
        <v>10703</v>
      </c>
      <c r="M60" s="523">
        <f>9225+1478</f>
        <v>10703</v>
      </c>
      <c r="N60" s="523"/>
      <c r="O60" s="528">
        <f t="shared" ref="O60:O69" si="64">R60+U60</f>
        <v>11374.78</v>
      </c>
      <c r="P60" s="543">
        <f t="shared" si="24"/>
        <v>11374.78</v>
      </c>
      <c r="Q60" s="543">
        <f t="shared" si="25"/>
        <v>0</v>
      </c>
      <c r="R60" s="528">
        <f t="shared" ref="R60:R69" si="65">S60+T60</f>
        <v>0</v>
      </c>
      <c r="S60" s="528"/>
      <c r="T60" s="528"/>
      <c r="U60" s="528">
        <f t="shared" ref="U60:U69" si="66">V60+W60</f>
        <v>11374.78</v>
      </c>
      <c r="V60" s="528">
        <v>11374.78</v>
      </c>
      <c r="W60" s="528"/>
      <c r="X60" s="528"/>
      <c r="Y60" s="528"/>
      <c r="Z60" s="528"/>
      <c r="AA60" s="528"/>
      <c r="AB60" s="528"/>
      <c r="AC60" s="528"/>
      <c r="AD60" s="528"/>
      <c r="AE60" s="528"/>
      <c r="AF60" s="528"/>
      <c r="AG60" s="528"/>
      <c r="AH60" s="528"/>
      <c r="AI60" s="528"/>
      <c r="AJ60" s="528"/>
      <c r="AK60" s="528">
        <f t="shared" si="21"/>
        <v>529.76999999999862</v>
      </c>
      <c r="AL60" s="523">
        <f t="shared" si="55"/>
        <v>0</v>
      </c>
      <c r="AM60" s="523">
        <f t="shared" si="55"/>
        <v>0</v>
      </c>
      <c r="AN60" s="528">
        <f t="shared" si="56"/>
        <v>529.76999999999862</v>
      </c>
      <c r="AO60" s="528">
        <f t="shared" si="56"/>
        <v>0</v>
      </c>
      <c r="AP60" s="528">
        <f t="shared" si="2"/>
        <v>0</v>
      </c>
      <c r="AQ60" s="529"/>
      <c r="AR60" s="529"/>
    </row>
    <row r="61" spans="1:44" s="83" customFormat="1" hidden="1" outlineLevel="1">
      <c r="A61" s="535"/>
      <c r="B61" s="536" t="s">
        <v>197</v>
      </c>
      <c r="C61" s="528">
        <f t="shared" si="33"/>
        <v>579.64999999999964</v>
      </c>
      <c r="D61" s="523">
        <v>0</v>
      </c>
      <c r="E61" s="523">
        <v>0</v>
      </c>
      <c r="F61" s="528">
        <v>579.64999999999964</v>
      </c>
      <c r="G61" s="528">
        <v>0</v>
      </c>
      <c r="H61" s="523">
        <f t="shared" si="61"/>
        <v>5013</v>
      </c>
      <c r="I61" s="523">
        <f t="shared" si="62"/>
        <v>0</v>
      </c>
      <c r="J61" s="523"/>
      <c r="K61" s="523">
        <v>0</v>
      </c>
      <c r="L61" s="523">
        <f t="shared" si="63"/>
        <v>5013</v>
      </c>
      <c r="M61" s="523">
        <f>3947+1066</f>
        <v>5013</v>
      </c>
      <c r="N61" s="523"/>
      <c r="O61" s="528">
        <f t="shared" si="64"/>
        <v>5526.9889999999996</v>
      </c>
      <c r="P61" s="543">
        <f t="shared" si="24"/>
        <v>5526.9889999999996</v>
      </c>
      <c r="Q61" s="543">
        <f t="shared" si="25"/>
        <v>0</v>
      </c>
      <c r="R61" s="528">
        <f t="shared" si="65"/>
        <v>0</v>
      </c>
      <c r="S61" s="528"/>
      <c r="T61" s="528"/>
      <c r="U61" s="528">
        <f t="shared" si="66"/>
        <v>5526.9889999999996</v>
      </c>
      <c r="V61" s="528">
        <f>5004.495+522.494</f>
        <v>5526.9889999999996</v>
      </c>
      <c r="W61" s="528"/>
      <c r="X61" s="528">
        <f>Y61+AB61</f>
        <v>57.265199999999766</v>
      </c>
      <c r="Y61" s="528">
        <f>Z61+AA61</f>
        <v>0</v>
      </c>
      <c r="Z61" s="528"/>
      <c r="AA61" s="528"/>
      <c r="AB61" s="528">
        <f>AC61+AD61</f>
        <v>57.265199999999766</v>
      </c>
      <c r="AC61" s="528">
        <f>94.098-AC165</f>
        <v>57.265199999999766</v>
      </c>
      <c r="AD61" s="528"/>
      <c r="AE61" s="528"/>
      <c r="AF61" s="528"/>
      <c r="AG61" s="528"/>
      <c r="AH61" s="528"/>
      <c r="AI61" s="528"/>
      <c r="AJ61" s="528"/>
      <c r="AK61" s="528">
        <f t="shared" si="21"/>
        <v>8.3958000000002926</v>
      </c>
      <c r="AL61" s="523">
        <f>D61+J61-S61-Z61-AF61</f>
        <v>0</v>
      </c>
      <c r="AM61" s="523">
        <f>E61+K61-T61-AA61-AG61</f>
        <v>0</v>
      </c>
      <c r="AN61" s="528">
        <f t="shared" si="56"/>
        <v>8.3958000000002926</v>
      </c>
      <c r="AO61" s="528">
        <f t="shared" si="56"/>
        <v>0</v>
      </c>
      <c r="AP61" s="528">
        <f t="shared" si="2"/>
        <v>0</v>
      </c>
      <c r="AQ61" s="529"/>
      <c r="AR61" s="529"/>
    </row>
    <row r="62" spans="1:44" s="83" customFormat="1" hidden="1" outlineLevel="1">
      <c r="A62" s="535"/>
      <c r="B62" s="536" t="s">
        <v>193</v>
      </c>
      <c r="C62" s="528">
        <f t="shared" si="33"/>
        <v>137.45999999999913</v>
      </c>
      <c r="D62" s="523">
        <v>0</v>
      </c>
      <c r="E62" s="523">
        <v>0</v>
      </c>
      <c r="F62" s="528">
        <v>137.45999999999913</v>
      </c>
      <c r="G62" s="528">
        <v>0</v>
      </c>
      <c r="H62" s="523">
        <f t="shared" si="61"/>
        <v>9292</v>
      </c>
      <c r="I62" s="523">
        <f t="shared" si="62"/>
        <v>0</v>
      </c>
      <c r="J62" s="523"/>
      <c r="K62" s="523">
        <v>0</v>
      </c>
      <c r="L62" s="523">
        <f t="shared" si="63"/>
        <v>9292</v>
      </c>
      <c r="M62" s="523">
        <f>7243+2049</f>
        <v>9292</v>
      </c>
      <c r="N62" s="523"/>
      <c r="O62" s="528">
        <f t="shared" si="64"/>
        <v>9199.49</v>
      </c>
      <c r="P62" s="543">
        <f t="shared" si="24"/>
        <v>9199.49</v>
      </c>
      <c r="Q62" s="543">
        <f t="shared" si="25"/>
        <v>0</v>
      </c>
      <c r="R62" s="528">
        <f t="shared" si="65"/>
        <v>0</v>
      </c>
      <c r="S62" s="528"/>
      <c r="T62" s="528"/>
      <c r="U62" s="528">
        <f t="shared" si="66"/>
        <v>9199.49</v>
      </c>
      <c r="V62" s="528">
        <v>9199.49</v>
      </c>
      <c r="W62" s="528"/>
      <c r="X62" s="528">
        <f t="shared" ref="X62:X69" si="67">Y62+AB62</f>
        <v>0</v>
      </c>
      <c r="Y62" s="528">
        <f t="shared" ref="Y62:Y69" si="68">Z62+AA62</f>
        <v>0</v>
      </c>
      <c r="Z62" s="528"/>
      <c r="AA62" s="528"/>
      <c r="AB62" s="528">
        <f t="shared" ref="AB62:AB69" si="69">AC62+AD62</f>
        <v>0</v>
      </c>
      <c r="AC62" s="528"/>
      <c r="AD62" s="528"/>
      <c r="AE62" s="528"/>
      <c r="AF62" s="528"/>
      <c r="AG62" s="528"/>
      <c r="AH62" s="528"/>
      <c r="AI62" s="528"/>
      <c r="AJ62" s="528"/>
      <c r="AK62" s="528">
        <f t="shared" si="21"/>
        <v>229.96999999999935</v>
      </c>
      <c r="AL62" s="523">
        <f t="shared" si="55"/>
        <v>0</v>
      </c>
      <c r="AM62" s="523">
        <f t="shared" si="55"/>
        <v>0</v>
      </c>
      <c r="AN62" s="528">
        <f t="shared" si="56"/>
        <v>229.96999999999935</v>
      </c>
      <c r="AO62" s="528">
        <f t="shared" si="56"/>
        <v>0</v>
      </c>
      <c r="AP62" s="528">
        <f t="shared" si="2"/>
        <v>0</v>
      </c>
      <c r="AQ62" s="529"/>
      <c r="AR62" s="529"/>
    </row>
    <row r="63" spans="1:44" s="83" customFormat="1" hidden="1" outlineLevel="1">
      <c r="A63" s="535"/>
      <c r="B63" s="536" t="s">
        <v>196</v>
      </c>
      <c r="C63" s="528">
        <f t="shared" si="33"/>
        <v>229.28999999999996</v>
      </c>
      <c r="D63" s="523">
        <v>0</v>
      </c>
      <c r="E63" s="523">
        <v>0</v>
      </c>
      <c r="F63" s="528">
        <v>229.28999999999996</v>
      </c>
      <c r="G63" s="528">
        <v>0</v>
      </c>
      <c r="H63" s="523">
        <f t="shared" si="61"/>
        <v>5525</v>
      </c>
      <c r="I63" s="523">
        <f t="shared" si="62"/>
        <v>0</v>
      </c>
      <c r="J63" s="523"/>
      <c r="K63" s="523">
        <v>0</v>
      </c>
      <c r="L63" s="523">
        <f t="shared" si="63"/>
        <v>5525</v>
      </c>
      <c r="M63" s="523">
        <f>4063+1462</f>
        <v>5525</v>
      </c>
      <c r="N63" s="523"/>
      <c r="O63" s="528">
        <f t="shared" si="64"/>
        <v>5575.54</v>
      </c>
      <c r="P63" s="543">
        <f t="shared" si="24"/>
        <v>5575.54</v>
      </c>
      <c r="Q63" s="543">
        <f t="shared" si="25"/>
        <v>0</v>
      </c>
      <c r="R63" s="528">
        <f t="shared" si="65"/>
        <v>0</v>
      </c>
      <c r="S63" s="528"/>
      <c r="T63" s="528"/>
      <c r="U63" s="528">
        <f t="shared" si="66"/>
        <v>5575.54</v>
      </c>
      <c r="V63" s="528">
        <v>5575.54</v>
      </c>
      <c r="W63" s="528"/>
      <c r="X63" s="528">
        <f t="shared" si="67"/>
        <v>177.74</v>
      </c>
      <c r="Y63" s="528">
        <f t="shared" si="68"/>
        <v>0</v>
      </c>
      <c r="Z63" s="528"/>
      <c r="AA63" s="528"/>
      <c r="AB63" s="528">
        <f t="shared" si="69"/>
        <v>177.74</v>
      </c>
      <c r="AC63" s="528">
        <v>177.74</v>
      </c>
      <c r="AD63" s="528"/>
      <c r="AE63" s="528"/>
      <c r="AF63" s="528"/>
      <c r="AG63" s="528"/>
      <c r="AH63" s="528"/>
      <c r="AI63" s="528"/>
      <c r="AJ63" s="528"/>
      <c r="AK63" s="528">
        <f t="shared" si="21"/>
        <v>1.0099999999999909</v>
      </c>
      <c r="AL63" s="523">
        <f t="shared" si="55"/>
        <v>0</v>
      </c>
      <c r="AM63" s="523">
        <f t="shared" si="55"/>
        <v>0</v>
      </c>
      <c r="AN63" s="528">
        <f t="shared" si="56"/>
        <v>1.0099999999999909</v>
      </c>
      <c r="AO63" s="528">
        <f t="shared" si="56"/>
        <v>0</v>
      </c>
      <c r="AP63" s="528">
        <f t="shared" si="2"/>
        <v>0</v>
      </c>
      <c r="AQ63" s="529"/>
      <c r="AR63" s="529"/>
    </row>
    <row r="64" spans="1:44" s="83" customFormat="1" hidden="1" outlineLevel="1">
      <c r="A64" s="535"/>
      <c r="B64" s="536" t="s">
        <v>195</v>
      </c>
      <c r="C64" s="528">
        <f t="shared" si="33"/>
        <v>86.236000000000786</v>
      </c>
      <c r="D64" s="523">
        <v>0</v>
      </c>
      <c r="E64" s="523">
        <v>0</v>
      </c>
      <c r="F64" s="528">
        <v>86.236000000000786</v>
      </c>
      <c r="G64" s="528">
        <v>0</v>
      </c>
      <c r="H64" s="523">
        <f t="shared" si="61"/>
        <v>7841</v>
      </c>
      <c r="I64" s="523">
        <f t="shared" si="62"/>
        <v>0</v>
      </c>
      <c r="J64" s="523"/>
      <c r="K64" s="523">
        <v>0</v>
      </c>
      <c r="L64" s="523">
        <f t="shared" si="63"/>
        <v>7841</v>
      </c>
      <c r="M64" s="523">
        <f>7110+731</f>
        <v>7841</v>
      </c>
      <c r="N64" s="523"/>
      <c r="O64" s="528">
        <f t="shared" si="64"/>
        <v>7875.0390000000007</v>
      </c>
      <c r="P64" s="543">
        <f t="shared" si="24"/>
        <v>7875.0390000000007</v>
      </c>
      <c r="Q64" s="543">
        <f t="shared" si="25"/>
        <v>0</v>
      </c>
      <c r="R64" s="528">
        <f t="shared" si="65"/>
        <v>0</v>
      </c>
      <c r="S64" s="528"/>
      <c r="T64" s="528"/>
      <c r="U64" s="528">
        <f t="shared" si="66"/>
        <v>7875.0390000000007</v>
      </c>
      <c r="V64" s="528">
        <f>7799.877+75.162</f>
        <v>7875.0390000000007</v>
      </c>
      <c r="W64" s="528"/>
      <c r="X64" s="528">
        <f t="shared" si="67"/>
        <v>2.0649999999996567</v>
      </c>
      <c r="Y64" s="528">
        <f t="shared" si="68"/>
        <v>0</v>
      </c>
      <c r="Z64" s="528"/>
      <c r="AA64" s="528"/>
      <c r="AB64" s="528">
        <f t="shared" si="69"/>
        <v>2.0649999999996567</v>
      </c>
      <c r="AC64" s="528">
        <f>313.291-AC166</f>
        <v>2.0649999999996567</v>
      </c>
      <c r="AD64" s="528"/>
      <c r="AE64" s="528"/>
      <c r="AF64" s="528"/>
      <c r="AG64" s="528"/>
      <c r="AH64" s="528"/>
      <c r="AI64" s="528"/>
      <c r="AJ64" s="528"/>
      <c r="AK64" s="528">
        <f t="shared" si="21"/>
        <v>50.13200000000046</v>
      </c>
      <c r="AL64" s="523">
        <f t="shared" si="55"/>
        <v>0</v>
      </c>
      <c r="AM64" s="523">
        <f t="shared" si="55"/>
        <v>0</v>
      </c>
      <c r="AN64" s="528">
        <f t="shared" si="56"/>
        <v>50.13200000000046</v>
      </c>
      <c r="AO64" s="528">
        <f t="shared" si="56"/>
        <v>0</v>
      </c>
      <c r="AP64" s="528">
        <f t="shared" si="2"/>
        <v>0</v>
      </c>
      <c r="AQ64" s="529"/>
      <c r="AR64" s="529"/>
    </row>
    <row r="65" spans="1:44" s="83" customFormat="1" hidden="1" outlineLevel="1">
      <c r="A65" s="535"/>
      <c r="B65" s="536" t="s">
        <v>198</v>
      </c>
      <c r="C65" s="528">
        <f t="shared" si="33"/>
        <v>257.92900000000009</v>
      </c>
      <c r="D65" s="523">
        <v>0</v>
      </c>
      <c r="E65" s="523">
        <v>0</v>
      </c>
      <c r="F65" s="528">
        <v>257.92900000000009</v>
      </c>
      <c r="G65" s="528">
        <v>0</v>
      </c>
      <c r="H65" s="523">
        <f t="shared" si="61"/>
        <v>4540</v>
      </c>
      <c r="I65" s="523">
        <f t="shared" si="62"/>
        <v>0</v>
      </c>
      <c r="J65" s="523"/>
      <c r="K65" s="523">
        <v>0</v>
      </c>
      <c r="L65" s="523">
        <f t="shared" si="63"/>
        <v>4540</v>
      </c>
      <c r="M65" s="523">
        <f>4540</f>
        <v>4540</v>
      </c>
      <c r="N65" s="523"/>
      <c r="O65" s="528">
        <f t="shared" si="64"/>
        <v>4173.6729999999998</v>
      </c>
      <c r="P65" s="543">
        <f t="shared" si="24"/>
        <v>4173.6729999999998</v>
      </c>
      <c r="Q65" s="543">
        <f t="shared" si="25"/>
        <v>0</v>
      </c>
      <c r="R65" s="528">
        <f t="shared" si="65"/>
        <v>0</v>
      </c>
      <c r="S65" s="528"/>
      <c r="T65" s="528"/>
      <c r="U65" s="528">
        <f t="shared" si="66"/>
        <v>4173.6729999999998</v>
      </c>
      <c r="V65" s="528">
        <v>4173.6729999999998</v>
      </c>
      <c r="W65" s="528"/>
      <c r="X65" s="528">
        <f t="shared" si="67"/>
        <v>0</v>
      </c>
      <c r="Y65" s="528">
        <f t="shared" si="68"/>
        <v>0</v>
      </c>
      <c r="Z65" s="528"/>
      <c r="AA65" s="528"/>
      <c r="AB65" s="528">
        <f t="shared" si="69"/>
        <v>0</v>
      </c>
      <c r="AC65" s="528"/>
      <c r="AD65" s="528"/>
      <c r="AE65" s="528"/>
      <c r="AF65" s="528"/>
      <c r="AG65" s="528"/>
      <c r="AH65" s="528"/>
      <c r="AI65" s="528"/>
      <c r="AJ65" s="528"/>
      <c r="AK65" s="528">
        <f t="shared" si="21"/>
        <v>624.25600000000031</v>
      </c>
      <c r="AL65" s="523">
        <f t="shared" si="55"/>
        <v>0</v>
      </c>
      <c r="AM65" s="523">
        <f t="shared" si="55"/>
        <v>0</v>
      </c>
      <c r="AN65" s="528">
        <f t="shared" si="56"/>
        <v>624.25600000000031</v>
      </c>
      <c r="AO65" s="528">
        <f t="shared" si="56"/>
        <v>0</v>
      </c>
      <c r="AP65" s="528">
        <f t="shared" si="2"/>
        <v>0</v>
      </c>
      <c r="AQ65" s="529"/>
      <c r="AR65" s="529"/>
    </row>
    <row r="66" spans="1:44" s="83" customFormat="1" hidden="1" outlineLevel="1">
      <c r="A66" s="535"/>
      <c r="B66" s="536" t="s">
        <v>192</v>
      </c>
      <c r="C66" s="528">
        <f t="shared" si="33"/>
        <v>1826.125</v>
      </c>
      <c r="D66" s="523">
        <v>0</v>
      </c>
      <c r="E66" s="523">
        <v>0</v>
      </c>
      <c r="F66" s="528">
        <v>1826.125</v>
      </c>
      <c r="G66" s="528">
        <v>0</v>
      </c>
      <c r="H66" s="523">
        <f t="shared" si="61"/>
        <v>11593</v>
      </c>
      <c r="I66" s="523">
        <f t="shared" si="62"/>
        <v>0</v>
      </c>
      <c r="J66" s="523"/>
      <c r="K66" s="523">
        <v>0</v>
      </c>
      <c r="L66" s="523">
        <f t="shared" si="63"/>
        <v>11593</v>
      </c>
      <c r="M66" s="523">
        <f>11593</f>
        <v>11593</v>
      </c>
      <c r="N66" s="523"/>
      <c r="O66" s="528">
        <f t="shared" si="64"/>
        <v>11829.6</v>
      </c>
      <c r="P66" s="543">
        <f t="shared" si="24"/>
        <v>11829.6</v>
      </c>
      <c r="Q66" s="543">
        <f t="shared" si="25"/>
        <v>0</v>
      </c>
      <c r="R66" s="528">
        <f t="shared" si="65"/>
        <v>0</v>
      </c>
      <c r="S66" s="528"/>
      <c r="T66" s="528"/>
      <c r="U66" s="528">
        <f t="shared" si="66"/>
        <v>11829.6</v>
      </c>
      <c r="V66" s="528">
        <v>11829.6</v>
      </c>
      <c r="W66" s="528"/>
      <c r="X66" s="528">
        <f t="shared" si="67"/>
        <v>785.96</v>
      </c>
      <c r="Y66" s="528">
        <f t="shared" si="68"/>
        <v>0</v>
      </c>
      <c r="Z66" s="528"/>
      <c r="AA66" s="528"/>
      <c r="AB66" s="528">
        <f t="shared" si="69"/>
        <v>785.96</v>
      </c>
      <c r="AC66" s="528">
        <v>785.96</v>
      </c>
      <c r="AD66" s="528"/>
      <c r="AE66" s="528"/>
      <c r="AF66" s="528"/>
      <c r="AG66" s="528"/>
      <c r="AH66" s="528"/>
      <c r="AI66" s="528"/>
      <c r="AJ66" s="528"/>
      <c r="AK66" s="528">
        <f t="shared" si="21"/>
        <v>803.5649999999996</v>
      </c>
      <c r="AL66" s="523">
        <f t="shared" si="55"/>
        <v>0</v>
      </c>
      <c r="AM66" s="523">
        <f t="shared" si="55"/>
        <v>0</v>
      </c>
      <c r="AN66" s="528">
        <f t="shared" si="56"/>
        <v>803.5649999999996</v>
      </c>
      <c r="AO66" s="528">
        <f t="shared" si="56"/>
        <v>0</v>
      </c>
      <c r="AP66" s="528">
        <f t="shared" si="2"/>
        <v>0</v>
      </c>
      <c r="AQ66" s="529"/>
      <c r="AR66" s="529"/>
    </row>
    <row r="67" spans="1:44" s="83" customFormat="1" hidden="1" outlineLevel="1">
      <c r="A67" s="535"/>
      <c r="B67" s="536" t="s">
        <v>199</v>
      </c>
      <c r="C67" s="528">
        <f t="shared" si="33"/>
        <v>3040.1880000000001</v>
      </c>
      <c r="D67" s="523">
        <v>0</v>
      </c>
      <c r="E67" s="523">
        <v>0</v>
      </c>
      <c r="F67" s="528">
        <v>3040.1880000000001</v>
      </c>
      <c r="G67" s="528">
        <v>0</v>
      </c>
      <c r="H67" s="523">
        <f t="shared" si="61"/>
        <v>3024</v>
      </c>
      <c r="I67" s="523">
        <f t="shared" si="62"/>
        <v>0</v>
      </c>
      <c r="J67" s="523"/>
      <c r="K67" s="523">
        <v>0</v>
      </c>
      <c r="L67" s="523">
        <f t="shared" si="63"/>
        <v>3024</v>
      </c>
      <c r="M67" s="523">
        <f>3024</f>
        <v>3024</v>
      </c>
      <c r="N67" s="523"/>
      <c r="O67" s="528">
        <f t="shared" si="64"/>
        <v>5118.4889999999996</v>
      </c>
      <c r="P67" s="543">
        <f t="shared" si="24"/>
        <v>5118.4889999999996</v>
      </c>
      <c r="Q67" s="543">
        <f t="shared" si="25"/>
        <v>0</v>
      </c>
      <c r="R67" s="528">
        <f t="shared" si="65"/>
        <v>0</v>
      </c>
      <c r="S67" s="528"/>
      <c r="T67" s="528"/>
      <c r="U67" s="528">
        <f t="shared" si="66"/>
        <v>5118.4889999999996</v>
      </c>
      <c r="V67" s="528">
        <f>2674.61+2596.96-V167</f>
        <v>5118.4889999999996</v>
      </c>
      <c r="W67" s="528"/>
      <c r="X67" s="528">
        <f t="shared" si="67"/>
        <v>0</v>
      </c>
      <c r="Y67" s="528">
        <f t="shared" si="68"/>
        <v>0</v>
      </c>
      <c r="Z67" s="528"/>
      <c r="AA67" s="528"/>
      <c r="AB67" s="528">
        <f t="shared" si="69"/>
        <v>0</v>
      </c>
      <c r="AC67" s="528"/>
      <c r="AD67" s="528"/>
      <c r="AE67" s="528"/>
      <c r="AF67" s="528"/>
      <c r="AG67" s="528"/>
      <c r="AH67" s="528"/>
      <c r="AI67" s="528"/>
      <c r="AJ67" s="528"/>
      <c r="AK67" s="528">
        <f t="shared" si="21"/>
        <v>945.69900000000052</v>
      </c>
      <c r="AL67" s="523">
        <f>D67+J67-S67-Z67-AF67</f>
        <v>0</v>
      </c>
      <c r="AM67" s="523">
        <f t="shared" si="55"/>
        <v>0</v>
      </c>
      <c r="AN67" s="528">
        <f>F67+M67-V67-AC67-AI67</f>
        <v>945.69900000000052</v>
      </c>
      <c r="AO67" s="528">
        <f>G67+N67-W67-AD67-AJ67</f>
        <v>0</v>
      </c>
      <c r="AP67" s="528">
        <f t="shared" si="2"/>
        <v>0</v>
      </c>
      <c r="AQ67" s="529"/>
      <c r="AR67" s="529"/>
    </row>
    <row r="68" spans="1:44" s="83" customFormat="1" hidden="1" outlineLevel="1">
      <c r="A68" s="535"/>
      <c r="B68" s="536" t="s">
        <v>200</v>
      </c>
      <c r="C68" s="528">
        <f t="shared" si="33"/>
        <v>149.93499999999949</v>
      </c>
      <c r="D68" s="523">
        <v>0</v>
      </c>
      <c r="E68" s="523">
        <v>0</v>
      </c>
      <c r="F68" s="528">
        <v>149.93499999999949</v>
      </c>
      <c r="G68" s="528">
        <v>0</v>
      </c>
      <c r="H68" s="523">
        <f>I68+L68</f>
        <v>6257</v>
      </c>
      <c r="I68" s="523">
        <f>J68+K68</f>
        <v>0</v>
      </c>
      <c r="J68" s="523"/>
      <c r="K68" s="523">
        <v>0</v>
      </c>
      <c r="L68" s="523">
        <f>M68+N68</f>
        <v>6257</v>
      </c>
      <c r="M68" s="523">
        <f>3948+2309</f>
        <v>6257</v>
      </c>
      <c r="N68" s="523"/>
      <c r="O68" s="528">
        <f t="shared" si="64"/>
        <v>6373.9349999999995</v>
      </c>
      <c r="P68" s="543">
        <f t="shared" si="24"/>
        <v>6373.9349999999995</v>
      </c>
      <c r="Q68" s="543">
        <f t="shared" si="25"/>
        <v>0</v>
      </c>
      <c r="R68" s="528">
        <f t="shared" si="65"/>
        <v>0</v>
      </c>
      <c r="S68" s="528"/>
      <c r="T68" s="528"/>
      <c r="U68" s="528">
        <f t="shared" si="66"/>
        <v>6373.9349999999995</v>
      </c>
      <c r="V68" s="528">
        <f>6224+F68</f>
        <v>6373.9349999999995</v>
      </c>
      <c r="W68" s="528"/>
      <c r="X68" s="528">
        <f t="shared" si="67"/>
        <v>0</v>
      </c>
      <c r="Y68" s="528">
        <f t="shared" si="68"/>
        <v>0</v>
      </c>
      <c r="Z68" s="528"/>
      <c r="AA68" s="528"/>
      <c r="AB68" s="528">
        <f t="shared" si="69"/>
        <v>0</v>
      </c>
      <c r="AC68" s="528"/>
      <c r="AD68" s="528"/>
      <c r="AE68" s="528"/>
      <c r="AF68" s="528"/>
      <c r="AG68" s="528"/>
      <c r="AH68" s="528"/>
      <c r="AI68" s="528"/>
      <c r="AJ68" s="528"/>
      <c r="AK68" s="528">
        <f t="shared" si="21"/>
        <v>33</v>
      </c>
      <c r="AL68" s="523">
        <f t="shared" si="55"/>
        <v>0</v>
      </c>
      <c r="AM68" s="523">
        <f t="shared" si="55"/>
        <v>0</v>
      </c>
      <c r="AN68" s="528">
        <f t="shared" si="56"/>
        <v>33</v>
      </c>
      <c r="AO68" s="528">
        <f t="shared" si="56"/>
        <v>0</v>
      </c>
      <c r="AP68" s="528">
        <f t="shared" si="2"/>
        <v>0</v>
      </c>
      <c r="AQ68" s="529"/>
      <c r="AR68" s="529"/>
    </row>
    <row r="69" spans="1:44" s="83" customFormat="1" hidden="1" outlineLevel="1">
      <c r="A69" s="535"/>
      <c r="B69" s="522" t="s">
        <v>188</v>
      </c>
      <c r="C69" s="528">
        <f t="shared" si="33"/>
        <v>391.09999999999991</v>
      </c>
      <c r="D69" s="523">
        <v>0</v>
      </c>
      <c r="E69" s="523">
        <v>0</v>
      </c>
      <c r="F69" s="528">
        <v>391.09999999999991</v>
      </c>
      <c r="G69" s="528">
        <v>0</v>
      </c>
      <c r="H69" s="523">
        <f>I69+L69</f>
        <v>2842</v>
      </c>
      <c r="I69" s="523">
        <f>J69+K69</f>
        <v>0</v>
      </c>
      <c r="J69" s="523"/>
      <c r="K69" s="523">
        <v>0</v>
      </c>
      <c r="L69" s="523">
        <f>M69+N69</f>
        <v>2842</v>
      </c>
      <c r="M69" s="523">
        <f>2842</f>
        <v>2842</v>
      </c>
      <c r="N69" s="523"/>
      <c r="O69" s="528">
        <f t="shared" si="64"/>
        <v>3185.11</v>
      </c>
      <c r="P69" s="543">
        <f t="shared" si="24"/>
        <v>3185.11</v>
      </c>
      <c r="Q69" s="543">
        <f t="shared" si="25"/>
        <v>0</v>
      </c>
      <c r="R69" s="528">
        <f t="shared" si="65"/>
        <v>0</v>
      </c>
      <c r="S69" s="528"/>
      <c r="T69" s="528"/>
      <c r="U69" s="528">
        <f t="shared" si="66"/>
        <v>3185.11</v>
      </c>
      <c r="V69" s="528">
        <v>3185.11</v>
      </c>
      <c r="W69" s="528"/>
      <c r="X69" s="528">
        <f t="shared" si="67"/>
        <v>0</v>
      </c>
      <c r="Y69" s="528">
        <f t="shared" si="68"/>
        <v>0</v>
      </c>
      <c r="Z69" s="528"/>
      <c r="AA69" s="528"/>
      <c r="AB69" s="528">
        <f t="shared" si="69"/>
        <v>0</v>
      </c>
      <c r="AC69" s="528"/>
      <c r="AD69" s="528"/>
      <c r="AE69" s="528"/>
      <c r="AF69" s="528"/>
      <c r="AG69" s="528"/>
      <c r="AH69" s="528"/>
      <c r="AI69" s="528"/>
      <c r="AJ69" s="528"/>
      <c r="AK69" s="528">
        <f t="shared" si="21"/>
        <v>47.989999999999782</v>
      </c>
      <c r="AL69" s="523">
        <f t="shared" si="55"/>
        <v>0</v>
      </c>
      <c r="AM69" s="523">
        <f t="shared" si="55"/>
        <v>0</v>
      </c>
      <c r="AN69" s="528">
        <f t="shared" si="56"/>
        <v>47.989999999999782</v>
      </c>
      <c r="AO69" s="528">
        <f t="shared" si="56"/>
        <v>0</v>
      </c>
      <c r="AP69" s="528">
        <f t="shared" si="2"/>
        <v>0</v>
      </c>
      <c r="AQ69" s="529"/>
      <c r="AR69" s="529"/>
    </row>
    <row r="70" spans="1:44" s="83" customFormat="1" hidden="1" outlineLevel="1">
      <c r="A70" s="535" t="s">
        <v>104</v>
      </c>
      <c r="B70" s="536" t="s">
        <v>371</v>
      </c>
      <c r="C70" s="528">
        <f t="shared" si="33"/>
        <v>558.00709999999981</v>
      </c>
      <c r="D70" s="523">
        <v>0</v>
      </c>
      <c r="E70" s="523">
        <v>0</v>
      </c>
      <c r="F70" s="528">
        <v>0</v>
      </c>
      <c r="G70" s="528">
        <v>558.00709999999981</v>
      </c>
      <c r="H70" s="523">
        <f t="shared" ref="H70:AJ70" si="70">SUM(H71:H80)</f>
        <v>3367</v>
      </c>
      <c r="I70" s="523">
        <f t="shared" si="70"/>
        <v>0</v>
      </c>
      <c r="J70" s="523">
        <f t="shared" si="70"/>
        <v>0</v>
      </c>
      <c r="K70" s="523">
        <f t="shared" si="70"/>
        <v>0</v>
      </c>
      <c r="L70" s="523">
        <f t="shared" si="70"/>
        <v>3367</v>
      </c>
      <c r="M70" s="523">
        <f t="shared" si="70"/>
        <v>0</v>
      </c>
      <c r="N70" s="523">
        <f t="shared" si="70"/>
        <v>3367</v>
      </c>
      <c r="O70" s="523">
        <f t="shared" si="70"/>
        <v>3401.172</v>
      </c>
      <c r="P70" s="543">
        <f t="shared" si="24"/>
        <v>0</v>
      </c>
      <c r="Q70" s="543">
        <f t="shared" si="25"/>
        <v>3401.172</v>
      </c>
      <c r="R70" s="523">
        <f t="shared" si="70"/>
        <v>0</v>
      </c>
      <c r="S70" s="523">
        <f t="shared" si="70"/>
        <v>0</v>
      </c>
      <c r="T70" s="523">
        <f t="shared" si="70"/>
        <v>0</v>
      </c>
      <c r="U70" s="523">
        <f t="shared" si="70"/>
        <v>3401.172</v>
      </c>
      <c r="V70" s="523">
        <f t="shared" si="70"/>
        <v>0</v>
      </c>
      <c r="W70" s="523">
        <f t="shared" si="70"/>
        <v>3401.172</v>
      </c>
      <c r="X70" s="523">
        <f t="shared" si="70"/>
        <v>412.33999999999992</v>
      </c>
      <c r="Y70" s="523">
        <f t="shared" si="70"/>
        <v>0</v>
      </c>
      <c r="Z70" s="523">
        <f t="shared" si="70"/>
        <v>0</v>
      </c>
      <c r="AA70" s="523">
        <f t="shared" si="70"/>
        <v>0</v>
      </c>
      <c r="AB70" s="523">
        <f t="shared" si="70"/>
        <v>412.33999999999992</v>
      </c>
      <c r="AC70" s="523">
        <f t="shared" si="70"/>
        <v>0</v>
      </c>
      <c r="AD70" s="523">
        <f t="shared" si="70"/>
        <v>412.33999999999992</v>
      </c>
      <c r="AE70" s="523">
        <f t="shared" si="70"/>
        <v>0</v>
      </c>
      <c r="AF70" s="523">
        <f t="shared" si="70"/>
        <v>0</v>
      </c>
      <c r="AG70" s="523">
        <f t="shared" si="70"/>
        <v>0</v>
      </c>
      <c r="AH70" s="523">
        <f t="shared" si="70"/>
        <v>0</v>
      </c>
      <c r="AI70" s="523">
        <f t="shared" si="70"/>
        <v>0</v>
      </c>
      <c r="AJ70" s="523">
        <f t="shared" si="70"/>
        <v>0</v>
      </c>
      <c r="AK70" s="528">
        <f t="shared" si="21"/>
        <v>111.49509999999987</v>
      </c>
      <c r="AL70" s="523">
        <f t="shared" si="55"/>
        <v>0</v>
      </c>
      <c r="AM70" s="523">
        <f t="shared" si="55"/>
        <v>0</v>
      </c>
      <c r="AN70" s="528">
        <f t="shared" si="56"/>
        <v>0</v>
      </c>
      <c r="AO70" s="528">
        <f t="shared" si="56"/>
        <v>111.49509999999987</v>
      </c>
      <c r="AP70" s="528">
        <f t="shared" si="2"/>
        <v>0</v>
      </c>
      <c r="AQ70" s="529"/>
      <c r="AR70" s="529"/>
    </row>
    <row r="71" spans="1:44" s="83" customFormat="1" hidden="1" outlineLevel="1">
      <c r="A71" s="535"/>
      <c r="B71" s="536" t="s">
        <v>194</v>
      </c>
      <c r="C71" s="528">
        <f t="shared" si="33"/>
        <v>306.57</v>
      </c>
      <c r="D71" s="523">
        <v>0</v>
      </c>
      <c r="E71" s="523">
        <v>0</v>
      </c>
      <c r="F71" s="528">
        <v>0</v>
      </c>
      <c r="G71" s="528">
        <v>306.57</v>
      </c>
      <c r="H71" s="523">
        <f t="shared" ref="H71:H80" si="71">I71+L71</f>
        <v>541</v>
      </c>
      <c r="I71" s="523">
        <f t="shared" ref="I71:I92" si="72">J71+K71</f>
        <v>0</v>
      </c>
      <c r="J71" s="523"/>
      <c r="K71" s="523">
        <v>0</v>
      </c>
      <c r="L71" s="523">
        <f t="shared" ref="L71:L80" si="73">M71+N71</f>
        <v>541</v>
      </c>
      <c r="M71" s="528"/>
      <c r="N71" s="528">
        <f>468+73</f>
        <v>541</v>
      </c>
      <c r="O71" s="528">
        <f t="shared" ref="O71:O80" si="74">R71+U71</f>
        <v>608.95000000000005</v>
      </c>
      <c r="P71" s="543">
        <f t="shared" si="24"/>
        <v>0</v>
      </c>
      <c r="Q71" s="543">
        <f t="shared" si="25"/>
        <v>608.95000000000005</v>
      </c>
      <c r="R71" s="528">
        <f t="shared" ref="R71:R80" si="75">S71+T71</f>
        <v>0</v>
      </c>
      <c r="S71" s="528"/>
      <c r="T71" s="528"/>
      <c r="U71" s="528">
        <f t="shared" ref="U71:U80" si="76">V71+W71</f>
        <v>608.95000000000005</v>
      </c>
      <c r="V71" s="528"/>
      <c r="W71" s="528">
        <v>608.95000000000005</v>
      </c>
      <c r="X71" s="528">
        <f>Y71+AB71</f>
        <v>238.57</v>
      </c>
      <c r="Y71" s="528"/>
      <c r="Z71" s="528"/>
      <c r="AA71" s="528"/>
      <c r="AB71" s="528">
        <f>AC71+AD71</f>
        <v>238.57</v>
      </c>
      <c r="AC71" s="528"/>
      <c r="AD71" s="528">
        <v>238.57</v>
      </c>
      <c r="AE71" s="528"/>
      <c r="AF71" s="528"/>
      <c r="AG71" s="528"/>
      <c r="AH71" s="528"/>
      <c r="AI71" s="528"/>
      <c r="AJ71" s="528"/>
      <c r="AK71" s="528">
        <f t="shared" si="21"/>
        <v>4.9999999999897682E-2</v>
      </c>
      <c r="AL71" s="523">
        <f t="shared" si="55"/>
        <v>0</v>
      </c>
      <c r="AM71" s="523">
        <f t="shared" si="55"/>
        <v>0</v>
      </c>
      <c r="AN71" s="528">
        <f t="shared" si="56"/>
        <v>0</v>
      </c>
      <c r="AO71" s="528">
        <f t="shared" si="56"/>
        <v>4.9999999999897682E-2</v>
      </c>
      <c r="AP71" s="528">
        <f t="shared" si="2"/>
        <v>0</v>
      </c>
      <c r="AQ71" s="529"/>
      <c r="AR71" s="529"/>
    </row>
    <row r="72" spans="1:44" s="83" customFormat="1" hidden="1" outlineLevel="1">
      <c r="A72" s="535"/>
      <c r="B72" s="536" t="s">
        <v>197</v>
      </c>
      <c r="C72" s="528">
        <f t="shared" si="33"/>
        <v>62.069999999999993</v>
      </c>
      <c r="D72" s="523">
        <v>0</v>
      </c>
      <c r="E72" s="523">
        <v>0</v>
      </c>
      <c r="F72" s="528">
        <v>0</v>
      </c>
      <c r="G72" s="528">
        <v>62.069999999999993</v>
      </c>
      <c r="H72" s="523">
        <f t="shared" si="71"/>
        <v>253</v>
      </c>
      <c r="I72" s="523">
        <f t="shared" si="72"/>
        <v>0</v>
      </c>
      <c r="J72" s="523"/>
      <c r="K72" s="523">
        <v>0</v>
      </c>
      <c r="L72" s="523">
        <f t="shared" si="73"/>
        <v>253</v>
      </c>
      <c r="M72" s="528"/>
      <c r="N72" s="528">
        <f>200+53</f>
        <v>253</v>
      </c>
      <c r="O72" s="528">
        <f t="shared" si="74"/>
        <v>315.03199999999998</v>
      </c>
      <c r="P72" s="543">
        <f t="shared" si="24"/>
        <v>0</v>
      </c>
      <c r="Q72" s="543">
        <f t="shared" si="25"/>
        <v>315.03199999999998</v>
      </c>
      <c r="R72" s="528">
        <f t="shared" si="75"/>
        <v>0</v>
      </c>
      <c r="S72" s="528"/>
      <c r="T72" s="528"/>
      <c r="U72" s="528">
        <f t="shared" si="76"/>
        <v>315.03199999999998</v>
      </c>
      <c r="V72" s="528"/>
      <c r="W72" s="528">
        <f>252.962+62.07</f>
        <v>315.03199999999998</v>
      </c>
      <c r="X72" s="528">
        <f>Y72+AB72</f>
        <v>0</v>
      </c>
      <c r="Y72" s="528"/>
      <c r="Z72" s="528"/>
      <c r="AA72" s="528"/>
      <c r="AB72" s="528">
        <f>AC72+AD72</f>
        <v>0</v>
      </c>
      <c r="AC72" s="528"/>
      <c r="AD72" s="528"/>
      <c r="AE72" s="528"/>
      <c r="AF72" s="528"/>
      <c r="AG72" s="528"/>
      <c r="AH72" s="528"/>
      <c r="AI72" s="528"/>
      <c r="AJ72" s="528"/>
      <c r="AK72" s="528">
        <f t="shared" si="21"/>
        <v>3.8000000000010914E-2</v>
      </c>
      <c r="AL72" s="523">
        <f t="shared" si="55"/>
        <v>0</v>
      </c>
      <c r="AM72" s="523">
        <f t="shared" si="55"/>
        <v>0</v>
      </c>
      <c r="AN72" s="528">
        <f t="shared" si="56"/>
        <v>0</v>
      </c>
      <c r="AO72" s="528">
        <f t="shared" si="56"/>
        <v>3.8000000000010914E-2</v>
      </c>
      <c r="AP72" s="528">
        <f t="shared" si="2"/>
        <v>0</v>
      </c>
      <c r="AQ72" s="529"/>
      <c r="AR72" s="529"/>
    </row>
    <row r="73" spans="1:44" s="83" customFormat="1" hidden="1" outlineLevel="1">
      <c r="A73" s="535"/>
      <c r="B73" s="536" t="s">
        <v>193</v>
      </c>
      <c r="C73" s="528">
        <f t="shared" si="33"/>
        <v>0</v>
      </c>
      <c r="D73" s="523">
        <v>0</v>
      </c>
      <c r="E73" s="523">
        <v>0</v>
      </c>
      <c r="F73" s="528">
        <v>0</v>
      </c>
      <c r="G73" s="528">
        <v>0</v>
      </c>
      <c r="H73" s="523">
        <f t="shared" si="71"/>
        <v>470</v>
      </c>
      <c r="I73" s="523">
        <f t="shared" si="72"/>
        <v>0</v>
      </c>
      <c r="J73" s="523"/>
      <c r="K73" s="523">
        <v>0</v>
      </c>
      <c r="L73" s="523">
        <f t="shared" si="73"/>
        <v>470</v>
      </c>
      <c r="M73" s="528"/>
      <c r="N73" s="528">
        <f>364+106</f>
        <v>470</v>
      </c>
      <c r="O73" s="528">
        <f t="shared" si="74"/>
        <v>447.07</v>
      </c>
      <c r="P73" s="543">
        <f t="shared" si="24"/>
        <v>0</v>
      </c>
      <c r="Q73" s="543">
        <f t="shared" si="25"/>
        <v>447.07</v>
      </c>
      <c r="R73" s="528">
        <f t="shared" si="75"/>
        <v>0</v>
      </c>
      <c r="S73" s="528"/>
      <c r="T73" s="528"/>
      <c r="U73" s="528">
        <f t="shared" si="76"/>
        <v>447.07</v>
      </c>
      <c r="V73" s="528"/>
      <c r="W73" s="528">
        <v>447.07</v>
      </c>
      <c r="X73" s="528">
        <f>Y73+AB73</f>
        <v>0</v>
      </c>
      <c r="Y73" s="528"/>
      <c r="Z73" s="528"/>
      <c r="AA73" s="528"/>
      <c r="AB73" s="528">
        <f>AC73+AD73</f>
        <v>0</v>
      </c>
      <c r="AC73" s="528"/>
      <c r="AD73" s="528"/>
      <c r="AE73" s="528"/>
      <c r="AF73" s="528"/>
      <c r="AG73" s="528"/>
      <c r="AH73" s="528"/>
      <c r="AI73" s="528"/>
      <c r="AJ73" s="528"/>
      <c r="AK73" s="528">
        <f t="shared" si="21"/>
        <v>22.930000000000007</v>
      </c>
      <c r="AL73" s="523">
        <f t="shared" si="55"/>
        <v>0</v>
      </c>
      <c r="AM73" s="523">
        <f t="shared" si="55"/>
        <v>0</v>
      </c>
      <c r="AN73" s="528">
        <f t="shared" si="56"/>
        <v>0</v>
      </c>
      <c r="AO73" s="528">
        <f t="shared" si="56"/>
        <v>22.930000000000007</v>
      </c>
      <c r="AP73" s="528">
        <f t="shared" si="2"/>
        <v>0</v>
      </c>
      <c r="AQ73" s="529"/>
      <c r="AR73" s="529"/>
    </row>
    <row r="74" spans="1:44" s="83" customFormat="1" hidden="1" outlineLevel="1">
      <c r="A74" s="535"/>
      <c r="B74" s="536" t="s">
        <v>196</v>
      </c>
      <c r="C74" s="528">
        <f t="shared" si="33"/>
        <v>7.5</v>
      </c>
      <c r="D74" s="523">
        <v>0</v>
      </c>
      <c r="E74" s="523">
        <v>0</v>
      </c>
      <c r="F74" s="528">
        <v>0</v>
      </c>
      <c r="G74" s="528">
        <v>7.5</v>
      </c>
      <c r="H74" s="523">
        <f t="shared" si="71"/>
        <v>279</v>
      </c>
      <c r="I74" s="523">
        <f t="shared" si="72"/>
        <v>0</v>
      </c>
      <c r="J74" s="523"/>
      <c r="K74" s="523">
        <v>0</v>
      </c>
      <c r="L74" s="523">
        <f t="shared" si="73"/>
        <v>279</v>
      </c>
      <c r="M74" s="528"/>
      <c r="N74" s="528">
        <f>204+75</f>
        <v>279</v>
      </c>
      <c r="O74" s="528">
        <f t="shared" si="74"/>
        <v>275.19</v>
      </c>
      <c r="P74" s="543">
        <f t="shared" si="24"/>
        <v>0</v>
      </c>
      <c r="Q74" s="543">
        <f t="shared" si="25"/>
        <v>275.19</v>
      </c>
      <c r="R74" s="528">
        <f t="shared" si="75"/>
        <v>0</v>
      </c>
      <c r="S74" s="528"/>
      <c r="T74" s="528"/>
      <c r="U74" s="528">
        <f t="shared" si="76"/>
        <v>275.19</v>
      </c>
      <c r="V74" s="528"/>
      <c r="W74" s="528">
        <v>275.19</v>
      </c>
      <c r="X74" s="528">
        <f>Y74+AB74</f>
        <v>7.5</v>
      </c>
      <c r="Y74" s="528"/>
      <c r="Z74" s="528"/>
      <c r="AA74" s="528"/>
      <c r="AB74" s="528">
        <f>AC74+AD74</f>
        <v>7.5</v>
      </c>
      <c r="AC74" s="528"/>
      <c r="AD74" s="528">
        <v>7.5</v>
      </c>
      <c r="AE74" s="528"/>
      <c r="AF74" s="528"/>
      <c r="AG74" s="528"/>
      <c r="AH74" s="528"/>
      <c r="AI74" s="528"/>
      <c r="AJ74" s="528"/>
      <c r="AK74" s="528">
        <f t="shared" si="21"/>
        <v>3.8100000000000023</v>
      </c>
      <c r="AL74" s="523">
        <f t="shared" si="55"/>
        <v>0</v>
      </c>
      <c r="AM74" s="523">
        <f t="shared" si="55"/>
        <v>0</v>
      </c>
      <c r="AN74" s="528">
        <f t="shared" si="56"/>
        <v>0</v>
      </c>
      <c r="AO74" s="528">
        <f t="shared" si="56"/>
        <v>3.8100000000000023</v>
      </c>
      <c r="AP74" s="528">
        <f t="shared" si="2"/>
        <v>0</v>
      </c>
      <c r="AQ74" s="529"/>
      <c r="AR74" s="529"/>
    </row>
    <row r="75" spans="1:44" s="83" customFormat="1" hidden="1" outlineLevel="1">
      <c r="A75" s="535"/>
      <c r="B75" s="536" t="s">
        <v>195</v>
      </c>
      <c r="C75" s="528">
        <f t="shared" si="33"/>
        <v>8.0990000000000464</v>
      </c>
      <c r="D75" s="523">
        <v>0</v>
      </c>
      <c r="E75" s="523">
        <v>0</v>
      </c>
      <c r="F75" s="528">
        <v>0</v>
      </c>
      <c r="G75" s="528">
        <v>8.0990000000000464</v>
      </c>
      <c r="H75" s="523">
        <f t="shared" si="71"/>
        <v>396</v>
      </c>
      <c r="I75" s="523">
        <f t="shared" si="72"/>
        <v>0</v>
      </c>
      <c r="J75" s="523"/>
      <c r="K75" s="523">
        <v>0</v>
      </c>
      <c r="L75" s="523">
        <f t="shared" si="73"/>
        <v>396</v>
      </c>
      <c r="M75" s="528"/>
      <c r="N75" s="528">
        <f>357+39</f>
        <v>396</v>
      </c>
      <c r="O75" s="528">
        <f t="shared" si="74"/>
        <v>379.05</v>
      </c>
      <c r="P75" s="543">
        <f t="shared" si="24"/>
        <v>0</v>
      </c>
      <c r="Q75" s="543">
        <f t="shared" si="25"/>
        <v>379.05</v>
      </c>
      <c r="R75" s="528">
        <f t="shared" si="75"/>
        <v>0</v>
      </c>
      <c r="S75" s="528"/>
      <c r="T75" s="528"/>
      <c r="U75" s="528">
        <f t="shared" si="76"/>
        <v>379.05</v>
      </c>
      <c r="V75" s="528"/>
      <c r="W75" s="528">
        <v>379.05</v>
      </c>
      <c r="X75" s="528">
        <f>Y75+AB75</f>
        <v>8.0990000000000464</v>
      </c>
      <c r="Y75" s="528"/>
      <c r="Z75" s="528"/>
      <c r="AA75" s="528"/>
      <c r="AB75" s="528">
        <f>AC75+AD75</f>
        <v>8.0990000000000464</v>
      </c>
      <c r="AC75" s="528"/>
      <c r="AD75" s="528">
        <v>8.0990000000000464</v>
      </c>
      <c r="AE75" s="528"/>
      <c r="AF75" s="528"/>
      <c r="AG75" s="528"/>
      <c r="AH75" s="528"/>
      <c r="AI75" s="528"/>
      <c r="AJ75" s="528"/>
      <c r="AK75" s="528">
        <f t="shared" si="21"/>
        <v>16.949999999999989</v>
      </c>
      <c r="AL75" s="523">
        <f t="shared" si="55"/>
        <v>0</v>
      </c>
      <c r="AM75" s="523">
        <f t="shared" si="55"/>
        <v>0</v>
      </c>
      <c r="AN75" s="528">
        <f t="shared" si="56"/>
        <v>0</v>
      </c>
      <c r="AO75" s="528">
        <f t="shared" si="56"/>
        <v>16.949999999999989</v>
      </c>
      <c r="AP75" s="528">
        <f t="shared" ref="AP75:AP138" si="77">C75+H75-O75-X75-AK75</f>
        <v>0</v>
      </c>
      <c r="AQ75" s="529"/>
      <c r="AR75" s="529"/>
    </row>
    <row r="76" spans="1:44" s="83" customFormat="1" hidden="1" outlineLevel="1">
      <c r="A76" s="535"/>
      <c r="B76" s="536" t="s">
        <v>198</v>
      </c>
      <c r="C76" s="528">
        <f t="shared" si="33"/>
        <v>1.696</v>
      </c>
      <c r="D76" s="523">
        <v>0</v>
      </c>
      <c r="E76" s="523">
        <v>0</v>
      </c>
      <c r="F76" s="528">
        <v>0</v>
      </c>
      <c r="G76" s="528">
        <v>1.696</v>
      </c>
      <c r="H76" s="523">
        <f t="shared" si="71"/>
        <v>229</v>
      </c>
      <c r="I76" s="523">
        <f t="shared" si="72"/>
        <v>0</v>
      </c>
      <c r="J76" s="523"/>
      <c r="K76" s="523">
        <v>0</v>
      </c>
      <c r="L76" s="523">
        <f t="shared" si="73"/>
        <v>229</v>
      </c>
      <c r="M76" s="528"/>
      <c r="N76" s="528">
        <f>229</f>
        <v>229</v>
      </c>
      <c r="O76" s="528">
        <f t="shared" si="74"/>
        <v>229</v>
      </c>
      <c r="P76" s="543">
        <f t="shared" si="24"/>
        <v>0</v>
      </c>
      <c r="Q76" s="543">
        <f t="shared" si="25"/>
        <v>229</v>
      </c>
      <c r="R76" s="528">
        <f t="shared" si="75"/>
        <v>0</v>
      </c>
      <c r="S76" s="528"/>
      <c r="T76" s="528"/>
      <c r="U76" s="528">
        <f t="shared" si="76"/>
        <v>229</v>
      </c>
      <c r="V76" s="528"/>
      <c r="W76" s="528">
        <v>229</v>
      </c>
      <c r="X76" s="528">
        <f t="shared" ref="X76:X80" si="78">Y76+AB76</f>
        <v>1.696</v>
      </c>
      <c r="Y76" s="528"/>
      <c r="Z76" s="528"/>
      <c r="AA76" s="528"/>
      <c r="AB76" s="528">
        <f t="shared" ref="AB76:AB80" si="79">AC76+AD76</f>
        <v>1.696</v>
      </c>
      <c r="AC76" s="528"/>
      <c r="AD76" s="528">
        <v>1.696</v>
      </c>
      <c r="AE76" s="528"/>
      <c r="AF76" s="528"/>
      <c r="AG76" s="528"/>
      <c r="AH76" s="528"/>
      <c r="AI76" s="528"/>
      <c r="AJ76" s="528"/>
      <c r="AK76" s="528">
        <f t="shared" si="21"/>
        <v>-1.9984014443252818E-15</v>
      </c>
      <c r="AL76" s="523">
        <f t="shared" si="55"/>
        <v>0</v>
      </c>
      <c r="AM76" s="523">
        <f t="shared" si="55"/>
        <v>0</v>
      </c>
      <c r="AN76" s="528">
        <f t="shared" si="56"/>
        <v>0</v>
      </c>
      <c r="AO76" s="528">
        <f t="shared" si="56"/>
        <v>-1.9984014443252818E-15</v>
      </c>
      <c r="AP76" s="528">
        <f t="shared" si="77"/>
        <v>0</v>
      </c>
      <c r="AQ76" s="529"/>
      <c r="AR76" s="529"/>
    </row>
    <row r="77" spans="1:44" s="83" customFormat="1" hidden="1" outlineLevel="1">
      <c r="A77" s="535"/>
      <c r="B77" s="536" t="s">
        <v>192</v>
      </c>
      <c r="C77" s="528">
        <f t="shared" si="33"/>
        <v>100.70499999999993</v>
      </c>
      <c r="D77" s="523">
        <v>0</v>
      </c>
      <c r="E77" s="523">
        <v>0</v>
      </c>
      <c r="F77" s="528">
        <v>0</v>
      </c>
      <c r="G77" s="528">
        <v>100.70499999999993</v>
      </c>
      <c r="H77" s="523">
        <f t="shared" si="71"/>
        <v>586</v>
      </c>
      <c r="I77" s="523">
        <f t="shared" si="72"/>
        <v>0</v>
      </c>
      <c r="J77" s="523"/>
      <c r="K77" s="523">
        <v>0</v>
      </c>
      <c r="L77" s="523">
        <f t="shared" si="73"/>
        <v>586</v>
      </c>
      <c r="M77" s="528"/>
      <c r="N77" s="528">
        <f>586</f>
        <v>586</v>
      </c>
      <c r="O77" s="528">
        <f t="shared" si="74"/>
        <v>586</v>
      </c>
      <c r="P77" s="543">
        <f t="shared" si="24"/>
        <v>0</v>
      </c>
      <c r="Q77" s="543">
        <f t="shared" si="25"/>
        <v>586</v>
      </c>
      <c r="R77" s="528">
        <f t="shared" si="75"/>
        <v>0</v>
      </c>
      <c r="S77" s="528"/>
      <c r="T77" s="528"/>
      <c r="U77" s="528">
        <f t="shared" si="76"/>
        <v>586</v>
      </c>
      <c r="V77" s="528"/>
      <c r="W77" s="528">
        <v>586</v>
      </c>
      <c r="X77" s="528">
        <f t="shared" si="78"/>
        <v>100.70499999999993</v>
      </c>
      <c r="Y77" s="528"/>
      <c r="Z77" s="528"/>
      <c r="AA77" s="528"/>
      <c r="AB77" s="528">
        <f t="shared" si="79"/>
        <v>100.70499999999993</v>
      </c>
      <c r="AC77" s="528"/>
      <c r="AD77" s="528">
        <v>100.70499999999993</v>
      </c>
      <c r="AE77" s="528"/>
      <c r="AF77" s="528"/>
      <c r="AG77" s="528"/>
      <c r="AH77" s="528"/>
      <c r="AI77" s="528"/>
      <c r="AJ77" s="528"/>
      <c r="AK77" s="528">
        <f t="shared" si="21"/>
        <v>0</v>
      </c>
      <c r="AL77" s="523">
        <f t="shared" si="55"/>
        <v>0</v>
      </c>
      <c r="AM77" s="523">
        <f t="shared" si="55"/>
        <v>0</v>
      </c>
      <c r="AN77" s="528">
        <f t="shared" si="56"/>
        <v>0</v>
      </c>
      <c r="AO77" s="528">
        <f t="shared" si="56"/>
        <v>0</v>
      </c>
      <c r="AP77" s="528">
        <f t="shared" si="77"/>
        <v>0</v>
      </c>
      <c r="AQ77" s="529"/>
      <c r="AR77" s="529"/>
    </row>
    <row r="78" spans="1:44" s="83" customFormat="1" hidden="1" outlineLevel="1">
      <c r="A78" s="535"/>
      <c r="B78" s="536" t="s">
        <v>199</v>
      </c>
      <c r="C78" s="528">
        <f t="shared" si="33"/>
        <v>16.170000000000002</v>
      </c>
      <c r="D78" s="523">
        <v>0</v>
      </c>
      <c r="E78" s="523">
        <v>0</v>
      </c>
      <c r="F78" s="528">
        <v>0</v>
      </c>
      <c r="G78" s="528">
        <v>16.170000000000002</v>
      </c>
      <c r="H78" s="523">
        <f t="shared" si="71"/>
        <v>153</v>
      </c>
      <c r="I78" s="523">
        <f t="shared" si="72"/>
        <v>0</v>
      </c>
      <c r="J78" s="523"/>
      <c r="K78" s="523">
        <v>0</v>
      </c>
      <c r="L78" s="523">
        <f t="shared" si="73"/>
        <v>153</v>
      </c>
      <c r="M78" s="528"/>
      <c r="N78" s="528">
        <f>153</f>
        <v>153</v>
      </c>
      <c r="O78" s="528">
        <f t="shared" si="74"/>
        <v>100.88</v>
      </c>
      <c r="P78" s="543">
        <f t="shared" si="24"/>
        <v>0</v>
      </c>
      <c r="Q78" s="543">
        <f t="shared" si="25"/>
        <v>100.88</v>
      </c>
      <c r="R78" s="528">
        <f t="shared" si="75"/>
        <v>0</v>
      </c>
      <c r="S78" s="528"/>
      <c r="T78" s="528"/>
      <c r="U78" s="528">
        <f t="shared" si="76"/>
        <v>100.88</v>
      </c>
      <c r="V78" s="528"/>
      <c r="W78" s="528">
        <f>100.88</f>
        <v>100.88</v>
      </c>
      <c r="X78" s="528">
        <f t="shared" si="78"/>
        <v>0.17</v>
      </c>
      <c r="Y78" s="528"/>
      <c r="Z78" s="528"/>
      <c r="AA78" s="528"/>
      <c r="AB78" s="528">
        <f t="shared" si="79"/>
        <v>0.17</v>
      </c>
      <c r="AC78" s="528"/>
      <c r="AD78" s="528">
        <v>0.17</v>
      </c>
      <c r="AE78" s="528"/>
      <c r="AF78" s="528"/>
      <c r="AG78" s="528"/>
      <c r="AH78" s="528"/>
      <c r="AI78" s="528"/>
      <c r="AJ78" s="528"/>
      <c r="AK78" s="528">
        <f t="shared" si="21"/>
        <v>68.120000000000019</v>
      </c>
      <c r="AL78" s="523">
        <f t="shared" si="55"/>
        <v>0</v>
      </c>
      <c r="AM78" s="523">
        <f t="shared" si="55"/>
        <v>0</v>
      </c>
      <c r="AN78" s="528">
        <f t="shared" si="56"/>
        <v>0</v>
      </c>
      <c r="AO78" s="528">
        <f t="shared" si="56"/>
        <v>68.120000000000019</v>
      </c>
      <c r="AP78" s="528">
        <f t="shared" si="77"/>
        <v>0</v>
      </c>
      <c r="AQ78" s="529"/>
      <c r="AR78" s="529"/>
    </row>
    <row r="79" spans="1:44" s="83" customFormat="1" hidden="1" outlineLevel="1">
      <c r="A79" s="535"/>
      <c r="B79" s="536" t="s">
        <v>200</v>
      </c>
      <c r="C79" s="528">
        <f t="shared" si="33"/>
        <v>0</v>
      </c>
      <c r="D79" s="523">
        <v>0</v>
      </c>
      <c r="E79" s="523">
        <v>0</v>
      </c>
      <c r="F79" s="528">
        <v>0</v>
      </c>
      <c r="G79" s="528"/>
      <c r="H79" s="523">
        <f t="shared" si="71"/>
        <v>316</v>
      </c>
      <c r="I79" s="523">
        <f t="shared" si="72"/>
        <v>0</v>
      </c>
      <c r="J79" s="523"/>
      <c r="K79" s="523">
        <v>0</v>
      </c>
      <c r="L79" s="523">
        <f t="shared" si="73"/>
        <v>316</v>
      </c>
      <c r="M79" s="528"/>
      <c r="N79" s="528">
        <f>200+116</f>
        <v>316</v>
      </c>
      <c r="O79" s="528">
        <f t="shared" si="74"/>
        <v>316</v>
      </c>
      <c r="P79" s="543">
        <f t="shared" ref="P79:P142" si="80">S79+V79</f>
        <v>0</v>
      </c>
      <c r="Q79" s="543">
        <f t="shared" ref="Q79:Q142" si="81">T79+W79</f>
        <v>316</v>
      </c>
      <c r="R79" s="528">
        <f t="shared" si="75"/>
        <v>0</v>
      </c>
      <c r="S79" s="528"/>
      <c r="T79" s="528"/>
      <c r="U79" s="528">
        <f t="shared" si="76"/>
        <v>316</v>
      </c>
      <c r="V79" s="528"/>
      <c r="W79" s="528">
        <v>316</v>
      </c>
      <c r="X79" s="528">
        <f t="shared" si="78"/>
        <v>0</v>
      </c>
      <c r="Y79" s="528"/>
      <c r="Z79" s="528"/>
      <c r="AA79" s="528"/>
      <c r="AB79" s="528">
        <f t="shared" si="79"/>
        <v>0</v>
      </c>
      <c r="AC79" s="528"/>
      <c r="AD79" s="528"/>
      <c r="AE79" s="528"/>
      <c r="AF79" s="528"/>
      <c r="AG79" s="528"/>
      <c r="AH79" s="528"/>
      <c r="AI79" s="528"/>
      <c r="AJ79" s="528"/>
      <c r="AK79" s="528">
        <f t="shared" si="21"/>
        <v>0</v>
      </c>
      <c r="AL79" s="523">
        <f t="shared" si="55"/>
        <v>0</v>
      </c>
      <c r="AM79" s="523">
        <f t="shared" si="55"/>
        <v>0</v>
      </c>
      <c r="AN79" s="528">
        <f t="shared" si="56"/>
        <v>0</v>
      </c>
      <c r="AO79" s="528">
        <f t="shared" si="56"/>
        <v>0</v>
      </c>
      <c r="AP79" s="528">
        <f t="shared" si="77"/>
        <v>0</v>
      </c>
      <c r="AQ79" s="529"/>
      <c r="AR79" s="529"/>
    </row>
    <row r="80" spans="1:44" s="83" customFormat="1" hidden="1" outlineLevel="1">
      <c r="A80" s="535"/>
      <c r="B80" s="522" t="s">
        <v>188</v>
      </c>
      <c r="C80" s="528">
        <f t="shared" si="33"/>
        <v>55.599999999999994</v>
      </c>
      <c r="D80" s="523">
        <v>0</v>
      </c>
      <c r="E80" s="523">
        <v>0</v>
      </c>
      <c r="F80" s="528">
        <v>0</v>
      </c>
      <c r="G80" s="528">
        <v>55.599999999999994</v>
      </c>
      <c r="H80" s="523">
        <f t="shared" si="71"/>
        <v>144</v>
      </c>
      <c r="I80" s="523">
        <f t="shared" si="72"/>
        <v>0</v>
      </c>
      <c r="J80" s="523"/>
      <c r="K80" s="523">
        <v>0</v>
      </c>
      <c r="L80" s="523">
        <f t="shared" si="73"/>
        <v>144</v>
      </c>
      <c r="M80" s="528"/>
      <c r="N80" s="528">
        <v>144</v>
      </c>
      <c r="O80" s="528">
        <f t="shared" si="74"/>
        <v>144</v>
      </c>
      <c r="P80" s="543">
        <f t="shared" si="80"/>
        <v>0</v>
      </c>
      <c r="Q80" s="543">
        <f t="shared" si="81"/>
        <v>144</v>
      </c>
      <c r="R80" s="528">
        <f t="shared" si="75"/>
        <v>0</v>
      </c>
      <c r="S80" s="528"/>
      <c r="T80" s="528"/>
      <c r="U80" s="528">
        <f t="shared" si="76"/>
        <v>144</v>
      </c>
      <c r="V80" s="528"/>
      <c r="W80" s="528">
        <v>144</v>
      </c>
      <c r="X80" s="528">
        <f t="shared" si="78"/>
        <v>55.599999999999994</v>
      </c>
      <c r="Y80" s="528"/>
      <c r="Z80" s="528"/>
      <c r="AA80" s="528"/>
      <c r="AB80" s="528">
        <f t="shared" si="79"/>
        <v>55.599999999999994</v>
      </c>
      <c r="AC80" s="528"/>
      <c r="AD80" s="528">
        <v>55.599999999999994</v>
      </c>
      <c r="AE80" s="528"/>
      <c r="AF80" s="528"/>
      <c r="AG80" s="528"/>
      <c r="AH80" s="528"/>
      <c r="AI80" s="528"/>
      <c r="AJ80" s="528"/>
      <c r="AK80" s="528">
        <f t="shared" si="21"/>
        <v>0</v>
      </c>
      <c r="AL80" s="523">
        <f t="shared" si="55"/>
        <v>0</v>
      </c>
      <c r="AM80" s="523">
        <f t="shared" si="55"/>
        <v>0</v>
      </c>
      <c r="AN80" s="528">
        <f t="shared" si="56"/>
        <v>0</v>
      </c>
      <c r="AO80" s="528">
        <f t="shared" si="56"/>
        <v>0</v>
      </c>
      <c r="AP80" s="528">
        <f t="shared" si="77"/>
        <v>0</v>
      </c>
      <c r="AQ80" s="529"/>
      <c r="AR80" s="529"/>
    </row>
    <row r="81" spans="1:44" s="83" customFormat="1" ht="31.2" hidden="1" outlineLevel="1">
      <c r="A81" s="535" t="s">
        <v>105</v>
      </c>
      <c r="B81" s="536" t="s">
        <v>372</v>
      </c>
      <c r="C81" s="523">
        <f t="shared" ref="C81:G81" si="82">SUM(C82:C92)</f>
        <v>1083.43408</v>
      </c>
      <c r="D81" s="523">
        <f t="shared" si="82"/>
        <v>0</v>
      </c>
      <c r="E81" s="523">
        <f t="shared" si="82"/>
        <v>17.129999999999995</v>
      </c>
      <c r="F81" s="523">
        <f t="shared" si="82"/>
        <v>0</v>
      </c>
      <c r="G81" s="523">
        <f t="shared" si="82"/>
        <v>1066.3040799999999</v>
      </c>
      <c r="H81" s="523">
        <f>SUM(H82:H92)</f>
        <v>15248</v>
      </c>
      <c r="I81" s="523">
        <f t="shared" ref="I81:AR81" si="83">SUM(I82:I92)</f>
        <v>3050</v>
      </c>
      <c r="J81" s="523">
        <f t="shared" si="83"/>
        <v>0</v>
      </c>
      <c r="K81" s="523">
        <f t="shared" si="83"/>
        <v>3050</v>
      </c>
      <c r="L81" s="523">
        <f t="shared" si="83"/>
        <v>12198</v>
      </c>
      <c r="M81" s="523">
        <f t="shared" si="83"/>
        <v>0</v>
      </c>
      <c r="N81" s="523">
        <f t="shared" si="83"/>
        <v>12198</v>
      </c>
      <c r="O81" s="523">
        <f t="shared" si="83"/>
        <v>15364.991999999998</v>
      </c>
      <c r="P81" s="543">
        <f t="shared" si="80"/>
        <v>0</v>
      </c>
      <c r="Q81" s="543">
        <f t="shared" si="81"/>
        <v>15364.992000000002</v>
      </c>
      <c r="R81" s="523">
        <f t="shared" si="83"/>
        <v>2929.0230000000001</v>
      </c>
      <c r="S81" s="523">
        <f t="shared" si="83"/>
        <v>0</v>
      </c>
      <c r="T81" s="523">
        <f t="shared" si="83"/>
        <v>2929.0230000000001</v>
      </c>
      <c r="U81" s="523">
        <f t="shared" si="83"/>
        <v>12435.969000000001</v>
      </c>
      <c r="V81" s="523">
        <f t="shared" si="83"/>
        <v>0</v>
      </c>
      <c r="W81" s="523">
        <f t="shared" si="83"/>
        <v>12435.969000000001</v>
      </c>
      <c r="X81" s="523">
        <f t="shared" si="83"/>
        <v>748.18407999999999</v>
      </c>
      <c r="Y81" s="523">
        <f t="shared" si="83"/>
        <v>17.129999999999995</v>
      </c>
      <c r="Z81" s="523">
        <f t="shared" si="83"/>
        <v>0</v>
      </c>
      <c r="AA81" s="523">
        <f t="shared" si="83"/>
        <v>17.129999999999995</v>
      </c>
      <c r="AB81" s="523">
        <f t="shared" si="83"/>
        <v>731.05408</v>
      </c>
      <c r="AC81" s="523">
        <f t="shared" si="83"/>
        <v>0</v>
      </c>
      <c r="AD81" s="523">
        <f t="shared" si="83"/>
        <v>731.05408</v>
      </c>
      <c r="AE81" s="523">
        <f t="shared" si="83"/>
        <v>0</v>
      </c>
      <c r="AF81" s="523">
        <f t="shared" si="83"/>
        <v>0</v>
      </c>
      <c r="AG81" s="523">
        <f t="shared" si="83"/>
        <v>0</v>
      </c>
      <c r="AH81" s="523">
        <f t="shared" si="83"/>
        <v>0</v>
      </c>
      <c r="AI81" s="523">
        <f t="shared" si="83"/>
        <v>0</v>
      </c>
      <c r="AJ81" s="523">
        <f t="shared" si="83"/>
        <v>0</v>
      </c>
      <c r="AK81" s="523">
        <f t="shared" si="83"/>
        <v>218.25799999999998</v>
      </c>
      <c r="AL81" s="523">
        <f t="shared" si="83"/>
        <v>0</v>
      </c>
      <c r="AM81" s="523">
        <f t="shared" si="83"/>
        <v>120.97699999999998</v>
      </c>
      <c r="AN81" s="523">
        <f t="shared" si="83"/>
        <v>0</v>
      </c>
      <c r="AO81" s="523">
        <f t="shared" si="83"/>
        <v>97.280999999999992</v>
      </c>
      <c r="AP81" s="523">
        <f t="shared" si="77"/>
        <v>7.3896444519050419E-13</v>
      </c>
      <c r="AQ81" s="524">
        <f t="shared" si="83"/>
        <v>0</v>
      </c>
      <c r="AR81" s="524">
        <f t="shared" si="83"/>
        <v>120.97699999999998</v>
      </c>
    </row>
    <row r="82" spans="1:44" s="83" customFormat="1" hidden="1" outlineLevel="1">
      <c r="A82" s="535"/>
      <c r="B82" s="536" t="s">
        <v>178</v>
      </c>
      <c r="C82" s="528">
        <f t="shared" si="33"/>
        <v>17.129999999999995</v>
      </c>
      <c r="D82" s="523">
        <v>0</v>
      </c>
      <c r="E82" s="523">
        <v>17.129999999999995</v>
      </c>
      <c r="F82" s="528">
        <v>0</v>
      </c>
      <c r="G82" s="528">
        <v>0</v>
      </c>
      <c r="H82" s="523">
        <f t="shared" ref="H82:H92" si="84">I82+L82</f>
        <v>3050</v>
      </c>
      <c r="I82" s="523">
        <f t="shared" si="72"/>
        <v>3050</v>
      </c>
      <c r="J82" s="523"/>
      <c r="K82" s="523">
        <v>3050</v>
      </c>
      <c r="L82" s="523"/>
      <c r="M82" s="528"/>
      <c r="N82" s="528"/>
      <c r="O82" s="528">
        <f t="shared" ref="O82:O92" si="85">R82+U82</f>
        <v>2929.0230000000001</v>
      </c>
      <c r="P82" s="543">
        <f t="shared" si="80"/>
        <v>0</v>
      </c>
      <c r="Q82" s="543">
        <f t="shared" si="81"/>
        <v>2929.0230000000001</v>
      </c>
      <c r="R82" s="528">
        <f>S82+T82</f>
        <v>2929.0230000000001</v>
      </c>
      <c r="S82" s="528"/>
      <c r="T82" s="528">
        <v>2929.0230000000001</v>
      </c>
      <c r="U82" s="528"/>
      <c r="V82" s="528"/>
      <c r="W82" s="528"/>
      <c r="X82" s="528">
        <f>Y82+AB82</f>
        <v>17.129999999999995</v>
      </c>
      <c r="Y82" s="528">
        <f>Z82+AA82</f>
        <v>17.129999999999995</v>
      </c>
      <c r="Z82" s="528"/>
      <c r="AA82" s="528">
        <v>17.129999999999995</v>
      </c>
      <c r="AB82" s="528">
        <f>AC82+AD82</f>
        <v>0</v>
      </c>
      <c r="AC82" s="528"/>
      <c r="AD82" s="528"/>
      <c r="AE82" s="528"/>
      <c r="AF82" s="528"/>
      <c r="AG82" s="528"/>
      <c r="AH82" s="528"/>
      <c r="AI82" s="528"/>
      <c r="AJ82" s="528"/>
      <c r="AK82" s="528">
        <f t="shared" ref="AK82:AK137" si="86">SUM(AL82:AO82)</f>
        <v>120.97699999999998</v>
      </c>
      <c r="AL82" s="523">
        <f t="shared" si="55"/>
        <v>0</v>
      </c>
      <c r="AM82" s="523">
        <f t="shared" si="55"/>
        <v>120.97699999999998</v>
      </c>
      <c r="AN82" s="528">
        <f t="shared" si="56"/>
        <v>0</v>
      </c>
      <c r="AO82" s="528">
        <f t="shared" si="56"/>
        <v>0</v>
      </c>
      <c r="AP82" s="528">
        <f t="shared" si="77"/>
        <v>0</v>
      </c>
      <c r="AQ82" s="529"/>
      <c r="AR82" s="529">
        <f>AM82</f>
        <v>120.97699999999998</v>
      </c>
    </row>
    <row r="83" spans="1:44" s="83" customFormat="1" hidden="1" outlineLevel="1">
      <c r="A83" s="535"/>
      <c r="B83" s="536" t="s">
        <v>194</v>
      </c>
      <c r="C83" s="528">
        <f t="shared" si="33"/>
        <v>471.24999999999994</v>
      </c>
      <c r="D83" s="523">
        <v>0</v>
      </c>
      <c r="E83" s="523">
        <v>0</v>
      </c>
      <c r="F83" s="528">
        <v>0</v>
      </c>
      <c r="G83" s="528">
        <v>471.24999999999994</v>
      </c>
      <c r="H83" s="523">
        <f t="shared" si="84"/>
        <v>1959</v>
      </c>
      <c r="I83" s="523">
        <f t="shared" si="72"/>
        <v>0</v>
      </c>
      <c r="J83" s="523"/>
      <c r="K83" s="523">
        <v>0</v>
      </c>
      <c r="L83" s="523">
        <f t="shared" ref="L83:L92" si="87">M83+N83</f>
        <v>1959</v>
      </c>
      <c r="M83" s="528"/>
      <c r="N83" s="528">
        <f>1692+267</f>
        <v>1959</v>
      </c>
      <c r="O83" s="528">
        <f t="shared" si="85"/>
        <v>1903.12</v>
      </c>
      <c r="P83" s="543">
        <f t="shared" si="80"/>
        <v>0</v>
      </c>
      <c r="Q83" s="543">
        <f t="shared" si="81"/>
        <v>1903.12</v>
      </c>
      <c r="R83" s="528">
        <f t="shared" ref="R83:R92" si="88">S83+T83</f>
        <v>0</v>
      </c>
      <c r="S83" s="528"/>
      <c r="T83" s="528"/>
      <c r="U83" s="528">
        <f t="shared" ref="U83:U92" si="89">V83+W83</f>
        <v>1903.12</v>
      </c>
      <c r="V83" s="528"/>
      <c r="W83" s="528">
        <v>1903.12</v>
      </c>
      <c r="X83" s="528">
        <f t="shared" ref="X83:X92" si="90">Y83+AB83</f>
        <v>471</v>
      </c>
      <c r="Y83" s="528">
        <f t="shared" ref="Y83:Y92" si="91">Z83+AA83</f>
        <v>0</v>
      </c>
      <c r="Z83" s="528"/>
      <c r="AA83" s="528"/>
      <c r="AB83" s="528">
        <f t="shared" ref="AB83:AB92" si="92">AC83+AD83</f>
        <v>471</v>
      </c>
      <c r="AC83" s="528"/>
      <c r="AD83" s="528">
        <v>471</v>
      </c>
      <c r="AE83" s="528"/>
      <c r="AF83" s="528"/>
      <c r="AG83" s="528"/>
      <c r="AH83" s="528"/>
      <c r="AI83" s="528"/>
      <c r="AJ83" s="528"/>
      <c r="AK83" s="528">
        <f t="shared" si="86"/>
        <v>56.130000000000109</v>
      </c>
      <c r="AL83" s="523">
        <f t="shared" si="55"/>
        <v>0</v>
      </c>
      <c r="AM83" s="523">
        <f t="shared" si="55"/>
        <v>0</v>
      </c>
      <c r="AN83" s="528">
        <f t="shared" si="56"/>
        <v>0</v>
      </c>
      <c r="AO83" s="528">
        <f t="shared" si="56"/>
        <v>56.130000000000109</v>
      </c>
      <c r="AP83" s="528">
        <f t="shared" si="77"/>
        <v>0</v>
      </c>
      <c r="AQ83" s="529"/>
      <c r="AR83" s="529"/>
    </row>
    <row r="84" spans="1:44" s="83" customFormat="1" hidden="1" outlineLevel="1">
      <c r="A84" s="535"/>
      <c r="B84" s="536" t="s">
        <v>197</v>
      </c>
      <c r="C84" s="528">
        <f t="shared" si="33"/>
        <v>0.4</v>
      </c>
      <c r="D84" s="523">
        <v>0</v>
      </c>
      <c r="E84" s="523">
        <v>0</v>
      </c>
      <c r="F84" s="528">
        <v>0</v>
      </c>
      <c r="G84" s="528">
        <v>0.4</v>
      </c>
      <c r="H84" s="523">
        <f t="shared" si="84"/>
        <v>918</v>
      </c>
      <c r="I84" s="523">
        <f t="shared" si="72"/>
        <v>0</v>
      </c>
      <c r="J84" s="523"/>
      <c r="K84" s="523">
        <v>0</v>
      </c>
      <c r="L84" s="523">
        <f t="shared" si="87"/>
        <v>918</v>
      </c>
      <c r="M84" s="528"/>
      <c r="N84" s="528">
        <f>724+194</f>
        <v>918</v>
      </c>
      <c r="O84" s="528">
        <f t="shared" si="85"/>
        <v>903.09900000000005</v>
      </c>
      <c r="P84" s="543">
        <f t="shared" si="80"/>
        <v>0</v>
      </c>
      <c r="Q84" s="543">
        <f t="shared" si="81"/>
        <v>903.09900000000005</v>
      </c>
      <c r="R84" s="528">
        <f t="shared" si="88"/>
        <v>0</v>
      </c>
      <c r="S84" s="528"/>
      <c r="T84" s="528"/>
      <c r="U84" s="528">
        <f t="shared" si="89"/>
        <v>903.09900000000005</v>
      </c>
      <c r="V84" s="528"/>
      <c r="W84" s="528">
        <v>903.09900000000005</v>
      </c>
      <c r="X84" s="528">
        <f t="shared" si="90"/>
        <v>0.4</v>
      </c>
      <c r="Y84" s="528">
        <f t="shared" si="91"/>
        <v>0</v>
      </c>
      <c r="Z84" s="528"/>
      <c r="AA84" s="528"/>
      <c r="AB84" s="528">
        <f t="shared" si="92"/>
        <v>0.4</v>
      </c>
      <c r="AC84" s="528"/>
      <c r="AD84" s="528">
        <v>0.4</v>
      </c>
      <c r="AE84" s="528"/>
      <c r="AF84" s="528"/>
      <c r="AG84" s="528"/>
      <c r="AH84" s="528"/>
      <c r="AI84" s="528"/>
      <c r="AJ84" s="528"/>
      <c r="AK84" s="528">
        <f t="shared" si="86"/>
        <v>14.900999999999931</v>
      </c>
      <c r="AL84" s="523">
        <f t="shared" si="55"/>
        <v>0</v>
      </c>
      <c r="AM84" s="523">
        <f t="shared" si="55"/>
        <v>0</v>
      </c>
      <c r="AN84" s="528">
        <f t="shared" si="56"/>
        <v>0</v>
      </c>
      <c r="AO84" s="528">
        <f t="shared" si="56"/>
        <v>14.900999999999931</v>
      </c>
      <c r="AP84" s="528">
        <f t="shared" si="77"/>
        <v>0</v>
      </c>
      <c r="AQ84" s="529"/>
      <c r="AR84" s="529"/>
    </row>
    <row r="85" spans="1:44" s="83" customFormat="1" hidden="1" outlineLevel="1">
      <c r="A85" s="535"/>
      <c r="B85" s="536" t="s">
        <v>193</v>
      </c>
      <c r="C85" s="528">
        <f t="shared" si="33"/>
        <v>1.5</v>
      </c>
      <c r="D85" s="523">
        <v>0</v>
      </c>
      <c r="E85" s="523">
        <v>0</v>
      </c>
      <c r="F85" s="528">
        <v>0</v>
      </c>
      <c r="G85" s="528">
        <v>1.5</v>
      </c>
      <c r="H85" s="523">
        <f t="shared" si="84"/>
        <v>1701</v>
      </c>
      <c r="I85" s="523">
        <f t="shared" si="72"/>
        <v>0</v>
      </c>
      <c r="J85" s="523"/>
      <c r="K85" s="523">
        <v>0</v>
      </c>
      <c r="L85" s="523">
        <f t="shared" si="87"/>
        <v>1701</v>
      </c>
      <c r="M85" s="528"/>
      <c r="N85" s="528">
        <f>1323+378</f>
        <v>1701</v>
      </c>
      <c r="O85" s="528">
        <f t="shared" si="85"/>
        <v>1701</v>
      </c>
      <c r="P85" s="543">
        <f t="shared" si="80"/>
        <v>0</v>
      </c>
      <c r="Q85" s="543">
        <f t="shared" si="81"/>
        <v>1701</v>
      </c>
      <c r="R85" s="528">
        <f t="shared" si="88"/>
        <v>0</v>
      </c>
      <c r="S85" s="528"/>
      <c r="T85" s="528"/>
      <c r="U85" s="528">
        <f t="shared" si="89"/>
        <v>1701</v>
      </c>
      <c r="V85" s="528"/>
      <c r="W85" s="528">
        <v>1701</v>
      </c>
      <c r="X85" s="528">
        <f t="shared" si="90"/>
        <v>1.5</v>
      </c>
      <c r="Y85" s="528">
        <f t="shared" si="91"/>
        <v>0</v>
      </c>
      <c r="Z85" s="528"/>
      <c r="AA85" s="528"/>
      <c r="AB85" s="528">
        <f t="shared" si="92"/>
        <v>1.5</v>
      </c>
      <c r="AC85" s="528"/>
      <c r="AD85" s="528">
        <v>1.5</v>
      </c>
      <c r="AE85" s="528"/>
      <c r="AF85" s="528"/>
      <c r="AG85" s="528"/>
      <c r="AH85" s="528"/>
      <c r="AI85" s="528"/>
      <c r="AJ85" s="528"/>
      <c r="AK85" s="528">
        <f t="shared" si="86"/>
        <v>0</v>
      </c>
      <c r="AL85" s="523">
        <f t="shared" si="55"/>
        <v>0</v>
      </c>
      <c r="AM85" s="523">
        <f t="shared" si="55"/>
        <v>0</v>
      </c>
      <c r="AN85" s="528">
        <f t="shared" si="56"/>
        <v>0</v>
      </c>
      <c r="AO85" s="528">
        <f t="shared" si="56"/>
        <v>0</v>
      </c>
      <c r="AP85" s="528">
        <f t="shared" si="77"/>
        <v>0</v>
      </c>
      <c r="AQ85" s="529"/>
      <c r="AR85" s="529"/>
    </row>
    <row r="86" spans="1:44" s="83" customFormat="1" hidden="1" outlineLevel="1">
      <c r="A86" s="535"/>
      <c r="B86" s="536" t="s">
        <v>196</v>
      </c>
      <c r="C86" s="528">
        <f t="shared" si="33"/>
        <v>2.1999999999998181</v>
      </c>
      <c r="D86" s="523">
        <v>0</v>
      </c>
      <c r="E86" s="523">
        <v>0</v>
      </c>
      <c r="F86" s="528">
        <v>0</v>
      </c>
      <c r="G86" s="528">
        <v>2.1999999999998181</v>
      </c>
      <c r="H86" s="523">
        <f t="shared" si="84"/>
        <v>1011</v>
      </c>
      <c r="I86" s="523">
        <f t="shared" si="72"/>
        <v>0</v>
      </c>
      <c r="J86" s="523"/>
      <c r="K86" s="523">
        <v>0</v>
      </c>
      <c r="L86" s="523">
        <f t="shared" si="87"/>
        <v>1011</v>
      </c>
      <c r="M86" s="528"/>
      <c r="N86" s="528">
        <f>744+267</f>
        <v>1011</v>
      </c>
      <c r="O86" s="528">
        <f t="shared" si="85"/>
        <v>1001.3</v>
      </c>
      <c r="P86" s="543">
        <f t="shared" si="80"/>
        <v>0</v>
      </c>
      <c r="Q86" s="543">
        <f t="shared" si="81"/>
        <v>1001.3</v>
      </c>
      <c r="R86" s="528">
        <f t="shared" si="88"/>
        <v>0</v>
      </c>
      <c r="S86" s="528"/>
      <c r="T86" s="528"/>
      <c r="U86" s="528">
        <f t="shared" si="89"/>
        <v>1001.3</v>
      </c>
      <c r="V86" s="528"/>
      <c r="W86" s="528">
        <v>1001.3</v>
      </c>
      <c r="X86" s="528">
        <f t="shared" si="90"/>
        <v>2.1999999999998181</v>
      </c>
      <c r="Y86" s="528">
        <f t="shared" si="91"/>
        <v>0</v>
      </c>
      <c r="Z86" s="528"/>
      <c r="AA86" s="528"/>
      <c r="AB86" s="528">
        <f t="shared" si="92"/>
        <v>2.1999999999998181</v>
      </c>
      <c r="AC86" s="528"/>
      <c r="AD86" s="528">
        <v>2.1999999999998181</v>
      </c>
      <c r="AE86" s="528"/>
      <c r="AF86" s="528"/>
      <c r="AG86" s="528"/>
      <c r="AH86" s="528"/>
      <c r="AI86" s="528"/>
      <c r="AJ86" s="528"/>
      <c r="AK86" s="528">
        <f t="shared" si="86"/>
        <v>9.7000000000000455</v>
      </c>
      <c r="AL86" s="523">
        <f t="shared" si="55"/>
        <v>0</v>
      </c>
      <c r="AM86" s="523">
        <f t="shared" si="55"/>
        <v>0</v>
      </c>
      <c r="AN86" s="528">
        <f t="shared" si="56"/>
        <v>0</v>
      </c>
      <c r="AO86" s="528">
        <f t="shared" si="56"/>
        <v>9.7000000000000455</v>
      </c>
      <c r="AP86" s="528">
        <f t="shared" si="77"/>
        <v>0</v>
      </c>
      <c r="AQ86" s="529"/>
      <c r="AR86" s="529"/>
    </row>
    <row r="87" spans="1:44" s="83" customFormat="1" hidden="1" outlineLevel="1">
      <c r="A87" s="535"/>
      <c r="B87" s="536" t="s">
        <v>195</v>
      </c>
      <c r="C87" s="528">
        <f t="shared" si="33"/>
        <v>67.539000000000215</v>
      </c>
      <c r="D87" s="523">
        <v>0</v>
      </c>
      <c r="E87" s="523">
        <v>0</v>
      </c>
      <c r="F87" s="528">
        <v>0</v>
      </c>
      <c r="G87" s="528">
        <v>67.539000000000215</v>
      </c>
      <c r="H87" s="523">
        <f t="shared" si="84"/>
        <v>1435</v>
      </c>
      <c r="I87" s="523">
        <f t="shared" si="72"/>
        <v>0</v>
      </c>
      <c r="J87" s="523"/>
      <c r="K87" s="523">
        <v>0</v>
      </c>
      <c r="L87" s="523">
        <f t="shared" si="87"/>
        <v>1435</v>
      </c>
      <c r="M87" s="528"/>
      <c r="N87" s="528">
        <f>1302+133</f>
        <v>1435</v>
      </c>
      <c r="O87" s="528">
        <f t="shared" si="85"/>
        <v>1431.15</v>
      </c>
      <c r="P87" s="543">
        <f t="shared" si="80"/>
        <v>0</v>
      </c>
      <c r="Q87" s="543">
        <f t="shared" si="81"/>
        <v>1431.15</v>
      </c>
      <c r="R87" s="528">
        <f t="shared" si="88"/>
        <v>0</v>
      </c>
      <c r="S87" s="528"/>
      <c r="T87" s="528"/>
      <c r="U87" s="528">
        <f t="shared" si="89"/>
        <v>1431.15</v>
      </c>
      <c r="V87" s="528"/>
      <c r="W87" s="528">
        <v>1431.15</v>
      </c>
      <c r="X87" s="528">
        <f t="shared" si="90"/>
        <v>67.539000000000215</v>
      </c>
      <c r="Y87" s="528">
        <f t="shared" si="91"/>
        <v>0</v>
      </c>
      <c r="Z87" s="528"/>
      <c r="AA87" s="528"/>
      <c r="AB87" s="528">
        <f t="shared" si="92"/>
        <v>67.539000000000215</v>
      </c>
      <c r="AC87" s="528"/>
      <c r="AD87" s="528">
        <v>67.539000000000215</v>
      </c>
      <c r="AE87" s="528"/>
      <c r="AF87" s="528"/>
      <c r="AG87" s="528"/>
      <c r="AH87" s="528"/>
      <c r="AI87" s="528"/>
      <c r="AJ87" s="528"/>
      <c r="AK87" s="528">
        <f t="shared" si="86"/>
        <v>3.8499999999999091</v>
      </c>
      <c r="AL87" s="523">
        <f t="shared" si="55"/>
        <v>0</v>
      </c>
      <c r="AM87" s="523">
        <f t="shared" si="55"/>
        <v>0</v>
      </c>
      <c r="AN87" s="528">
        <f t="shared" si="56"/>
        <v>0</v>
      </c>
      <c r="AO87" s="528">
        <f t="shared" si="56"/>
        <v>3.8499999999999091</v>
      </c>
      <c r="AP87" s="528">
        <f t="shared" si="77"/>
        <v>0</v>
      </c>
      <c r="AQ87" s="529"/>
      <c r="AR87" s="529"/>
    </row>
    <row r="88" spans="1:44" s="83" customFormat="1" hidden="1" outlineLevel="1">
      <c r="A88" s="535"/>
      <c r="B88" s="536" t="s">
        <v>198</v>
      </c>
      <c r="C88" s="528">
        <f t="shared" si="33"/>
        <v>0</v>
      </c>
      <c r="D88" s="523">
        <v>0</v>
      </c>
      <c r="E88" s="523">
        <v>0</v>
      </c>
      <c r="F88" s="528">
        <v>0</v>
      </c>
      <c r="G88" s="528">
        <v>0</v>
      </c>
      <c r="H88" s="523">
        <f t="shared" si="84"/>
        <v>831</v>
      </c>
      <c r="I88" s="523">
        <f t="shared" si="72"/>
        <v>0</v>
      </c>
      <c r="J88" s="523"/>
      <c r="K88" s="523">
        <v>0</v>
      </c>
      <c r="L88" s="523">
        <f t="shared" si="87"/>
        <v>831</v>
      </c>
      <c r="M88" s="528"/>
      <c r="N88" s="528">
        <f>831</f>
        <v>831</v>
      </c>
      <c r="O88" s="528">
        <f t="shared" si="85"/>
        <v>829.44</v>
      </c>
      <c r="P88" s="543">
        <f t="shared" si="80"/>
        <v>0</v>
      </c>
      <c r="Q88" s="543">
        <f t="shared" si="81"/>
        <v>829.44</v>
      </c>
      <c r="R88" s="528">
        <f t="shared" si="88"/>
        <v>0</v>
      </c>
      <c r="S88" s="528"/>
      <c r="T88" s="528"/>
      <c r="U88" s="528">
        <f t="shared" si="89"/>
        <v>829.44</v>
      </c>
      <c r="V88" s="528"/>
      <c r="W88" s="528">
        <v>829.44</v>
      </c>
      <c r="X88" s="528">
        <f t="shared" si="90"/>
        <v>0</v>
      </c>
      <c r="Y88" s="528">
        <f t="shared" si="91"/>
        <v>0</v>
      </c>
      <c r="Z88" s="528"/>
      <c r="AA88" s="528"/>
      <c r="AB88" s="528">
        <f t="shared" si="92"/>
        <v>0</v>
      </c>
      <c r="AC88" s="528"/>
      <c r="AD88" s="528"/>
      <c r="AE88" s="528"/>
      <c r="AF88" s="528"/>
      <c r="AG88" s="528"/>
      <c r="AH88" s="528"/>
      <c r="AI88" s="528"/>
      <c r="AJ88" s="528"/>
      <c r="AK88" s="528">
        <f t="shared" si="86"/>
        <v>1.5599999999999454</v>
      </c>
      <c r="AL88" s="523">
        <f t="shared" si="55"/>
        <v>0</v>
      </c>
      <c r="AM88" s="523">
        <f t="shared" si="55"/>
        <v>0</v>
      </c>
      <c r="AN88" s="528">
        <f t="shared" si="56"/>
        <v>0</v>
      </c>
      <c r="AO88" s="528">
        <f t="shared" si="56"/>
        <v>1.5599999999999454</v>
      </c>
      <c r="AP88" s="528">
        <f t="shared" si="77"/>
        <v>0</v>
      </c>
      <c r="AQ88" s="529"/>
      <c r="AR88" s="529"/>
    </row>
    <row r="89" spans="1:44" s="83" customFormat="1" hidden="1" outlineLevel="1">
      <c r="A89" s="535"/>
      <c r="B89" s="536" t="s">
        <v>192</v>
      </c>
      <c r="C89" s="528">
        <f t="shared" si="33"/>
        <v>103.76400000000012</v>
      </c>
      <c r="D89" s="523">
        <v>0</v>
      </c>
      <c r="E89" s="523">
        <v>0</v>
      </c>
      <c r="F89" s="528">
        <v>0</v>
      </c>
      <c r="G89" s="528">
        <v>103.76400000000012</v>
      </c>
      <c r="H89" s="523">
        <f t="shared" si="84"/>
        <v>2122</v>
      </c>
      <c r="I89" s="523">
        <f t="shared" si="72"/>
        <v>0</v>
      </c>
      <c r="J89" s="523"/>
      <c r="K89" s="523">
        <v>0</v>
      </c>
      <c r="L89" s="523">
        <f t="shared" si="87"/>
        <v>2122</v>
      </c>
      <c r="M89" s="528"/>
      <c r="N89" s="528">
        <f>2122</f>
        <v>2122</v>
      </c>
      <c r="O89" s="528">
        <f t="shared" si="85"/>
        <v>2116.6999999999998</v>
      </c>
      <c r="P89" s="543">
        <f t="shared" si="80"/>
        <v>0</v>
      </c>
      <c r="Q89" s="543">
        <f t="shared" si="81"/>
        <v>2116.6999999999998</v>
      </c>
      <c r="R89" s="528">
        <f t="shared" si="88"/>
        <v>0</v>
      </c>
      <c r="S89" s="528"/>
      <c r="T89" s="528"/>
      <c r="U89" s="528">
        <f t="shared" si="89"/>
        <v>2116.6999999999998</v>
      </c>
      <c r="V89" s="528"/>
      <c r="W89" s="528">
        <v>2116.6999999999998</v>
      </c>
      <c r="X89" s="528">
        <f t="shared" si="90"/>
        <v>103.76400000000012</v>
      </c>
      <c r="Y89" s="528">
        <f t="shared" si="91"/>
        <v>0</v>
      </c>
      <c r="Z89" s="528"/>
      <c r="AA89" s="528"/>
      <c r="AB89" s="528">
        <f t="shared" si="92"/>
        <v>103.76400000000012</v>
      </c>
      <c r="AC89" s="528"/>
      <c r="AD89" s="528">
        <v>103.76400000000012</v>
      </c>
      <c r="AE89" s="528"/>
      <c r="AF89" s="528"/>
      <c r="AG89" s="528"/>
      <c r="AH89" s="528"/>
      <c r="AI89" s="528"/>
      <c r="AJ89" s="528"/>
      <c r="AK89" s="528">
        <f t="shared" si="86"/>
        <v>5.3000000000001819</v>
      </c>
      <c r="AL89" s="523">
        <f t="shared" si="55"/>
        <v>0</v>
      </c>
      <c r="AM89" s="523">
        <f t="shared" si="55"/>
        <v>0</v>
      </c>
      <c r="AN89" s="528">
        <f t="shared" si="56"/>
        <v>0</v>
      </c>
      <c r="AO89" s="528">
        <f t="shared" si="56"/>
        <v>5.3000000000001819</v>
      </c>
      <c r="AP89" s="528">
        <f t="shared" si="77"/>
        <v>0</v>
      </c>
      <c r="AQ89" s="529"/>
      <c r="AR89" s="529"/>
    </row>
    <row r="90" spans="1:44" s="83" customFormat="1" hidden="1" outlineLevel="1">
      <c r="A90" s="535"/>
      <c r="B90" s="536" t="s">
        <v>199</v>
      </c>
      <c r="C90" s="528">
        <f t="shared" si="33"/>
        <v>335</v>
      </c>
      <c r="D90" s="523">
        <v>0</v>
      </c>
      <c r="E90" s="523">
        <v>0</v>
      </c>
      <c r="F90" s="528">
        <v>0</v>
      </c>
      <c r="G90" s="528">
        <v>335</v>
      </c>
      <c r="H90" s="523">
        <f t="shared" si="84"/>
        <v>554</v>
      </c>
      <c r="I90" s="523">
        <f t="shared" si="72"/>
        <v>0</v>
      </c>
      <c r="J90" s="523"/>
      <c r="K90" s="523">
        <v>0</v>
      </c>
      <c r="L90" s="523">
        <f t="shared" si="87"/>
        <v>554</v>
      </c>
      <c r="M90" s="528"/>
      <c r="N90" s="528">
        <f>554</f>
        <v>554</v>
      </c>
      <c r="O90" s="528">
        <f t="shared" si="85"/>
        <v>883.16000000000008</v>
      </c>
      <c r="P90" s="543">
        <f t="shared" si="80"/>
        <v>0</v>
      </c>
      <c r="Q90" s="543">
        <f t="shared" si="81"/>
        <v>883.16000000000008</v>
      </c>
      <c r="R90" s="528">
        <f t="shared" si="88"/>
        <v>0</v>
      </c>
      <c r="S90" s="528"/>
      <c r="T90" s="528"/>
      <c r="U90" s="528">
        <f t="shared" si="89"/>
        <v>883.16000000000008</v>
      </c>
      <c r="V90" s="528"/>
      <c r="W90" s="528">
        <f>548.35+334.81</f>
        <v>883.16000000000008</v>
      </c>
      <c r="X90" s="528">
        <f t="shared" si="90"/>
        <v>0</v>
      </c>
      <c r="Y90" s="528">
        <f t="shared" si="91"/>
        <v>0</v>
      </c>
      <c r="Z90" s="528"/>
      <c r="AA90" s="528"/>
      <c r="AB90" s="528">
        <f t="shared" si="92"/>
        <v>0</v>
      </c>
      <c r="AC90" s="528"/>
      <c r="AD90" s="528"/>
      <c r="AE90" s="528"/>
      <c r="AF90" s="528"/>
      <c r="AG90" s="528"/>
      <c r="AH90" s="528"/>
      <c r="AI90" s="528"/>
      <c r="AJ90" s="528"/>
      <c r="AK90" s="528">
        <f t="shared" si="86"/>
        <v>5.8399999999999181</v>
      </c>
      <c r="AL90" s="523">
        <f t="shared" si="55"/>
        <v>0</v>
      </c>
      <c r="AM90" s="523">
        <f t="shared" si="55"/>
        <v>0</v>
      </c>
      <c r="AN90" s="528">
        <f t="shared" si="56"/>
        <v>0</v>
      </c>
      <c r="AO90" s="528">
        <f t="shared" si="56"/>
        <v>5.8399999999999181</v>
      </c>
      <c r="AP90" s="528">
        <f t="shared" si="77"/>
        <v>0</v>
      </c>
      <c r="AQ90" s="529"/>
      <c r="AR90" s="529"/>
    </row>
    <row r="91" spans="1:44" s="83" customFormat="1" hidden="1" outlineLevel="1">
      <c r="A91" s="535"/>
      <c r="B91" s="536" t="s">
        <v>200</v>
      </c>
      <c r="C91" s="528">
        <f t="shared" si="33"/>
        <v>38.651079999999908</v>
      </c>
      <c r="D91" s="523">
        <v>0</v>
      </c>
      <c r="E91" s="523">
        <v>0</v>
      </c>
      <c r="F91" s="528">
        <v>0</v>
      </c>
      <c r="G91" s="528">
        <v>38.651079999999908</v>
      </c>
      <c r="H91" s="523">
        <f t="shared" si="84"/>
        <v>1145</v>
      </c>
      <c r="I91" s="523">
        <f t="shared" si="72"/>
        <v>0</v>
      </c>
      <c r="J91" s="523"/>
      <c r="K91" s="523">
        <v>0</v>
      </c>
      <c r="L91" s="523">
        <f t="shared" si="87"/>
        <v>1145</v>
      </c>
      <c r="M91" s="528"/>
      <c r="N91" s="528">
        <f>724+421</f>
        <v>1145</v>
      </c>
      <c r="O91" s="528">
        <f t="shared" si="85"/>
        <v>1145</v>
      </c>
      <c r="P91" s="543">
        <f t="shared" si="80"/>
        <v>0</v>
      </c>
      <c r="Q91" s="543">
        <f t="shared" si="81"/>
        <v>1145</v>
      </c>
      <c r="R91" s="528">
        <f t="shared" si="88"/>
        <v>0</v>
      </c>
      <c r="S91" s="528"/>
      <c r="T91" s="528"/>
      <c r="U91" s="528">
        <f t="shared" si="89"/>
        <v>1145</v>
      </c>
      <c r="V91" s="528"/>
      <c r="W91" s="528">
        <v>1145</v>
      </c>
      <c r="X91" s="528">
        <f t="shared" si="90"/>
        <v>38.651079999999908</v>
      </c>
      <c r="Y91" s="528">
        <f t="shared" si="91"/>
        <v>0</v>
      </c>
      <c r="Z91" s="528"/>
      <c r="AA91" s="528"/>
      <c r="AB91" s="528">
        <f t="shared" si="92"/>
        <v>38.651079999999908</v>
      </c>
      <c r="AC91" s="528"/>
      <c r="AD91" s="528">
        <v>38.651079999999908</v>
      </c>
      <c r="AE91" s="528"/>
      <c r="AF91" s="528"/>
      <c r="AG91" s="528"/>
      <c r="AH91" s="528"/>
      <c r="AI91" s="528"/>
      <c r="AJ91" s="528"/>
      <c r="AK91" s="528">
        <f t="shared" si="86"/>
        <v>-4.2632564145606011E-14</v>
      </c>
      <c r="AL91" s="523">
        <f t="shared" si="55"/>
        <v>0</v>
      </c>
      <c r="AM91" s="523">
        <f t="shared" si="55"/>
        <v>0</v>
      </c>
      <c r="AN91" s="528">
        <f t="shared" si="56"/>
        <v>0</v>
      </c>
      <c r="AO91" s="528">
        <f t="shared" si="56"/>
        <v>-4.2632564145606011E-14</v>
      </c>
      <c r="AP91" s="528">
        <f t="shared" si="77"/>
        <v>0</v>
      </c>
      <c r="AQ91" s="529"/>
      <c r="AR91" s="529"/>
    </row>
    <row r="92" spans="1:44" s="83" customFormat="1" hidden="1" outlineLevel="1">
      <c r="A92" s="535"/>
      <c r="B92" s="522" t="s">
        <v>188</v>
      </c>
      <c r="C92" s="528">
        <f t="shared" si="33"/>
        <v>46</v>
      </c>
      <c r="D92" s="523">
        <v>0</v>
      </c>
      <c r="E92" s="523">
        <v>0</v>
      </c>
      <c r="F92" s="528">
        <v>0</v>
      </c>
      <c r="G92" s="528">
        <v>46</v>
      </c>
      <c r="H92" s="523">
        <f t="shared" si="84"/>
        <v>522</v>
      </c>
      <c r="I92" s="523">
        <f t="shared" si="72"/>
        <v>0</v>
      </c>
      <c r="J92" s="523"/>
      <c r="K92" s="523">
        <v>0</v>
      </c>
      <c r="L92" s="523">
        <f t="shared" si="87"/>
        <v>522</v>
      </c>
      <c r="M92" s="528"/>
      <c r="N92" s="528">
        <v>522</v>
      </c>
      <c r="O92" s="528">
        <f t="shared" si="85"/>
        <v>522</v>
      </c>
      <c r="P92" s="543">
        <f t="shared" si="80"/>
        <v>0</v>
      </c>
      <c r="Q92" s="543">
        <f t="shared" si="81"/>
        <v>522</v>
      </c>
      <c r="R92" s="528">
        <f t="shared" si="88"/>
        <v>0</v>
      </c>
      <c r="S92" s="528"/>
      <c r="T92" s="528"/>
      <c r="U92" s="528">
        <f t="shared" si="89"/>
        <v>522</v>
      </c>
      <c r="V92" s="528"/>
      <c r="W92" s="528">
        <v>522</v>
      </c>
      <c r="X92" s="528">
        <f t="shared" si="90"/>
        <v>46</v>
      </c>
      <c r="Y92" s="528">
        <f t="shared" si="91"/>
        <v>0</v>
      </c>
      <c r="Z92" s="528"/>
      <c r="AA92" s="528"/>
      <c r="AB92" s="528">
        <f t="shared" si="92"/>
        <v>46</v>
      </c>
      <c r="AC92" s="528"/>
      <c r="AD92" s="528">
        <v>46</v>
      </c>
      <c r="AE92" s="528"/>
      <c r="AF92" s="528"/>
      <c r="AG92" s="528"/>
      <c r="AH92" s="528"/>
      <c r="AI92" s="528"/>
      <c r="AJ92" s="528"/>
      <c r="AK92" s="528">
        <f t="shared" si="86"/>
        <v>0</v>
      </c>
      <c r="AL92" s="523">
        <f t="shared" si="55"/>
        <v>0</v>
      </c>
      <c r="AM92" s="523">
        <f t="shared" si="55"/>
        <v>0</v>
      </c>
      <c r="AN92" s="528">
        <f t="shared" si="56"/>
        <v>0</v>
      </c>
      <c r="AO92" s="528">
        <f t="shared" si="56"/>
        <v>0</v>
      </c>
      <c r="AP92" s="528">
        <f t="shared" si="77"/>
        <v>0</v>
      </c>
      <c r="AQ92" s="529"/>
      <c r="AR92" s="529"/>
    </row>
    <row r="93" spans="1:44" s="83" customFormat="1" hidden="1" outlineLevel="1">
      <c r="A93" s="535" t="s">
        <v>107</v>
      </c>
      <c r="B93" s="536" t="s">
        <v>376</v>
      </c>
      <c r="C93" s="528">
        <f t="shared" si="33"/>
        <v>277.71199999999999</v>
      </c>
      <c r="D93" s="523">
        <v>0</v>
      </c>
      <c r="E93" s="523">
        <v>277.71199999999999</v>
      </c>
      <c r="F93" s="528">
        <v>0</v>
      </c>
      <c r="G93" s="528">
        <v>0</v>
      </c>
      <c r="H93" s="523">
        <f>H94</f>
        <v>3596</v>
      </c>
      <c r="I93" s="523">
        <f t="shared" ref="I93:AJ93" si="93">I94</f>
        <v>3596</v>
      </c>
      <c r="J93" s="523">
        <f t="shared" si="93"/>
        <v>0</v>
      </c>
      <c r="K93" s="523">
        <f t="shared" si="93"/>
        <v>3596</v>
      </c>
      <c r="L93" s="523">
        <f t="shared" si="93"/>
        <v>0</v>
      </c>
      <c r="M93" s="523">
        <f t="shared" si="93"/>
        <v>0</v>
      </c>
      <c r="N93" s="523">
        <f t="shared" si="93"/>
        <v>0</v>
      </c>
      <c r="O93" s="523">
        <f t="shared" si="93"/>
        <v>3596</v>
      </c>
      <c r="P93" s="543">
        <f t="shared" si="80"/>
        <v>0</v>
      </c>
      <c r="Q93" s="543">
        <f t="shared" si="81"/>
        <v>3596</v>
      </c>
      <c r="R93" s="523">
        <f t="shared" si="93"/>
        <v>3596</v>
      </c>
      <c r="S93" s="523">
        <f t="shared" si="93"/>
        <v>0</v>
      </c>
      <c r="T93" s="523">
        <f t="shared" si="93"/>
        <v>3596</v>
      </c>
      <c r="U93" s="523">
        <f t="shared" si="93"/>
        <v>0</v>
      </c>
      <c r="V93" s="523">
        <f t="shared" si="93"/>
        <v>0</v>
      </c>
      <c r="W93" s="523">
        <f t="shared" si="93"/>
        <v>0</v>
      </c>
      <c r="X93" s="523">
        <f t="shared" si="93"/>
        <v>277.71199999999999</v>
      </c>
      <c r="Y93" s="523">
        <f t="shared" si="93"/>
        <v>277.71199999999999</v>
      </c>
      <c r="Z93" s="523">
        <f t="shared" si="93"/>
        <v>0</v>
      </c>
      <c r="AA93" s="523">
        <f t="shared" si="93"/>
        <v>277.71199999999999</v>
      </c>
      <c r="AB93" s="523">
        <f t="shared" si="93"/>
        <v>0</v>
      </c>
      <c r="AC93" s="523">
        <f t="shared" si="93"/>
        <v>0</v>
      </c>
      <c r="AD93" s="523">
        <f t="shared" si="93"/>
        <v>0</v>
      </c>
      <c r="AE93" s="523">
        <f t="shared" si="93"/>
        <v>0</v>
      </c>
      <c r="AF93" s="523">
        <f t="shared" si="93"/>
        <v>0</v>
      </c>
      <c r="AG93" s="523">
        <f t="shared" si="93"/>
        <v>0</v>
      </c>
      <c r="AH93" s="523">
        <f t="shared" si="93"/>
        <v>0</v>
      </c>
      <c r="AI93" s="523">
        <f t="shared" si="93"/>
        <v>0</v>
      </c>
      <c r="AJ93" s="523">
        <f t="shared" si="93"/>
        <v>0</v>
      </c>
      <c r="AK93" s="528">
        <f t="shared" si="86"/>
        <v>0</v>
      </c>
      <c r="AL93" s="523">
        <f t="shared" si="55"/>
        <v>0</v>
      </c>
      <c r="AM93" s="523">
        <f t="shared" si="55"/>
        <v>0</v>
      </c>
      <c r="AN93" s="528">
        <f t="shared" si="56"/>
        <v>0</v>
      </c>
      <c r="AO93" s="528">
        <f t="shared" si="56"/>
        <v>0</v>
      </c>
      <c r="AP93" s="528">
        <f t="shared" si="77"/>
        <v>0</v>
      </c>
      <c r="AQ93" s="529"/>
      <c r="AR93" s="529"/>
    </row>
    <row r="94" spans="1:44" s="83" customFormat="1" hidden="1" outlineLevel="1">
      <c r="A94" s="535"/>
      <c r="B94" s="536" t="s">
        <v>377</v>
      </c>
      <c r="C94" s="528">
        <f t="shared" si="33"/>
        <v>277.71199999999999</v>
      </c>
      <c r="D94" s="523">
        <v>0</v>
      </c>
      <c r="E94" s="523">
        <v>277.71199999999999</v>
      </c>
      <c r="F94" s="528">
        <v>0</v>
      </c>
      <c r="G94" s="528">
        <v>0</v>
      </c>
      <c r="H94" s="523">
        <f>I94+L94</f>
        <v>3596</v>
      </c>
      <c r="I94" s="523">
        <f>J94+K94</f>
        <v>3596</v>
      </c>
      <c r="J94" s="523"/>
      <c r="K94" s="523">
        <v>3596</v>
      </c>
      <c r="L94" s="523"/>
      <c r="M94" s="528"/>
      <c r="N94" s="528"/>
      <c r="O94" s="528">
        <f>R94+U94</f>
        <v>3596</v>
      </c>
      <c r="P94" s="543">
        <f t="shared" si="80"/>
        <v>0</v>
      </c>
      <c r="Q94" s="543">
        <f t="shared" si="81"/>
        <v>3596</v>
      </c>
      <c r="R94" s="528">
        <f>S94+T94</f>
        <v>3596</v>
      </c>
      <c r="S94" s="528"/>
      <c r="T94" s="528">
        <v>3596</v>
      </c>
      <c r="U94" s="528"/>
      <c r="V94" s="528"/>
      <c r="W94" s="528"/>
      <c r="X94" s="528">
        <f>Y94+AB94</f>
        <v>277.71199999999999</v>
      </c>
      <c r="Y94" s="528">
        <f>Z94+AA94</f>
        <v>277.71199999999999</v>
      </c>
      <c r="Z94" s="528"/>
      <c r="AA94" s="528">
        <v>277.71199999999999</v>
      </c>
      <c r="AB94" s="528"/>
      <c r="AC94" s="528"/>
      <c r="AD94" s="528"/>
      <c r="AE94" s="528"/>
      <c r="AF94" s="528"/>
      <c r="AG94" s="528"/>
      <c r="AH94" s="528"/>
      <c r="AI94" s="528"/>
      <c r="AJ94" s="528"/>
      <c r="AK94" s="528">
        <f t="shared" si="86"/>
        <v>0</v>
      </c>
      <c r="AL94" s="523">
        <f t="shared" si="55"/>
        <v>0</v>
      </c>
      <c r="AM94" s="523">
        <f t="shared" si="55"/>
        <v>0</v>
      </c>
      <c r="AN94" s="528">
        <f t="shared" si="56"/>
        <v>0</v>
      </c>
      <c r="AO94" s="528">
        <f t="shared" si="56"/>
        <v>0</v>
      </c>
      <c r="AP94" s="528">
        <f t="shared" si="77"/>
        <v>0</v>
      </c>
      <c r="AQ94" s="529"/>
      <c r="AR94" s="529"/>
    </row>
    <row r="95" spans="1:44" s="84" customFormat="1" ht="46.8" hidden="1" outlineLevel="1">
      <c r="A95" s="533" t="s">
        <v>213</v>
      </c>
      <c r="B95" s="518" t="s">
        <v>378</v>
      </c>
      <c r="C95" s="531">
        <f t="shared" si="33"/>
        <v>437.44</v>
      </c>
      <c r="D95" s="534">
        <v>0</v>
      </c>
      <c r="E95" s="534">
        <v>0</v>
      </c>
      <c r="F95" s="534">
        <v>0</v>
      </c>
      <c r="G95" s="534">
        <v>437.44</v>
      </c>
      <c r="H95" s="534">
        <f t="shared" ref="H95:AO95" si="94">SUM(H96:H103)</f>
        <v>1020</v>
      </c>
      <c r="I95" s="534">
        <f t="shared" si="94"/>
        <v>0</v>
      </c>
      <c r="J95" s="534">
        <f t="shared" si="94"/>
        <v>0</v>
      </c>
      <c r="K95" s="534">
        <f t="shared" si="94"/>
        <v>0</v>
      </c>
      <c r="L95" s="534">
        <f t="shared" si="94"/>
        <v>1020</v>
      </c>
      <c r="M95" s="534">
        <f t="shared" si="94"/>
        <v>0</v>
      </c>
      <c r="N95" s="534">
        <f t="shared" si="94"/>
        <v>1020</v>
      </c>
      <c r="O95" s="534">
        <f t="shared" si="94"/>
        <v>1367.645</v>
      </c>
      <c r="P95" s="543">
        <f t="shared" si="80"/>
        <v>0</v>
      </c>
      <c r="Q95" s="543">
        <f t="shared" si="81"/>
        <v>1367.645</v>
      </c>
      <c r="R95" s="534">
        <f t="shared" si="94"/>
        <v>0</v>
      </c>
      <c r="S95" s="534">
        <f t="shared" si="94"/>
        <v>0</v>
      </c>
      <c r="T95" s="534">
        <f t="shared" si="94"/>
        <v>0</v>
      </c>
      <c r="U95" s="534">
        <f t="shared" si="94"/>
        <v>1367.645</v>
      </c>
      <c r="V95" s="534">
        <f t="shared" si="94"/>
        <v>0</v>
      </c>
      <c r="W95" s="534">
        <f t="shared" si="94"/>
        <v>1367.645</v>
      </c>
      <c r="X95" s="534">
        <f t="shared" si="94"/>
        <v>88.2</v>
      </c>
      <c r="Y95" s="534">
        <f t="shared" si="94"/>
        <v>0</v>
      </c>
      <c r="Z95" s="534">
        <f t="shared" si="94"/>
        <v>0</v>
      </c>
      <c r="AA95" s="534">
        <f t="shared" si="94"/>
        <v>0</v>
      </c>
      <c r="AB95" s="534">
        <f t="shared" si="94"/>
        <v>88.2</v>
      </c>
      <c r="AC95" s="534">
        <f t="shared" si="94"/>
        <v>0</v>
      </c>
      <c r="AD95" s="534">
        <f t="shared" si="94"/>
        <v>88.2</v>
      </c>
      <c r="AE95" s="534">
        <f t="shared" si="94"/>
        <v>0</v>
      </c>
      <c r="AF95" s="534">
        <f t="shared" si="94"/>
        <v>0</v>
      </c>
      <c r="AG95" s="534">
        <f t="shared" si="94"/>
        <v>0</v>
      </c>
      <c r="AH95" s="534">
        <f t="shared" si="94"/>
        <v>0</v>
      </c>
      <c r="AI95" s="534">
        <f t="shared" si="94"/>
        <v>0</v>
      </c>
      <c r="AJ95" s="534">
        <f t="shared" si="94"/>
        <v>0</v>
      </c>
      <c r="AK95" s="534">
        <f t="shared" si="94"/>
        <v>1.5950000000000017</v>
      </c>
      <c r="AL95" s="534">
        <f t="shared" si="94"/>
        <v>0</v>
      </c>
      <c r="AM95" s="534">
        <f t="shared" si="94"/>
        <v>0</v>
      </c>
      <c r="AN95" s="534">
        <f t="shared" si="94"/>
        <v>0</v>
      </c>
      <c r="AO95" s="534">
        <f t="shared" si="94"/>
        <v>1.5950000000000017</v>
      </c>
      <c r="AP95" s="534">
        <f t="shared" si="77"/>
        <v>6.8167693711984612E-14</v>
      </c>
      <c r="AQ95" s="537"/>
      <c r="AR95" s="537"/>
    </row>
    <row r="96" spans="1:44" s="83" customFormat="1" hidden="1" outlineLevel="1">
      <c r="A96" s="535"/>
      <c r="B96" s="536" t="s">
        <v>180</v>
      </c>
      <c r="C96" s="528">
        <f t="shared" si="33"/>
        <v>0</v>
      </c>
      <c r="D96" s="523">
        <v>0</v>
      </c>
      <c r="E96" s="523">
        <v>0</v>
      </c>
      <c r="F96" s="528">
        <v>0</v>
      </c>
      <c r="G96" s="528">
        <v>0</v>
      </c>
      <c r="H96" s="523">
        <f t="shared" ref="H96:H103" si="95">I96+L96</f>
        <v>0</v>
      </c>
      <c r="I96" s="523">
        <f t="shared" ref="I96:I103" si="96">J96+K96</f>
        <v>0</v>
      </c>
      <c r="J96" s="523"/>
      <c r="K96" s="523">
        <f>306-306</f>
        <v>0</v>
      </c>
      <c r="L96" s="523">
        <f t="shared" ref="L96:L103" si="97">M96+N96</f>
        <v>0</v>
      </c>
      <c r="M96" s="528"/>
      <c r="N96" s="528"/>
      <c r="O96" s="528">
        <f t="shared" ref="O96:O103" si="98">R96+U96</f>
        <v>0</v>
      </c>
      <c r="P96" s="543">
        <f t="shared" si="80"/>
        <v>0</v>
      </c>
      <c r="Q96" s="543">
        <f t="shared" si="81"/>
        <v>0</v>
      </c>
      <c r="R96" s="528">
        <f t="shared" ref="R96:R103" si="99">S96+T96</f>
        <v>0</v>
      </c>
      <c r="S96" s="528"/>
      <c r="T96" s="528"/>
      <c r="U96" s="528">
        <f t="shared" ref="U96:U103" si="100">V96+W96</f>
        <v>0</v>
      </c>
      <c r="V96" s="528"/>
      <c r="W96" s="528"/>
      <c r="X96" s="528">
        <f t="shared" ref="X96:X103" si="101">Y96+AB96</f>
        <v>0</v>
      </c>
      <c r="Y96" s="528">
        <f t="shared" ref="Y96:Y103" si="102">Z96+AA96</f>
        <v>0</v>
      </c>
      <c r="Z96" s="528"/>
      <c r="AA96" s="528"/>
      <c r="AB96" s="528">
        <f t="shared" ref="AB96:AB103" si="103">AC96+AD96</f>
        <v>0</v>
      </c>
      <c r="AC96" s="528"/>
      <c r="AD96" s="528"/>
      <c r="AE96" s="528"/>
      <c r="AF96" s="528"/>
      <c r="AG96" s="528"/>
      <c r="AH96" s="528"/>
      <c r="AI96" s="528"/>
      <c r="AJ96" s="528"/>
      <c r="AK96" s="528">
        <f t="shared" si="86"/>
        <v>0</v>
      </c>
      <c r="AL96" s="523">
        <f t="shared" ref="AL96:AM116" si="104">D96+J96-S96-Z96-AF96</f>
        <v>0</v>
      </c>
      <c r="AM96" s="523">
        <f t="shared" si="104"/>
        <v>0</v>
      </c>
      <c r="AN96" s="528">
        <f t="shared" ref="AN96:AO116" si="105">F96+M96-V96-AC96-AI96</f>
        <v>0</v>
      </c>
      <c r="AO96" s="528">
        <f t="shared" si="105"/>
        <v>0</v>
      </c>
      <c r="AP96" s="528">
        <f t="shared" si="77"/>
        <v>0</v>
      </c>
      <c r="AQ96" s="529"/>
      <c r="AR96" s="529"/>
    </row>
    <row r="97" spans="1:44" s="83" customFormat="1" hidden="1" outlineLevel="1">
      <c r="A97" s="535"/>
      <c r="B97" s="536" t="s">
        <v>194</v>
      </c>
      <c r="C97" s="528">
        <f t="shared" si="33"/>
        <v>0.2</v>
      </c>
      <c r="D97" s="523">
        <v>0</v>
      </c>
      <c r="E97" s="523">
        <v>0</v>
      </c>
      <c r="F97" s="528">
        <v>0</v>
      </c>
      <c r="G97" s="528">
        <v>0.2</v>
      </c>
      <c r="H97" s="523">
        <f t="shared" si="95"/>
        <v>66</v>
      </c>
      <c r="I97" s="523">
        <f t="shared" si="96"/>
        <v>0</v>
      </c>
      <c r="J97" s="523"/>
      <c r="K97" s="523"/>
      <c r="L97" s="523">
        <f t="shared" si="97"/>
        <v>66</v>
      </c>
      <c r="M97" s="528"/>
      <c r="N97" s="528">
        <v>66</v>
      </c>
      <c r="O97" s="528">
        <f t="shared" si="98"/>
        <v>66</v>
      </c>
      <c r="P97" s="543">
        <f t="shared" si="80"/>
        <v>0</v>
      </c>
      <c r="Q97" s="543">
        <f t="shared" si="81"/>
        <v>66</v>
      </c>
      <c r="R97" s="528">
        <f t="shared" si="99"/>
        <v>0</v>
      </c>
      <c r="S97" s="528"/>
      <c r="T97" s="528"/>
      <c r="U97" s="528">
        <f t="shared" si="100"/>
        <v>66</v>
      </c>
      <c r="V97" s="528"/>
      <c r="W97" s="528">
        <v>66</v>
      </c>
      <c r="X97" s="528">
        <f t="shared" si="101"/>
        <v>0.2</v>
      </c>
      <c r="Y97" s="528">
        <f t="shared" si="102"/>
        <v>0</v>
      </c>
      <c r="Z97" s="528"/>
      <c r="AA97" s="528"/>
      <c r="AB97" s="528">
        <f t="shared" si="103"/>
        <v>0.2</v>
      </c>
      <c r="AC97" s="528"/>
      <c r="AD97" s="528">
        <v>0.2</v>
      </c>
      <c r="AE97" s="528"/>
      <c r="AF97" s="528"/>
      <c r="AG97" s="528"/>
      <c r="AH97" s="528"/>
      <c r="AI97" s="528"/>
      <c r="AJ97" s="528"/>
      <c r="AK97" s="528">
        <f t="shared" si="86"/>
        <v>2.8310687127941492E-15</v>
      </c>
      <c r="AL97" s="523">
        <f t="shared" si="104"/>
        <v>0</v>
      </c>
      <c r="AM97" s="523">
        <f t="shared" si="104"/>
        <v>0</v>
      </c>
      <c r="AN97" s="528">
        <f t="shared" si="105"/>
        <v>0</v>
      </c>
      <c r="AO97" s="528">
        <f t="shared" si="105"/>
        <v>2.8310687127941492E-15</v>
      </c>
      <c r="AP97" s="528">
        <f t="shared" si="77"/>
        <v>0</v>
      </c>
      <c r="AQ97" s="529"/>
      <c r="AR97" s="529"/>
    </row>
    <row r="98" spans="1:44" s="83" customFormat="1" hidden="1" outlineLevel="1">
      <c r="A98" s="535"/>
      <c r="B98" s="536" t="s">
        <v>195</v>
      </c>
      <c r="C98" s="528">
        <f t="shared" ref="C98:C137" si="106">SUM(D98:G98)</f>
        <v>43</v>
      </c>
      <c r="D98" s="523">
        <v>0</v>
      </c>
      <c r="E98" s="523">
        <v>0</v>
      </c>
      <c r="F98" s="528">
        <v>0</v>
      </c>
      <c r="G98" s="528">
        <v>43</v>
      </c>
      <c r="H98" s="523">
        <f t="shared" si="95"/>
        <v>76</v>
      </c>
      <c r="I98" s="523">
        <f t="shared" si="96"/>
        <v>0</v>
      </c>
      <c r="J98" s="523"/>
      <c r="K98" s="523"/>
      <c r="L98" s="523">
        <f t="shared" si="97"/>
        <v>76</v>
      </c>
      <c r="M98" s="528"/>
      <c r="N98" s="528">
        <v>76</v>
      </c>
      <c r="O98" s="528">
        <f t="shared" si="98"/>
        <v>75.5</v>
      </c>
      <c r="P98" s="543">
        <f t="shared" si="80"/>
        <v>0</v>
      </c>
      <c r="Q98" s="543">
        <f t="shared" si="81"/>
        <v>75.5</v>
      </c>
      <c r="R98" s="528">
        <f t="shared" si="99"/>
        <v>0</v>
      </c>
      <c r="S98" s="528"/>
      <c r="T98" s="528"/>
      <c r="U98" s="528">
        <f t="shared" si="100"/>
        <v>75.5</v>
      </c>
      <c r="V98" s="528"/>
      <c r="W98" s="528">
        <v>75.5</v>
      </c>
      <c r="X98" s="528">
        <f t="shared" si="101"/>
        <v>43</v>
      </c>
      <c r="Y98" s="528">
        <f t="shared" si="102"/>
        <v>0</v>
      </c>
      <c r="Z98" s="528"/>
      <c r="AA98" s="528"/>
      <c r="AB98" s="528">
        <f t="shared" si="103"/>
        <v>43</v>
      </c>
      <c r="AC98" s="528"/>
      <c r="AD98" s="528">
        <v>43</v>
      </c>
      <c r="AE98" s="528"/>
      <c r="AF98" s="528"/>
      <c r="AG98" s="528"/>
      <c r="AH98" s="528"/>
      <c r="AI98" s="528"/>
      <c r="AJ98" s="528"/>
      <c r="AK98" s="528">
        <f t="shared" si="86"/>
        <v>0.5</v>
      </c>
      <c r="AL98" s="523">
        <f t="shared" si="104"/>
        <v>0</v>
      </c>
      <c r="AM98" s="523">
        <f t="shared" si="104"/>
        <v>0</v>
      </c>
      <c r="AN98" s="528">
        <f t="shared" si="105"/>
        <v>0</v>
      </c>
      <c r="AO98" s="528">
        <f t="shared" si="105"/>
        <v>0.5</v>
      </c>
      <c r="AP98" s="528">
        <f t="shared" si="77"/>
        <v>0</v>
      </c>
      <c r="AQ98" s="529"/>
      <c r="AR98" s="529"/>
    </row>
    <row r="99" spans="1:44" s="83" customFormat="1" hidden="1" outlineLevel="1">
      <c r="A99" s="535"/>
      <c r="B99" s="536" t="s">
        <v>196</v>
      </c>
      <c r="C99" s="528">
        <f t="shared" si="106"/>
        <v>0</v>
      </c>
      <c r="D99" s="523">
        <v>0</v>
      </c>
      <c r="E99" s="523">
        <v>0</v>
      </c>
      <c r="F99" s="528">
        <v>0</v>
      </c>
      <c r="G99" s="528">
        <v>0</v>
      </c>
      <c r="H99" s="523">
        <f t="shared" si="95"/>
        <v>68</v>
      </c>
      <c r="I99" s="523">
        <f t="shared" si="96"/>
        <v>0</v>
      </c>
      <c r="J99" s="523"/>
      <c r="K99" s="523"/>
      <c r="L99" s="523">
        <f t="shared" si="97"/>
        <v>68</v>
      </c>
      <c r="M99" s="528"/>
      <c r="N99" s="528">
        <v>68</v>
      </c>
      <c r="O99" s="528">
        <f t="shared" si="98"/>
        <v>66.900000000000006</v>
      </c>
      <c r="P99" s="543">
        <f t="shared" si="80"/>
        <v>0</v>
      </c>
      <c r="Q99" s="543">
        <f t="shared" si="81"/>
        <v>66.900000000000006</v>
      </c>
      <c r="R99" s="528">
        <f t="shared" si="99"/>
        <v>0</v>
      </c>
      <c r="S99" s="528"/>
      <c r="T99" s="528"/>
      <c r="U99" s="528">
        <f t="shared" si="100"/>
        <v>66.900000000000006</v>
      </c>
      <c r="V99" s="528"/>
      <c r="W99" s="528">
        <v>66.900000000000006</v>
      </c>
      <c r="X99" s="528">
        <f t="shared" si="101"/>
        <v>0</v>
      </c>
      <c r="Y99" s="528">
        <f t="shared" si="102"/>
        <v>0</v>
      </c>
      <c r="Z99" s="528"/>
      <c r="AA99" s="528"/>
      <c r="AB99" s="528">
        <f t="shared" si="103"/>
        <v>0</v>
      </c>
      <c r="AC99" s="528"/>
      <c r="AD99" s="528"/>
      <c r="AE99" s="528"/>
      <c r="AF99" s="528"/>
      <c r="AG99" s="528"/>
      <c r="AH99" s="528"/>
      <c r="AI99" s="528"/>
      <c r="AJ99" s="528"/>
      <c r="AK99" s="528">
        <f t="shared" si="86"/>
        <v>1.0999999999999943</v>
      </c>
      <c r="AL99" s="523">
        <f t="shared" si="104"/>
        <v>0</v>
      </c>
      <c r="AM99" s="523">
        <f t="shared" si="104"/>
        <v>0</v>
      </c>
      <c r="AN99" s="528">
        <f t="shared" si="105"/>
        <v>0</v>
      </c>
      <c r="AO99" s="528">
        <f t="shared" si="105"/>
        <v>1.0999999999999943</v>
      </c>
      <c r="AP99" s="528">
        <f t="shared" si="77"/>
        <v>0</v>
      </c>
      <c r="AQ99" s="529"/>
      <c r="AR99" s="529"/>
    </row>
    <row r="100" spans="1:44" s="83" customFormat="1" hidden="1" outlineLevel="1">
      <c r="A100" s="535"/>
      <c r="B100" s="536" t="s">
        <v>197</v>
      </c>
      <c r="C100" s="528">
        <f t="shared" si="106"/>
        <v>349.24</v>
      </c>
      <c r="D100" s="523">
        <v>0</v>
      </c>
      <c r="E100" s="523">
        <v>0</v>
      </c>
      <c r="F100" s="528">
        <v>0</v>
      </c>
      <c r="G100" s="528">
        <v>349.24</v>
      </c>
      <c r="H100" s="523">
        <f t="shared" si="95"/>
        <v>100</v>
      </c>
      <c r="I100" s="523">
        <f t="shared" si="96"/>
        <v>0</v>
      </c>
      <c r="J100" s="523"/>
      <c r="K100" s="523"/>
      <c r="L100" s="523">
        <f t="shared" si="97"/>
        <v>100</v>
      </c>
      <c r="M100" s="528"/>
      <c r="N100" s="528">
        <v>100</v>
      </c>
      <c r="O100" s="528">
        <f t="shared" si="98"/>
        <v>449.245</v>
      </c>
      <c r="P100" s="543">
        <f t="shared" si="80"/>
        <v>0</v>
      </c>
      <c r="Q100" s="543">
        <f t="shared" si="81"/>
        <v>449.245</v>
      </c>
      <c r="R100" s="528">
        <f t="shared" si="99"/>
        <v>0</v>
      </c>
      <c r="S100" s="528"/>
      <c r="T100" s="528"/>
      <c r="U100" s="528">
        <f t="shared" si="100"/>
        <v>449.245</v>
      </c>
      <c r="V100" s="528"/>
      <c r="W100" s="528">
        <f>100+8+341.245</f>
        <v>449.245</v>
      </c>
      <c r="X100" s="528">
        <f t="shared" si="101"/>
        <v>0</v>
      </c>
      <c r="Y100" s="528">
        <f t="shared" si="102"/>
        <v>0</v>
      </c>
      <c r="Z100" s="528"/>
      <c r="AA100" s="528"/>
      <c r="AB100" s="528">
        <f t="shared" si="103"/>
        <v>0</v>
      </c>
      <c r="AC100" s="528"/>
      <c r="AD100" s="528"/>
      <c r="AE100" s="528"/>
      <c r="AF100" s="528"/>
      <c r="AG100" s="528"/>
      <c r="AH100" s="528"/>
      <c r="AI100" s="528"/>
      <c r="AJ100" s="528"/>
      <c r="AK100" s="528">
        <f t="shared" si="86"/>
        <v>-4.9999999999954525E-3</v>
      </c>
      <c r="AL100" s="523">
        <f t="shared" si="104"/>
        <v>0</v>
      </c>
      <c r="AM100" s="523">
        <f t="shared" si="104"/>
        <v>0</v>
      </c>
      <c r="AN100" s="528">
        <f t="shared" si="105"/>
        <v>0</v>
      </c>
      <c r="AO100" s="528">
        <f t="shared" si="105"/>
        <v>-4.9999999999954525E-3</v>
      </c>
      <c r="AP100" s="528">
        <f t="shared" si="77"/>
        <v>0</v>
      </c>
      <c r="AQ100" s="529"/>
      <c r="AR100" s="529"/>
    </row>
    <row r="101" spans="1:44" s="83" customFormat="1" hidden="1" outlineLevel="1">
      <c r="A101" s="535"/>
      <c r="B101" s="536" t="s">
        <v>201</v>
      </c>
      <c r="C101" s="528">
        <f t="shared" si="106"/>
        <v>0</v>
      </c>
      <c r="D101" s="523">
        <v>0</v>
      </c>
      <c r="E101" s="523">
        <v>0</v>
      </c>
      <c r="F101" s="528">
        <v>0</v>
      </c>
      <c r="G101" s="528">
        <v>0</v>
      </c>
      <c r="H101" s="523">
        <f t="shared" si="95"/>
        <v>138</v>
      </c>
      <c r="I101" s="523">
        <f t="shared" si="96"/>
        <v>0</v>
      </c>
      <c r="J101" s="523"/>
      <c r="K101" s="523"/>
      <c r="L101" s="523">
        <f t="shared" si="97"/>
        <v>138</v>
      </c>
      <c r="M101" s="528"/>
      <c r="N101" s="528">
        <v>138</v>
      </c>
      <c r="O101" s="528">
        <f t="shared" si="98"/>
        <v>138</v>
      </c>
      <c r="P101" s="543">
        <f t="shared" si="80"/>
        <v>0</v>
      </c>
      <c r="Q101" s="543">
        <f t="shared" si="81"/>
        <v>138</v>
      </c>
      <c r="R101" s="528">
        <f t="shared" si="99"/>
        <v>0</v>
      </c>
      <c r="S101" s="528"/>
      <c r="T101" s="528"/>
      <c r="U101" s="528">
        <f t="shared" si="100"/>
        <v>138</v>
      </c>
      <c r="V101" s="528"/>
      <c r="W101" s="528">
        <v>138</v>
      </c>
      <c r="X101" s="528">
        <f t="shared" si="101"/>
        <v>0</v>
      </c>
      <c r="Y101" s="528">
        <f t="shared" si="102"/>
        <v>0</v>
      </c>
      <c r="Z101" s="528"/>
      <c r="AA101" s="528"/>
      <c r="AB101" s="528">
        <f t="shared" si="103"/>
        <v>0</v>
      </c>
      <c r="AC101" s="528"/>
      <c r="AD101" s="528"/>
      <c r="AE101" s="528"/>
      <c r="AF101" s="528"/>
      <c r="AG101" s="528"/>
      <c r="AH101" s="528"/>
      <c r="AI101" s="528"/>
      <c r="AJ101" s="528"/>
      <c r="AK101" s="528">
        <f t="shared" si="86"/>
        <v>0</v>
      </c>
      <c r="AL101" s="523">
        <f t="shared" si="104"/>
        <v>0</v>
      </c>
      <c r="AM101" s="523">
        <f t="shared" si="104"/>
        <v>0</v>
      </c>
      <c r="AN101" s="528">
        <f t="shared" si="105"/>
        <v>0</v>
      </c>
      <c r="AO101" s="528">
        <f t="shared" si="105"/>
        <v>0</v>
      </c>
      <c r="AP101" s="528">
        <f t="shared" si="77"/>
        <v>0</v>
      </c>
      <c r="AQ101" s="529"/>
      <c r="AR101" s="529"/>
    </row>
    <row r="102" spans="1:44" s="83" customFormat="1" hidden="1" outlineLevel="1">
      <c r="A102" s="535"/>
      <c r="B102" s="536" t="s">
        <v>198</v>
      </c>
      <c r="C102" s="528">
        <f t="shared" si="106"/>
        <v>24</v>
      </c>
      <c r="D102" s="523">
        <v>0</v>
      </c>
      <c r="E102" s="523">
        <v>0</v>
      </c>
      <c r="F102" s="528">
        <v>0</v>
      </c>
      <c r="G102" s="528">
        <v>24</v>
      </c>
      <c r="H102" s="523">
        <f t="shared" si="95"/>
        <v>55</v>
      </c>
      <c r="I102" s="523">
        <f t="shared" si="96"/>
        <v>0</v>
      </c>
      <c r="J102" s="523"/>
      <c r="K102" s="523"/>
      <c r="L102" s="523">
        <f t="shared" si="97"/>
        <v>55</v>
      </c>
      <c r="M102" s="528"/>
      <c r="N102" s="528">
        <v>55</v>
      </c>
      <c r="O102" s="528">
        <f t="shared" si="98"/>
        <v>55</v>
      </c>
      <c r="P102" s="543">
        <f t="shared" si="80"/>
        <v>0</v>
      </c>
      <c r="Q102" s="543">
        <f t="shared" si="81"/>
        <v>55</v>
      </c>
      <c r="R102" s="528">
        <f t="shared" si="99"/>
        <v>0</v>
      </c>
      <c r="S102" s="528"/>
      <c r="T102" s="528"/>
      <c r="U102" s="528">
        <f t="shared" si="100"/>
        <v>55</v>
      </c>
      <c r="V102" s="528"/>
      <c r="W102" s="528">
        <v>55</v>
      </c>
      <c r="X102" s="528">
        <f t="shared" si="101"/>
        <v>24</v>
      </c>
      <c r="Y102" s="528">
        <f t="shared" si="102"/>
        <v>0</v>
      </c>
      <c r="Z102" s="528"/>
      <c r="AA102" s="528"/>
      <c r="AB102" s="528">
        <f t="shared" si="103"/>
        <v>24</v>
      </c>
      <c r="AC102" s="528"/>
      <c r="AD102" s="528">
        <v>24</v>
      </c>
      <c r="AE102" s="528"/>
      <c r="AF102" s="528"/>
      <c r="AG102" s="528"/>
      <c r="AH102" s="528"/>
      <c r="AI102" s="528"/>
      <c r="AJ102" s="528"/>
      <c r="AK102" s="528">
        <f t="shared" si="86"/>
        <v>0</v>
      </c>
      <c r="AL102" s="523">
        <f t="shared" si="104"/>
        <v>0</v>
      </c>
      <c r="AM102" s="523">
        <f t="shared" si="104"/>
        <v>0</v>
      </c>
      <c r="AN102" s="528">
        <f t="shared" si="105"/>
        <v>0</v>
      </c>
      <c r="AO102" s="528">
        <f t="shared" si="105"/>
        <v>0</v>
      </c>
      <c r="AP102" s="528">
        <f t="shared" si="77"/>
        <v>0</v>
      </c>
      <c r="AQ102" s="529"/>
      <c r="AR102" s="529"/>
    </row>
    <row r="103" spans="1:44" s="83" customFormat="1" hidden="1" outlineLevel="1">
      <c r="A103" s="535"/>
      <c r="B103" s="536" t="s">
        <v>188</v>
      </c>
      <c r="C103" s="528">
        <f t="shared" si="106"/>
        <v>21</v>
      </c>
      <c r="D103" s="523">
        <v>0</v>
      </c>
      <c r="E103" s="523">
        <v>0</v>
      </c>
      <c r="F103" s="528">
        <v>0</v>
      </c>
      <c r="G103" s="528">
        <v>21</v>
      </c>
      <c r="H103" s="523">
        <f t="shared" si="95"/>
        <v>517</v>
      </c>
      <c r="I103" s="523">
        <f t="shared" si="96"/>
        <v>0</v>
      </c>
      <c r="J103" s="523"/>
      <c r="K103" s="523"/>
      <c r="L103" s="523">
        <f t="shared" si="97"/>
        <v>517</v>
      </c>
      <c r="M103" s="528"/>
      <c r="N103" s="528">
        <f>211+306</f>
        <v>517</v>
      </c>
      <c r="O103" s="528">
        <f t="shared" si="98"/>
        <v>517</v>
      </c>
      <c r="P103" s="543">
        <f t="shared" si="80"/>
        <v>0</v>
      </c>
      <c r="Q103" s="543">
        <f t="shared" si="81"/>
        <v>517</v>
      </c>
      <c r="R103" s="528">
        <f t="shared" si="99"/>
        <v>0</v>
      </c>
      <c r="S103" s="528"/>
      <c r="T103" s="528"/>
      <c r="U103" s="528">
        <f t="shared" si="100"/>
        <v>517</v>
      </c>
      <c r="V103" s="528"/>
      <c r="W103" s="528">
        <v>517</v>
      </c>
      <c r="X103" s="528">
        <f t="shared" si="101"/>
        <v>21</v>
      </c>
      <c r="Y103" s="528">
        <f t="shared" si="102"/>
        <v>0</v>
      </c>
      <c r="Z103" s="528"/>
      <c r="AA103" s="528"/>
      <c r="AB103" s="528">
        <f t="shared" si="103"/>
        <v>21</v>
      </c>
      <c r="AC103" s="528"/>
      <c r="AD103" s="528">
        <v>21</v>
      </c>
      <c r="AE103" s="528"/>
      <c r="AF103" s="528"/>
      <c r="AG103" s="528"/>
      <c r="AH103" s="528"/>
      <c r="AI103" s="528"/>
      <c r="AJ103" s="528"/>
      <c r="AK103" s="528">
        <f t="shared" si="86"/>
        <v>0</v>
      </c>
      <c r="AL103" s="523">
        <f t="shared" si="104"/>
        <v>0</v>
      </c>
      <c r="AM103" s="523">
        <f t="shared" si="104"/>
        <v>0</v>
      </c>
      <c r="AN103" s="528">
        <f t="shared" si="105"/>
        <v>0</v>
      </c>
      <c r="AO103" s="528">
        <f t="shared" si="105"/>
        <v>0</v>
      </c>
      <c r="AP103" s="528">
        <f t="shared" si="77"/>
        <v>0</v>
      </c>
      <c r="AQ103" s="529"/>
      <c r="AR103" s="529"/>
    </row>
    <row r="104" spans="1:44" s="84" customFormat="1" ht="31.2" hidden="1" outlineLevel="1">
      <c r="A104" s="533" t="s">
        <v>214</v>
      </c>
      <c r="B104" s="518" t="s">
        <v>379</v>
      </c>
      <c r="C104" s="531">
        <f t="shared" si="106"/>
        <v>40.289000000000001</v>
      </c>
      <c r="D104" s="534">
        <v>0</v>
      </c>
      <c r="E104" s="534">
        <v>28.789000000000001</v>
      </c>
      <c r="F104" s="534">
        <v>0</v>
      </c>
      <c r="G104" s="534">
        <v>11.5</v>
      </c>
      <c r="H104" s="534">
        <f>SUM(H105:H117)</f>
        <v>694</v>
      </c>
      <c r="I104" s="534">
        <f t="shared" ref="I104:AO104" si="107">SUM(I105:I117)</f>
        <v>208</v>
      </c>
      <c r="J104" s="534">
        <f t="shared" si="107"/>
        <v>0</v>
      </c>
      <c r="K104" s="534">
        <f t="shared" si="107"/>
        <v>208</v>
      </c>
      <c r="L104" s="534">
        <f t="shared" si="107"/>
        <v>486</v>
      </c>
      <c r="M104" s="534">
        <f t="shared" si="107"/>
        <v>0</v>
      </c>
      <c r="N104" s="534">
        <f>SUM(N105:N117)</f>
        <v>486</v>
      </c>
      <c r="O104" s="534">
        <f t="shared" si="107"/>
        <v>638.55200000000002</v>
      </c>
      <c r="P104" s="543">
        <f t="shared" si="80"/>
        <v>0</v>
      </c>
      <c r="Q104" s="543">
        <f t="shared" si="81"/>
        <v>638.55200000000002</v>
      </c>
      <c r="R104" s="534">
        <f t="shared" si="107"/>
        <v>207.93200000000002</v>
      </c>
      <c r="S104" s="534">
        <f t="shared" si="107"/>
        <v>0</v>
      </c>
      <c r="T104" s="534">
        <f t="shared" si="107"/>
        <v>207.93200000000002</v>
      </c>
      <c r="U104" s="534">
        <f t="shared" si="107"/>
        <v>430.62</v>
      </c>
      <c r="V104" s="534">
        <f t="shared" si="107"/>
        <v>0</v>
      </c>
      <c r="W104" s="534">
        <f t="shared" si="107"/>
        <v>430.62</v>
      </c>
      <c r="X104" s="534">
        <f t="shared" si="107"/>
        <v>40.289000000000001</v>
      </c>
      <c r="Y104" s="534">
        <f t="shared" si="107"/>
        <v>28.789000000000001</v>
      </c>
      <c r="Z104" s="534">
        <f t="shared" si="107"/>
        <v>0</v>
      </c>
      <c r="AA104" s="534">
        <f t="shared" si="107"/>
        <v>28.789000000000001</v>
      </c>
      <c r="AB104" s="534">
        <f t="shared" si="107"/>
        <v>11.5</v>
      </c>
      <c r="AC104" s="534">
        <f t="shared" si="107"/>
        <v>0</v>
      </c>
      <c r="AD104" s="534">
        <f t="shared" si="107"/>
        <v>11.5</v>
      </c>
      <c r="AE104" s="534">
        <f t="shared" si="107"/>
        <v>0</v>
      </c>
      <c r="AF104" s="534">
        <f t="shared" si="107"/>
        <v>0</v>
      </c>
      <c r="AG104" s="534">
        <f t="shared" si="107"/>
        <v>0</v>
      </c>
      <c r="AH104" s="534">
        <f t="shared" si="107"/>
        <v>0</v>
      </c>
      <c r="AI104" s="534">
        <f t="shared" si="107"/>
        <v>0</v>
      </c>
      <c r="AJ104" s="534">
        <f t="shared" si="107"/>
        <v>0</v>
      </c>
      <c r="AK104" s="534">
        <f t="shared" si="107"/>
        <v>55.38</v>
      </c>
      <c r="AL104" s="534">
        <f t="shared" si="107"/>
        <v>0</v>
      </c>
      <c r="AM104" s="534">
        <f t="shared" si="107"/>
        <v>0</v>
      </c>
      <c r="AN104" s="534">
        <f t="shared" si="107"/>
        <v>0</v>
      </c>
      <c r="AO104" s="534">
        <f t="shared" si="107"/>
        <v>55.38</v>
      </c>
      <c r="AP104" s="534">
        <f t="shared" si="77"/>
        <v>6.7999999999962313E-2</v>
      </c>
      <c r="AQ104" s="537"/>
      <c r="AR104" s="537"/>
    </row>
    <row r="105" spans="1:44" s="83" customFormat="1" hidden="1" outlineLevel="1">
      <c r="A105" s="535"/>
      <c r="B105" s="536" t="s">
        <v>180</v>
      </c>
      <c r="C105" s="531">
        <f t="shared" si="106"/>
        <v>0</v>
      </c>
      <c r="D105" s="523">
        <v>0</v>
      </c>
      <c r="E105" s="523">
        <v>0</v>
      </c>
      <c r="F105" s="528">
        <v>0</v>
      </c>
      <c r="G105" s="528">
        <v>0</v>
      </c>
      <c r="H105" s="523">
        <f t="shared" ref="H105:H117" si="108">I105+L105</f>
        <v>104</v>
      </c>
      <c r="I105" s="523">
        <f t="shared" ref="I105:I117" si="109">J105+K105</f>
        <v>104</v>
      </c>
      <c r="J105" s="523"/>
      <c r="K105" s="523">
        <v>104</v>
      </c>
      <c r="L105" s="523"/>
      <c r="M105" s="528"/>
      <c r="N105" s="528"/>
      <c r="O105" s="528">
        <f t="shared" ref="O105:O116" si="110">R105+U105</f>
        <v>104</v>
      </c>
      <c r="P105" s="543">
        <f t="shared" si="80"/>
        <v>0</v>
      </c>
      <c r="Q105" s="543">
        <f t="shared" si="81"/>
        <v>104</v>
      </c>
      <c r="R105" s="528">
        <f t="shared" ref="R105:R116" si="111">S105+T105</f>
        <v>104</v>
      </c>
      <c r="S105" s="528"/>
      <c r="T105" s="528">
        <v>104</v>
      </c>
      <c r="U105" s="528">
        <f t="shared" ref="U105:U116" si="112">V105+W105</f>
        <v>0</v>
      </c>
      <c r="V105" s="528"/>
      <c r="W105" s="528"/>
      <c r="X105" s="528">
        <f t="shared" ref="X105:X116" si="113">Y105+AB105</f>
        <v>0</v>
      </c>
      <c r="Y105" s="528">
        <f t="shared" ref="Y105:Y116" si="114">Z105+AA105</f>
        <v>0</v>
      </c>
      <c r="Z105" s="528"/>
      <c r="AA105" s="528"/>
      <c r="AB105" s="528">
        <f t="shared" ref="AB105:AB116" si="115">AC105+AD105</f>
        <v>0</v>
      </c>
      <c r="AC105" s="528"/>
      <c r="AD105" s="528"/>
      <c r="AE105" s="528"/>
      <c r="AF105" s="528"/>
      <c r="AG105" s="528"/>
      <c r="AH105" s="528"/>
      <c r="AI105" s="528"/>
      <c r="AJ105" s="528"/>
      <c r="AK105" s="528">
        <f t="shared" si="86"/>
        <v>0</v>
      </c>
      <c r="AL105" s="523">
        <f t="shared" si="104"/>
        <v>0</v>
      </c>
      <c r="AM105" s="523">
        <f t="shared" si="104"/>
        <v>0</v>
      </c>
      <c r="AN105" s="528">
        <f t="shared" si="105"/>
        <v>0</v>
      </c>
      <c r="AO105" s="528">
        <f t="shared" si="105"/>
        <v>0</v>
      </c>
      <c r="AP105" s="528">
        <f t="shared" si="77"/>
        <v>0</v>
      </c>
      <c r="AQ105" s="529"/>
      <c r="AR105" s="529"/>
    </row>
    <row r="106" spans="1:44" s="83" customFormat="1" hidden="1" outlineLevel="1">
      <c r="A106" s="535"/>
      <c r="B106" s="536" t="s">
        <v>380</v>
      </c>
      <c r="C106" s="531">
        <f t="shared" si="106"/>
        <v>0</v>
      </c>
      <c r="D106" s="523">
        <v>0</v>
      </c>
      <c r="E106" s="523"/>
      <c r="F106" s="528">
        <v>0</v>
      </c>
      <c r="G106" s="528">
        <v>0</v>
      </c>
      <c r="H106" s="523">
        <f t="shared" si="108"/>
        <v>104</v>
      </c>
      <c r="I106" s="523">
        <f t="shared" si="109"/>
        <v>104</v>
      </c>
      <c r="J106" s="523"/>
      <c r="K106" s="523">
        <v>104</v>
      </c>
      <c r="L106" s="523"/>
      <c r="M106" s="528"/>
      <c r="N106" s="528"/>
      <c r="O106" s="528">
        <f t="shared" si="110"/>
        <v>103.932</v>
      </c>
      <c r="P106" s="543">
        <f t="shared" si="80"/>
        <v>0</v>
      </c>
      <c r="Q106" s="543">
        <f t="shared" si="81"/>
        <v>103.932</v>
      </c>
      <c r="R106" s="528">
        <f t="shared" si="111"/>
        <v>103.932</v>
      </c>
      <c r="S106" s="528"/>
      <c r="T106" s="528">
        <v>103.932</v>
      </c>
      <c r="U106" s="528">
        <f t="shared" si="112"/>
        <v>0</v>
      </c>
      <c r="V106" s="528"/>
      <c r="W106" s="528"/>
      <c r="X106" s="528">
        <f t="shared" si="113"/>
        <v>0</v>
      </c>
      <c r="Y106" s="528">
        <f t="shared" si="114"/>
        <v>0</v>
      </c>
      <c r="Z106" s="528"/>
      <c r="AA106" s="528"/>
      <c r="AB106" s="528">
        <f t="shared" si="115"/>
        <v>0</v>
      </c>
      <c r="AC106" s="528"/>
      <c r="AD106" s="528"/>
      <c r="AE106" s="528"/>
      <c r="AF106" s="528"/>
      <c r="AG106" s="528"/>
      <c r="AH106" s="528"/>
      <c r="AI106" s="528"/>
      <c r="AJ106" s="528"/>
      <c r="AK106" s="528">
        <f t="shared" si="86"/>
        <v>0</v>
      </c>
      <c r="AL106" s="523">
        <f t="shared" si="104"/>
        <v>0</v>
      </c>
      <c r="AM106" s="538"/>
      <c r="AN106" s="528">
        <f t="shared" si="105"/>
        <v>0</v>
      </c>
      <c r="AO106" s="528">
        <f t="shared" si="105"/>
        <v>0</v>
      </c>
      <c r="AP106" s="528">
        <f t="shared" si="77"/>
        <v>6.799999999999784E-2</v>
      </c>
      <c r="AQ106" s="529"/>
      <c r="AR106" s="529"/>
    </row>
    <row r="107" spans="1:44" s="83" customFormat="1" hidden="1" outlineLevel="1">
      <c r="A107" s="535"/>
      <c r="B107" s="536" t="s">
        <v>192</v>
      </c>
      <c r="C107" s="531">
        <f t="shared" si="106"/>
        <v>0</v>
      </c>
      <c r="D107" s="523">
        <v>0</v>
      </c>
      <c r="E107" s="523">
        <v>0</v>
      </c>
      <c r="F107" s="528">
        <v>0</v>
      </c>
      <c r="G107" s="528">
        <v>0</v>
      </c>
      <c r="H107" s="523">
        <f t="shared" si="108"/>
        <v>56</v>
      </c>
      <c r="I107" s="523">
        <f t="shared" si="109"/>
        <v>0</v>
      </c>
      <c r="J107" s="523"/>
      <c r="K107" s="523"/>
      <c r="L107" s="523">
        <f t="shared" ref="L107:L116" si="116">M107+N107</f>
        <v>56</v>
      </c>
      <c r="M107" s="528"/>
      <c r="N107" s="523">
        <v>56</v>
      </c>
      <c r="O107" s="528">
        <f t="shared" si="110"/>
        <v>54.5</v>
      </c>
      <c r="P107" s="543">
        <f t="shared" si="80"/>
        <v>0</v>
      </c>
      <c r="Q107" s="543">
        <f t="shared" si="81"/>
        <v>54.5</v>
      </c>
      <c r="R107" s="528">
        <f t="shared" si="111"/>
        <v>0</v>
      </c>
      <c r="S107" s="528"/>
      <c r="T107" s="528"/>
      <c r="U107" s="528">
        <f t="shared" si="112"/>
        <v>54.5</v>
      </c>
      <c r="V107" s="528"/>
      <c r="W107" s="528">
        <v>54.5</v>
      </c>
      <c r="X107" s="528">
        <f t="shared" si="113"/>
        <v>0</v>
      </c>
      <c r="Y107" s="528">
        <f t="shared" si="114"/>
        <v>0</v>
      </c>
      <c r="Z107" s="528"/>
      <c r="AA107" s="528"/>
      <c r="AB107" s="528">
        <f t="shared" si="115"/>
        <v>0</v>
      </c>
      <c r="AC107" s="528"/>
      <c r="AD107" s="528"/>
      <c r="AE107" s="528"/>
      <c r="AF107" s="528"/>
      <c r="AG107" s="528"/>
      <c r="AH107" s="528"/>
      <c r="AI107" s="528"/>
      <c r="AJ107" s="528"/>
      <c r="AK107" s="528">
        <f t="shared" si="86"/>
        <v>1.5</v>
      </c>
      <c r="AL107" s="523">
        <f t="shared" si="104"/>
        <v>0</v>
      </c>
      <c r="AM107" s="523">
        <f t="shared" si="104"/>
        <v>0</v>
      </c>
      <c r="AN107" s="528">
        <f t="shared" si="105"/>
        <v>0</v>
      </c>
      <c r="AO107" s="528">
        <f t="shared" si="105"/>
        <v>1.5</v>
      </c>
      <c r="AP107" s="528">
        <f t="shared" si="77"/>
        <v>0</v>
      </c>
      <c r="AQ107" s="529"/>
      <c r="AR107" s="529"/>
    </row>
    <row r="108" spans="1:44" s="83" customFormat="1" hidden="1" outlineLevel="1">
      <c r="A108" s="535"/>
      <c r="B108" s="536" t="s">
        <v>193</v>
      </c>
      <c r="C108" s="531">
        <f t="shared" si="106"/>
        <v>1.6000000000000014</v>
      </c>
      <c r="D108" s="523">
        <v>0</v>
      </c>
      <c r="E108" s="523">
        <v>0</v>
      </c>
      <c r="F108" s="528">
        <v>0</v>
      </c>
      <c r="G108" s="528">
        <v>1.6000000000000014</v>
      </c>
      <c r="H108" s="523">
        <f t="shared" si="108"/>
        <v>48</v>
      </c>
      <c r="I108" s="523">
        <f t="shared" si="109"/>
        <v>0</v>
      </c>
      <c r="J108" s="523"/>
      <c r="K108" s="523"/>
      <c r="L108" s="523">
        <f t="shared" si="116"/>
        <v>48</v>
      </c>
      <c r="M108" s="528"/>
      <c r="N108" s="523">
        <v>48</v>
      </c>
      <c r="O108" s="528">
        <f t="shared" si="110"/>
        <v>48</v>
      </c>
      <c r="P108" s="543">
        <f t="shared" si="80"/>
        <v>0</v>
      </c>
      <c r="Q108" s="543">
        <f t="shared" si="81"/>
        <v>48</v>
      </c>
      <c r="R108" s="528">
        <f t="shared" si="111"/>
        <v>0</v>
      </c>
      <c r="S108" s="528"/>
      <c r="T108" s="528"/>
      <c r="U108" s="528">
        <f t="shared" si="112"/>
        <v>48</v>
      </c>
      <c r="V108" s="528"/>
      <c r="W108" s="528">
        <v>48</v>
      </c>
      <c r="X108" s="528">
        <f t="shared" si="113"/>
        <v>1.6000000000000014</v>
      </c>
      <c r="Y108" s="528">
        <f t="shared" si="114"/>
        <v>0</v>
      </c>
      <c r="Z108" s="528"/>
      <c r="AA108" s="528"/>
      <c r="AB108" s="528">
        <f t="shared" si="115"/>
        <v>1.6000000000000014</v>
      </c>
      <c r="AC108" s="528"/>
      <c r="AD108" s="528">
        <v>1.6000000000000014</v>
      </c>
      <c r="AE108" s="528"/>
      <c r="AF108" s="528"/>
      <c r="AG108" s="528"/>
      <c r="AH108" s="528"/>
      <c r="AI108" s="528"/>
      <c r="AJ108" s="528"/>
      <c r="AK108" s="528">
        <f t="shared" si="86"/>
        <v>0</v>
      </c>
      <c r="AL108" s="523">
        <f t="shared" si="104"/>
        <v>0</v>
      </c>
      <c r="AM108" s="523">
        <f t="shared" si="104"/>
        <v>0</v>
      </c>
      <c r="AN108" s="528">
        <f t="shared" si="105"/>
        <v>0</v>
      </c>
      <c r="AO108" s="528">
        <f t="shared" si="105"/>
        <v>0</v>
      </c>
      <c r="AP108" s="528">
        <f t="shared" si="77"/>
        <v>0</v>
      </c>
      <c r="AQ108" s="529"/>
      <c r="AR108" s="529"/>
    </row>
    <row r="109" spans="1:44" s="83" customFormat="1" hidden="1" outlineLevel="1">
      <c r="A109" s="535"/>
      <c r="B109" s="536" t="s">
        <v>194</v>
      </c>
      <c r="C109" s="531">
        <f t="shared" si="106"/>
        <v>4.5</v>
      </c>
      <c r="D109" s="523">
        <v>0</v>
      </c>
      <c r="E109" s="523">
        <v>0</v>
      </c>
      <c r="F109" s="528">
        <v>0</v>
      </c>
      <c r="G109" s="528">
        <v>4.5</v>
      </c>
      <c r="H109" s="523">
        <f t="shared" si="108"/>
        <v>50</v>
      </c>
      <c r="I109" s="523">
        <f t="shared" si="109"/>
        <v>0</v>
      </c>
      <c r="J109" s="523"/>
      <c r="K109" s="523"/>
      <c r="L109" s="523">
        <f t="shared" si="116"/>
        <v>50</v>
      </c>
      <c r="M109" s="528"/>
      <c r="N109" s="523">
        <v>50</v>
      </c>
      <c r="O109" s="528">
        <f t="shared" si="110"/>
        <v>50</v>
      </c>
      <c r="P109" s="543">
        <f t="shared" si="80"/>
        <v>0</v>
      </c>
      <c r="Q109" s="543">
        <f t="shared" si="81"/>
        <v>50</v>
      </c>
      <c r="R109" s="528">
        <f t="shared" si="111"/>
        <v>0</v>
      </c>
      <c r="S109" s="528"/>
      <c r="T109" s="528"/>
      <c r="U109" s="528">
        <f t="shared" si="112"/>
        <v>50</v>
      </c>
      <c r="V109" s="528"/>
      <c r="W109" s="528">
        <v>50</v>
      </c>
      <c r="X109" s="528">
        <f t="shared" si="113"/>
        <v>4.5</v>
      </c>
      <c r="Y109" s="528">
        <f t="shared" si="114"/>
        <v>0</v>
      </c>
      <c r="Z109" s="528"/>
      <c r="AA109" s="528"/>
      <c r="AB109" s="528">
        <f t="shared" si="115"/>
        <v>4.5</v>
      </c>
      <c r="AC109" s="528"/>
      <c r="AD109" s="528">
        <v>4.5</v>
      </c>
      <c r="AE109" s="528"/>
      <c r="AF109" s="528"/>
      <c r="AG109" s="528"/>
      <c r="AH109" s="528"/>
      <c r="AI109" s="528"/>
      <c r="AJ109" s="528"/>
      <c r="AK109" s="528">
        <f t="shared" si="86"/>
        <v>0</v>
      </c>
      <c r="AL109" s="523">
        <f t="shared" si="104"/>
        <v>0</v>
      </c>
      <c r="AM109" s="523">
        <f t="shared" si="104"/>
        <v>0</v>
      </c>
      <c r="AN109" s="528">
        <f t="shared" si="105"/>
        <v>0</v>
      </c>
      <c r="AO109" s="528">
        <f t="shared" si="105"/>
        <v>0</v>
      </c>
      <c r="AP109" s="528">
        <f t="shared" si="77"/>
        <v>0</v>
      </c>
      <c r="AQ109" s="529"/>
      <c r="AR109" s="529"/>
    </row>
    <row r="110" spans="1:44" s="83" customFormat="1" hidden="1" outlineLevel="1">
      <c r="A110" s="535"/>
      <c r="B110" s="536" t="s">
        <v>195</v>
      </c>
      <c r="C110" s="531">
        <f t="shared" si="106"/>
        <v>0.89999999999999858</v>
      </c>
      <c r="D110" s="523">
        <v>0</v>
      </c>
      <c r="E110" s="523">
        <v>0</v>
      </c>
      <c r="F110" s="528">
        <v>0</v>
      </c>
      <c r="G110" s="528">
        <v>0.89999999999999858</v>
      </c>
      <c r="H110" s="523">
        <f t="shared" si="108"/>
        <v>50</v>
      </c>
      <c r="I110" s="523">
        <f t="shared" si="109"/>
        <v>0</v>
      </c>
      <c r="J110" s="523"/>
      <c r="K110" s="523"/>
      <c r="L110" s="523">
        <f t="shared" si="116"/>
        <v>50</v>
      </c>
      <c r="M110" s="528"/>
      <c r="N110" s="523">
        <v>50</v>
      </c>
      <c r="O110" s="528">
        <f t="shared" si="110"/>
        <v>0</v>
      </c>
      <c r="P110" s="543">
        <f t="shared" si="80"/>
        <v>0</v>
      </c>
      <c r="Q110" s="543">
        <f t="shared" si="81"/>
        <v>0</v>
      </c>
      <c r="R110" s="528">
        <f t="shared" si="111"/>
        <v>0</v>
      </c>
      <c r="S110" s="528"/>
      <c r="T110" s="528"/>
      <c r="U110" s="528">
        <f t="shared" si="112"/>
        <v>0</v>
      </c>
      <c r="V110" s="528"/>
      <c r="W110" s="528"/>
      <c r="X110" s="528">
        <f t="shared" si="113"/>
        <v>0.89999999999999858</v>
      </c>
      <c r="Y110" s="528">
        <f t="shared" si="114"/>
        <v>0</v>
      </c>
      <c r="Z110" s="528"/>
      <c r="AA110" s="528"/>
      <c r="AB110" s="528">
        <f t="shared" si="115"/>
        <v>0.89999999999999858</v>
      </c>
      <c r="AC110" s="528"/>
      <c r="AD110" s="528">
        <v>0.89999999999999858</v>
      </c>
      <c r="AE110" s="528"/>
      <c r="AF110" s="528"/>
      <c r="AG110" s="528"/>
      <c r="AH110" s="528"/>
      <c r="AI110" s="528"/>
      <c r="AJ110" s="528"/>
      <c r="AK110" s="528">
        <f t="shared" si="86"/>
        <v>50</v>
      </c>
      <c r="AL110" s="523">
        <f t="shared" si="104"/>
        <v>0</v>
      </c>
      <c r="AM110" s="523">
        <f t="shared" si="104"/>
        <v>0</v>
      </c>
      <c r="AN110" s="528">
        <f t="shared" si="105"/>
        <v>0</v>
      </c>
      <c r="AO110" s="528">
        <f t="shared" si="105"/>
        <v>50</v>
      </c>
      <c r="AP110" s="528">
        <f t="shared" si="77"/>
        <v>0</v>
      </c>
      <c r="AQ110" s="529"/>
      <c r="AR110" s="529"/>
    </row>
    <row r="111" spans="1:44" s="83" customFormat="1" hidden="1" outlineLevel="1">
      <c r="A111" s="535"/>
      <c r="B111" s="536" t="s">
        <v>196</v>
      </c>
      <c r="C111" s="531">
        <f t="shared" si="106"/>
        <v>0</v>
      </c>
      <c r="D111" s="523">
        <v>0</v>
      </c>
      <c r="E111" s="523">
        <v>0</v>
      </c>
      <c r="F111" s="528">
        <v>0</v>
      </c>
      <c r="G111" s="528">
        <v>0</v>
      </c>
      <c r="H111" s="523">
        <f t="shared" si="108"/>
        <v>48</v>
      </c>
      <c r="I111" s="523">
        <f t="shared" si="109"/>
        <v>0</v>
      </c>
      <c r="J111" s="523"/>
      <c r="K111" s="523"/>
      <c r="L111" s="523">
        <f t="shared" si="116"/>
        <v>48</v>
      </c>
      <c r="M111" s="528"/>
      <c r="N111" s="523">
        <v>48</v>
      </c>
      <c r="O111" s="528">
        <f t="shared" si="110"/>
        <v>48</v>
      </c>
      <c r="P111" s="543">
        <f t="shared" si="80"/>
        <v>0</v>
      </c>
      <c r="Q111" s="543">
        <f t="shared" si="81"/>
        <v>48</v>
      </c>
      <c r="R111" s="528">
        <f t="shared" si="111"/>
        <v>0</v>
      </c>
      <c r="S111" s="528"/>
      <c r="T111" s="528"/>
      <c r="U111" s="528">
        <f t="shared" si="112"/>
        <v>48</v>
      </c>
      <c r="V111" s="528"/>
      <c r="W111" s="528">
        <v>48</v>
      </c>
      <c r="X111" s="528">
        <f t="shared" si="113"/>
        <v>0</v>
      </c>
      <c r="Y111" s="528">
        <f t="shared" si="114"/>
        <v>0</v>
      </c>
      <c r="Z111" s="528"/>
      <c r="AA111" s="528"/>
      <c r="AB111" s="528">
        <f t="shared" si="115"/>
        <v>0</v>
      </c>
      <c r="AC111" s="528"/>
      <c r="AD111" s="528"/>
      <c r="AE111" s="528"/>
      <c r="AF111" s="528"/>
      <c r="AG111" s="528"/>
      <c r="AH111" s="528"/>
      <c r="AI111" s="528"/>
      <c r="AJ111" s="528"/>
      <c r="AK111" s="528">
        <f t="shared" si="86"/>
        <v>0</v>
      </c>
      <c r="AL111" s="523">
        <f t="shared" si="104"/>
        <v>0</v>
      </c>
      <c r="AM111" s="523">
        <f t="shared" si="104"/>
        <v>0</v>
      </c>
      <c r="AN111" s="528">
        <f t="shared" si="105"/>
        <v>0</v>
      </c>
      <c r="AO111" s="528">
        <f t="shared" si="105"/>
        <v>0</v>
      </c>
      <c r="AP111" s="528">
        <f t="shared" si="77"/>
        <v>0</v>
      </c>
      <c r="AQ111" s="529"/>
      <c r="AR111" s="529"/>
    </row>
    <row r="112" spans="1:44" s="83" customFormat="1" hidden="1" outlineLevel="1">
      <c r="A112" s="535"/>
      <c r="B112" s="536" t="s">
        <v>199</v>
      </c>
      <c r="C112" s="531">
        <f t="shared" si="106"/>
        <v>3</v>
      </c>
      <c r="D112" s="523">
        <v>0</v>
      </c>
      <c r="E112" s="523">
        <v>0</v>
      </c>
      <c r="F112" s="528">
        <v>0</v>
      </c>
      <c r="G112" s="528">
        <v>3</v>
      </c>
      <c r="H112" s="523">
        <f t="shared" si="108"/>
        <v>48</v>
      </c>
      <c r="I112" s="523">
        <f t="shared" si="109"/>
        <v>0</v>
      </c>
      <c r="J112" s="523"/>
      <c r="K112" s="523"/>
      <c r="L112" s="523">
        <f t="shared" si="116"/>
        <v>48</v>
      </c>
      <c r="M112" s="528"/>
      <c r="N112" s="523">
        <v>48</v>
      </c>
      <c r="O112" s="528">
        <f t="shared" si="110"/>
        <v>45</v>
      </c>
      <c r="P112" s="543">
        <f t="shared" si="80"/>
        <v>0</v>
      </c>
      <c r="Q112" s="543">
        <f t="shared" si="81"/>
        <v>45</v>
      </c>
      <c r="R112" s="528">
        <f t="shared" si="111"/>
        <v>0</v>
      </c>
      <c r="S112" s="528"/>
      <c r="T112" s="528"/>
      <c r="U112" s="528">
        <f t="shared" si="112"/>
        <v>45</v>
      </c>
      <c r="V112" s="528"/>
      <c r="W112" s="528">
        <v>45</v>
      </c>
      <c r="X112" s="528">
        <f t="shared" si="113"/>
        <v>3</v>
      </c>
      <c r="Y112" s="528">
        <f t="shared" si="114"/>
        <v>0</v>
      </c>
      <c r="Z112" s="528"/>
      <c r="AA112" s="528"/>
      <c r="AB112" s="528">
        <f t="shared" si="115"/>
        <v>3</v>
      </c>
      <c r="AC112" s="528"/>
      <c r="AD112" s="528">
        <v>3</v>
      </c>
      <c r="AE112" s="528"/>
      <c r="AF112" s="528"/>
      <c r="AG112" s="528"/>
      <c r="AH112" s="528"/>
      <c r="AI112" s="528"/>
      <c r="AJ112" s="528"/>
      <c r="AK112" s="528">
        <f t="shared" si="86"/>
        <v>3</v>
      </c>
      <c r="AL112" s="523">
        <f t="shared" si="104"/>
        <v>0</v>
      </c>
      <c r="AM112" s="523">
        <f t="shared" si="104"/>
        <v>0</v>
      </c>
      <c r="AN112" s="528">
        <f t="shared" si="105"/>
        <v>0</v>
      </c>
      <c r="AO112" s="528">
        <f t="shared" si="105"/>
        <v>3</v>
      </c>
      <c r="AP112" s="528">
        <f t="shared" si="77"/>
        <v>0</v>
      </c>
      <c r="AQ112" s="529"/>
      <c r="AR112" s="529"/>
    </row>
    <row r="113" spans="1:44" s="83" customFormat="1" hidden="1" outlineLevel="1">
      <c r="A113" s="535"/>
      <c r="B113" s="536" t="s">
        <v>197</v>
      </c>
      <c r="C113" s="531">
        <f t="shared" si="106"/>
        <v>0</v>
      </c>
      <c r="D113" s="523">
        <v>0</v>
      </c>
      <c r="E113" s="523">
        <v>0</v>
      </c>
      <c r="F113" s="528">
        <v>0</v>
      </c>
      <c r="G113" s="528">
        <v>0</v>
      </c>
      <c r="H113" s="523">
        <f t="shared" si="108"/>
        <v>46</v>
      </c>
      <c r="I113" s="523">
        <f t="shared" si="109"/>
        <v>0</v>
      </c>
      <c r="J113" s="523"/>
      <c r="K113" s="523"/>
      <c r="L113" s="523">
        <f t="shared" si="116"/>
        <v>46</v>
      </c>
      <c r="M113" s="528"/>
      <c r="N113" s="523">
        <v>46</v>
      </c>
      <c r="O113" s="528">
        <f t="shared" si="110"/>
        <v>46</v>
      </c>
      <c r="P113" s="543">
        <f t="shared" si="80"/>
        <v>0</v>
      </c>
      <c r="Q113" s="543">
        <f t="shared" si="81"/>
        <v>46</v>
      </c>
      <c r="R113" s="528">
        <f t="shared" si="111"/>
        <v>0</v>
      </c>
      <c r="S113" s="528"/>
      <c r="T113" s="528"/>
      <c r="U113" s="528">
        <f t="shared" si="112"/>
        <v>46</v>
      </c>
      <c r="V113" s="528"/>
      <c r="W113" s="528">
        <v>46</v>
      </c>
      <c r="X113" s="528">
        <f t="shared" si="113"/>
        <v>0</v>
      </c>
      <c r="Y113" s="528">
        <f t="shared" si="114"/>
        <v>0</v>
      </c>
      <c r="Z113" s="528"/>
      <c r="AA113" s="528"/>
      <c r="AB113" s="528">
        <f t="shared" si="115"/>
        <v>0</v>
      </c>
      <c r="AC113" s="528"/>
      <c r="AD113" s="528"/>
      <c r="AE113" s="528"/>
      <c r="AF113" s="528"/>
      <c r="AG113" s="528"/>
      <c r="AH113" s="528"/>
      <c r="AI113" s="528"/>
      <c r="AJ113" s="528"/>
      <c r="AK113" s="528">
        <f t="shared" si="86"/>
        <v>0</v>
      </c>
      <c r="AL113" s="523">
        <f t="shared" si="104"/>
        <v>0</v>
      </c>
      <c r="AM113" s="523">
        <f t="shared" si="104"/>
        <v>0</v>
      </c>
      <c r="AN113" s="528">
        <f t="shared" si="105"/>
        <v>0</v>
      </c>
      <c r="AO113" s="528">
        <f t="shared" si="105"/>
        <v>0</v>
      </c>
      <c r="AP113" s="528">
        <f t="shared" si="77"/>
        <v>0</v>
      </c>
      <c r="AQ113" s="529"/>
      <c r="AR113" s="529"/>
    </row>
    <row r="114" spans="1:44" s="83" customFormat="1" hidden="1" outlineLevel="1">
      <c r="A114" s="535"/>
      <c r="B114" s="536" t="s">
        <v>201</v>
      </c>
      <c r="C114" s="531">
        <f t="shared" si="106"/>
        <v>0</v>
      </c>
      <c r="D114" s="523">
        <v>0</v>
      </c>
      <c r="E114" s="523">
        <v>0</v>
      </c>
      <c r="F114" s="528">
        <v>0</v>
      </c>
      <c r="G114" s="528">
        <v>0</v>
      </c>
      <c r="H114" s="523">
        <f t="shared" si="108"/>
        <v>48</v>
      </c>
      <c r="I114" s="523">
        <f t="shared" si="109"/>
        <v>0</v>
      </c>
      <c r="J114" s="523"/>
      <c r="K114" s="523"/>
      <c r="L114" s="523">
        <f t="shared" si="116"/>
        <v>48</v>
      </c>
      <c r="M114" s="528"/>
      <c r="N114" s="523">
        <v>48</v>
      </c>
      <c r="O114" s="528">
        <f t="shared" si="110"/>
        <v>48</v>
      </c>
      <c r="P114" s="543">
        <f t="shared" si="80"/>
        <v>0</v>
      </c>
      <c r="Q114" s="543">
        <f t="shared" si="81"/>
        <v>48</v>
      </c>
      <c r="R114" s="528">
        <f t="shared" si="111"/>
        <v>0</v>
      </c>
      <c r="S114" s="528"/>
      <c r="T114" s="528"/>
      <c r="U114" s="528">
        <f t="shared" si="112"/>
        <v>48</v>
      </c>
      <c r="V114" s="528"/>
      <c r="W114" s="528">
        <v>48</v>
      </c>
      <c r="X114" s="528">
        <f t="shared" si="113"/>
        <v>0</v>
      </c>
      <c r="Y114" s="528">
        <f t="shared" si="114"/>
        <v>0</v>
      </c>
      <c r="Z114" s="528"/>
      <c r="AA114" s="528"/>
      <c r="AB114" s="528">
        <f t="shared" si="115"/>
        <v>0</v>
      </c>
      <c r="AC114" s="528"/>
      <c r="AD114" s="528"/>
      <c r="AE114" s="528"/>
      <c r="AF114" s="528"/>
      <c r="AG114" s="528"/>
      <c r="AH114" s="528"/>
      <c r="AI114" s="528"/>
      <c r="AJ114" s="528"/>
      <c r="AK114" s="528">
        <f t="shared" si="86"/>
        <v>0</v>
      </c>
      <c r="AL114" s="523">
        <f t="shared" si="104"/>
        <v>0</v>
      </c>
      <c r="AM114" s="523">
        <f t="shared" si="104"/>
        <v>0</v>
      </c>
      <c r="AN114" s="528">
        <f t="shared" si="105"/>
        <v>0</v>
      </c>
      <c r="AO114" s="528">
        <f t="shared" si="105"/>
        <v>0</v>
      </c>
      <c r="AP114" s="528">
        <f t="shared" si="77"/>
        <v>0</v>
      </c>
      <c r="AQ114" s="529"/>
      <c r="AR114" s="529"/>
    </row>
    <row r="115" spans="1:44" s="83" customFormat="1" hidden="1" outlineLevel="1">
      <c r="A115" s="535"/>
      <c r="B115" s="536" t="s">
        <v>198</v>
      </c>
      <c r="C115" s="531">
        <f t="shared" si="106"/>
        <v>0</v>
      </c>
      <c r="D115" s="523">
        <v>0</v>
      </c>
      <c r="E115" s="523">
        <v>0</v>
      </c>
      <c r="F115" s="528">
        <v>0</v>
      </c>
      <c r="G115" s="528">
        <v>0</v>
      </c>
      <c r="H115" s="523">
        <f t="shared" si="108"/>
        <v>46</v>
      </c>
      <c r="I115" s="523">
        <f t="shared" si="109"/>
        <v>0</v>
      </c>
      <c r="J115" s="523"/>
      <c r="K115" s="523"/>
      <c r="L115" s="523">
        <f t="shared" si="116"/>
        <v>46</v>
      </c>
      <c r="M115" s="528"/>
      <c r="N115" s="523">
        <v>46</v>
      </c>
      <c r="O115" s="528">
        <f t="shared" si="110"/>
        <v>46</v>
      </c>
      <c r="P115" s="543">
        <f t="shared" si="80"/>
        <v>0</v>
      </c>
      <c r="Q115" s="543">
        <f t="shared" si="81"/>
        <v>46</v>
      </c>
      <c r="R115" s="528">
        <f t="shared" si="111"/>
        <v>0</v>
      </c>
      <c r="S115" s="528"/>
      <c r="T115" s="528"/>
      <c r="U115" s="528">
        <f t="shared" si="112"/>
        <v>46</v>
      </c>
      <c r="V115" s="528"/>
      <c r="W115" s="528">
        <v>46</v>
      </c>
      <c r="X115" s="528">
        <f t="shared" si="113"/>
        <v>0</v>
      </c>
      <c r="Y115" s="528">
        <f t="shared" si="114"/>
        <v>0</v>
      </c>
      <c r="Z115" s="528"/>
      <c r="AA115" s="528"/>
      <c r="AB115" s="528">
        <f t="shared" si="115"/>
        <v>0</v>
      </c>
      <c r="AC115" s="528"/>
      <c r="AD115" s="528"/>
      <c r="AE115" s="528"/>
      <c r="AF115" s="528"/>
      <c r="AG115" s="528"/>
      <c r="AH115" s="528"/>
      <c r="AI115" s="528"/>
      <c r="AJ115" s="528"/>
      <c r="AK115" s="528">
        <f t="shared" si="86"/>
        <v>0</v>
      </c>
      <c r="AL115" s="523">
        <f t="shared" si="104"/>
        <v>0</v>
      </c>
      <c r="AM115" s="523">
        <f t="shared" si="104"/>
        <v>0</v>
      </c>
      <c r="AN115" s="528">
        <f t="shared" si="105"/>
        <v>0</v>
      </c>
      <c r="AO115" s="528">
        <f t="shared" si="105"/>
        <v>0</v>
      </c>
      <c r="AP115" s="528">
        <f t="shared" si="77"/>
        <v>0</v>
      </c>
      <c r="AQ115" s="529"/>
      <c r="AR115" s="529"/>
    </row>
    <row r="116" spans="1:44" s="83" customFormat="1" hidden="1" outlineLevel="1">
      <c r="A116" s="535"/>
      <c r="B116" s="536" t="s">
        <v>188</v>
      </c>
      <c r="C116" s="531">
        <f t="shared" si="106"/>
        <v>1.5</v>
      </c>
      <c r="D116" s="523">
        <v>0</v>
      </c>
      <c r="E116" s="523">
        <v>0</v>
      </c>
      <c r="F116" s="528">
        <v>0</v>
      </c>
      <c r="G116" s="528">
        <v>1.5</v>
      </c>
      <c r="H116" s="523">
        <f t="shared" si="108"/>
        <v>46</v>
      </c>
      <c r="I116" s="523">
        <f t="shared" si="109"/>
        <v>0</v>
      </c>
      <c r="J116" s="523"/>
      <c r="K116" s="523"/>
      <c r="L116" s="523">
        <f t="shared" si="116"/>
        <v>46</v>
      </c>
      <c r="M116" s="528"/>
      <c r="N116" s="523">
        <v>46</v>
      </c>
      <c r="O116" s="528">
        <f t="shared" si="110"/>
        <v>45.12</v>
      </c>
      <c r="P116" s="543">
        <f t="shared" si="80"/>
        <v>0</v>
      </c>
      <c r="Q116" s="543">
        <f t="shared" si="81"/>
        <v>45.12</v>
      </c>
      <c r="R116" s="528">
        <f t="shared" si="111"/>
        <v>0</v>
      </c>
      <c r="S116" s="528"/>
      <c r="T116" s="528"/>
      <c r="U116" s="528">
        <f t="shared" si="112"/>
        <v>45.12</v>
      </c>
      <c r="V116" s="528"/>
      <c r="W116" s="528">
        <v>45.12</v>
      </c>
      <c r="X116" s="528">
        <f t="shared" si="113"/>
        <v>1.5</v>
      </c>
      <c r="Y116" s="528">
        <f t="shared" si="114"/>
        <v>0</v>
      </c>
      <c r="Z116" s="528"/>
      <c r="AA116" s="528"/>
      <c r="AB116" s="528">
        <f t="shared" si="115"/>
        <v>1.5</v>
      </c>
      <c r="AC116" s="528"/>
      <c r="AD116" s="528">
        <v>1.5</v>
      </c>
      <c r="AE116" s="528"/>
      <c r="AF116" s="528"/>
      <c r="AG116" s="528"/>
      <c r="AH116" s="528"/>
      <c r="AI116" s="528"/>
      <c r="AJ116" s="528"/>
      <c r="AK116" s="528">
        <f t="shared" si="86"/>
        <v>0.88000000000000256</v>
      </c>
      <c r="AL116" s="523">
        <f t="shared" si="104"/>
        <v>0</v>
      </c>
      <c r="AM116" s="523">
        <f t="shared" si="104"/>
        <v>0</v>
      </c>
      <c r="AN116" s="528">
        <f t="shared" si="105"/>
        <v>0</v>
      </c>
      <c r="AO116" s="528">
        <f t="shared" si="105"/>
        <v>0.88000000000000256</v>
      </c>
      <c r="AP116" s="528">
        <f t="shared" si="77"/>
        <v>0</v>
      </c>
      <c r="AQ116" s="529"/>
      <c r="AR116" s="529"/>
    </row>
    <row r="117" spans="1:44" s="83" customFormat="1" hidden="1" outlineLevel="1">
      <c r="A117" s="535"/>
      <c r="B117" s="527" t="s">
        <v>381</v>
      </c>
      <c r="C117" s="531">
        <f t="shared" si="106"/>
        <v>28.789000000000001</v>
      </c>
      <c r="D117" s="523">
        <v>0</v>
      </c>
      <c r="E117" s="523">
        <v>28.789000000000001</v>
      </c>
      <c r="F117" s="528">
        <v>0</v>
      </c>
      <c r="G117" s="528">
        <v>0</v>
      </c>
      <c r="H117" s="523">
        <f t="shared" si="108"/>
        <v>0</v>
      </c>
      <c r="I117" s="523">
        <f t="shared" si="109"/>
        <v>0</v>
      </c>
      <c r="J117" s="523"/>
      <c r="K117" s="523"/>
      <c r="L117" s="523"/>
      <c r="M117" s="528"/>
      <c r="N117" s="523"/>
      <c r="O117" s="528"/>
      <c r="P117" s="543">
        <f t="shared" si="80"/>
        <v>0</v>
      </c>
      <c r="Q117" s="543">
        <f t="shared" si="81"/>
        <v>0</v>
      </c>
      <c r="R117" s="528"/>
      <c r="S117" s="528"/>
      <c r="T117" s="528"/>
      <c r="U117" s="528"/>
      <c r="V117" s="528"/>
      <c r="W117" s="528"/>
      <c r="X117" s="528">
        <f>Y117+AB117</f>
        <v>28.789000000000001</v>
      </c>
      <c r="Y117" s="528">
        <f>Z117+AA117</f>
        <v>28.789000000000001</v>
      </c>
      <c r="Z117" s="528"/>
      <c r="AA117" s="528">
        <v>28.789000000000001</v>
      </c>
      <c r="AB117" s="528"/>
      <c r="AC117" s="528"/>
      <c r="AD117" s="528"/>
      <c r="AE117" s="528"/>
      <c r="AF117" s="528"/>
      <c r="AG117" s="528"/>
      <c r="AH117" s="528"/>
      <c r="AI117" s="528"/>
      <c r="AJ117" s="528"/>
      <c r="AK117" s="528">
        <f t="shared" si="86"/>
        <v>0</v>
      </c>
      <c r="AL117" s="523">
        <f t="shared" ref="AL117:AM117" si="117">D117+J117-S117-Z117-AF117</f>
        <v>0</v>
      </c>
      <c r="AM117" s="523">
        <f t="shared" si="117"/>
        <v>0</v>
      </c>
      <c r="AN117" s="528">
        <f t="shared" ref="AN117:AO117" si="118">F117+M117-V117-AC117-AI117</f>
        <v>0</v>
      </c>
      <c r="AO117" s="528">
        <f t="shared" si="118"/>
        <v>0</v>
      </c>
      <c r="AP117" s="528">
        <f t="shared" si="77"/>
        <v>0</v>
      </c>
      <c r="AQ117" s="529"/>
      <c r="AR117" s="529"/>
    </row>
    <row r="118" spans="1:44" s="83" customFormat="1" ht="31.2" hidden="1" outlineLevel="1">
      <c r="A118" s="539" t="s">
        <v>215</v>
      </c>
      <c r="B118" s="540" t="s">
        <v>382</v>
      </c>
      <c r="C118" s="531">
        <f t="shared" si="106"/>
        <v>133.90299999999999</v>
      </c>
      <c r="D118" s="534">
        <v>0</v>
      </c>
      <c r="E118" s="534">
        <v>85.486999999999995</v>
      </c>
      <c r="F118" s="534">
        <v>0</v>
      </c>
      <c r="G118" s="534">
        <v>48.41599999999999</v>
      </c>
      <c r="H118" s="534">
        <f t="shared" ref="H118:AO118" si="119">SUM(H119:H130)</f>
        <v>648</v>
      </c>
      <c r="I118" s="534">
        <f t="shared" si="119"/>
        <v>194</v>
      </c>
      <c r="J118" s="534">
        <f t="shared" si="119"/>
        <v>0</v>
      </c>
      <c r="K118" s="534">
        <f t="shared" si="119"/>
        <v>194</v>
      </c>
      <c r="L118" s="534">
        <f t="shared" si="119"/>
        <v>454</v>
      </c>
      <c r="M118" s="534">
        <f t="shared" si="119"/>
        <v>0</v>
      </c>
      <c r="N118" s="534">
        <f>SUM(N119:N130)</f>
        <v>454</v>
      </c>
      <c r="O118" s="534">
        <f t="shared" si="119"/>
        <v>671.59289000000001</v>
      </c>
      <c r="P118" s="543">
        <f t="shared" si="80"/>
        <v>0</v>
      </c>
      <c r="Q118" s="543">
        <f t="shared" si="81"/>
        <v>671.59289000000001</v>
      </c>
      <c r="R118" s="534">
        <f t="shared" si="119"/>
        <v>248.78089</v>
      </c>
      <c r="S118" s="534">
        <f t="shared" si="119"/>
        <v>0</v>
      </c>
      <c r="T118" s="534">
        <f t="shared" si="119"/>
        <v>248.78089</v>
      </c>
      <c r="U118" s="534">
        <f t="shared" si="119"/>
        <v>422.81200000000001</v>
      </c>
      <c r="V118" s="534">
        <f t="shared" si="119"/>
        <v>0</v>
      </c>
      <c r="W118" s="534">
        <f t="shared" si="119"/>
        <v>422.81200000000001</v>
      </c>
      <c r="X118" s="534">
        <f t="shared" si="119"/>
        <v>53.136109999999995</v>
      </c>
      <c r="Y118" s="534">
        <f t="shared" si="119"/>
        <v>30.706109999999999</v>
      </c>
      <c r="Z118" s="534">
        <f t="shared" si="119"/>
        <v>0</v>
      </c>
      <c r="AA118" s="534">
        <f t="shared" si="119"/>
        <v>30.706109999999999</v>
      </c>
      <c r="AB118" s="534">
        <f t="shared" si="119"/>
        <v>22.429999999999996</v>
      </c>
      <c r="AC118" s="534">
        <f t="shared" si="119"/>
        <v>0</v>
      </c>
      <c r="AD118" s="534">
        <f t="shared" si="119"/>
        <v>22.429999999999996</v>
      </c>
      <c r="AE118" s="534">
        <f t="shared" si="119"/>
        <v>0</v>
      </c>
      <c r="AF118" s="534">
        <f t="shared" si="119"/>
        <v>0</v>
      </c>
      <c r="AG118" s="534">
        <f t="shared" si="119"/>
        <v>0</v>
      </c>
      <c r="AH118" s="534">
        <f t="shared" si="119"/>
        <v>0</v>
      </c>
      <c r="AI118" s="534">
        <f t="shared" si="119"/>
        <v>0</v>
      </c>
      <c r="AJ118" s="534">
        <f t="shared" si="119"/>
        <v>0</v>
      </c>
      <c r="AK118" s="534">
        <f t="shared" si="119"/>
        <v>57.173999999999992</v>
      </c>
      <c r="AL118" s="534">
        <f t="shared" si="119"/>
        <v>0</v>
      </c>
      <c r="AM118" s="534">
        <f t="shared" si="119"/>
        <v>0</v>
      </c>
      <c r="AN118" s="534">
        <f t="shared" si="119"/>
        <v>0</v>
      </c>
      <c r="AO118" s="534">
        <f t="shared" si="119"/>
        <v>57.173999999999992</v>
      </c>
      <c r="AP118" s="534">
        <f t="shared" si="77"/>
        <v>0</v>
      </c>
      <c r="AQ118" s="537"/>
      <c r="AR118" s="537"/>
    </row>
    <row r="119" spans="1:44" s="83" customFormat="1" hidden="1" outlineLevel="1">
      <c r="A119" s="535"/>
      <c r="B119" s="536" t="s">
        <v>180</v>
      </c>
      <c r="C119" s="531">
        <f t="shared" si="106"/>
        <v>61</v>
      </c>
      <c r="D119" s="523">
        <v>0</v>
      </c>
      <c r="E119" s="523">
        <v>61</v>
      </c>
      <c r="F119" s="528">
        <v>0</v>
      </c>
      <c r="G119" s="528">
        <v>0</v>
      </c>
      <c r="H119" s="523">
        <f t="shared" ref="H119:H129" si="120">I119+L119</f>
        <v>194</v>
      </c>
      <c r="I119" s="523">
        <f t="shared" ref="I119:I129" si="121">J119+K119</f>
        <v>194</v>
      </c>
      <c r="J119" s="523"/>
      <c r="K119" s="523">
        <v>194</v>
      </c>
      <c r="L119" s="523"/>
      <c r="M119" s="528"/>
      <c r="N119" s="528"/>
      <c r="O119" s="528">
        <f t="shared" ref="O119:O129" si="122">R119+U119</f>
        <v>248.78089</v>
      </c>
      <c r="P119" s="543">
        <f t="shared" si="80"/>
        <v>0</v>
      </c>
      <c r="Q119" s="543">
        <f t="shared" si="81"/>
        <v>248.78089</v>
      </c>
      <c r="R119" s="528">
        <f t="shared" ref="R119:R129" si="123">S119+T119</f>
        <v>248.78089</v>
      </c>
      <c r="S119" s="528"/>
      <c r="T119" s="528">
        <v>248.78089</v>
      </c>
      <c r="U119" s="528">
        <f t="shared" ref="U119:U129" si="124">V119+W119</f>
        <v>0</v>
      </c>
      <c r="V119" s="528"/>
      <c r="W119" s="528"/>
      <c r="X119" s="528">
        <f t="shared" ref="X119:X129" si="125">Y119+AB119</f>
        <v>6.2191100000000006</v>
      </c>
      <c r="Y119" s="528">
        <f t="shared" ref="Y119:Y129" si="126">Z119+AA119</f>
        <v>6.2191100000000006</v>
      </c>
      <c r="Z119" s="528"/>
      <c r="AA119" s="528">
        <v>6.2191100000000006</v>
      </c>
      <c r="AB119" s="528">
        <f t="shared" ref="AB119:AB129" si="127">AC119+AD119</f>
        <v>0</v>
      </c>
      <c r="AC119" s="528"/>
      <c r="AD119" s="528"/>
      <c r="AE119" s="528"/>
      <c r="AF119" s="528"/>
      <c r="AG119" s="528"/>
      <c r="AH119" s="528"/>
      <c r="AI119" s="528"/>
      <c r="AJ119" s="528"/>
      <c r="AK119" s="528">
        <f t="shared" si="86"/>
        <v>0</v>
      </c>
      <c r="AL119" s="523">
        <f t="shared" ref="AL119:AM137" si="128">D119+J119-S119-Z119-AF119</f>
        <v>0</v>
      </c>
      <c r="AM119" s="523">
        <f t="shared" si="128"/>
        <v>0</v>
      </c>
      <c r="AN119" s="528">
        <f t="shared" ref="AN119:AO137" si="129">F119+M119-V119-AC119-AI119</f>
        <v>0</v>
      </c>
      <c r="AO119" s="528">
        <f t="shared" si="129"/>
        <v>0</v>
      </c>
      <c r="AP119" s="528">
        <f t="shared" si="77"/>
        <v>0</v>
      </c>
      <c r="AQ119" s="529"/>
      <c r="AR119" s="529"/>
    </row>
    <row r="120" spans="1:44" s="83" customFormat="1" hidden="1" outlineLevel="1">
      <c r="A120" s="535"/>
      <c r="B120" s="536" t="s">
        <v>192</v>
      </c>
      <c r="C120" s="531">
        <f t="shared" si="106"/>
        <v>0</v>
      </c>
      <c r="D120" s="523">
        <v>0</v>
      </c>
      <c r="E120" s="523">
        <v>0</v>
      </c>
      <c r="F120" s="528">
        <v>0</v>
      </c>
      <c r="G120" s="528">
        <v>0</v>
      </c>
      <c r="H120" s="523">
        <f t="shared" si="120"/>
        <v>51</v>
      </c>
      <c r="I120" s="523">
        <f t="shared" si="121"/>
        <v>0</v>
      </c>
      <c r="J120" s="523"/>
      <c r="K120" s="523"/>
      <c r="L120" s="523">
        <f t="shared" ref="L120:L129" si="130">M120+N120</f>
        <v>51</v>
      </c>
      <c r="M120" s="528"/>
      <c r="N120" s="528">
        <v>51</v>
      </c>
      <c r="O120" s="528">
        <f t="shared" si="122"/>
        <v>48</v>
      </c>
      <c r="P120" s="543">
        <f t="shared" si="80"/>
        <v>0</v>
      </c>
      <c r="Q120" s="543">
        <f t="shared" si="81"/>
        <v>48</v>
      </c>
      <c r="R120" s="528">
        <f t="shared" si="123"/>
        <v>0</v>
      </c>
      <c r="S120" s="528"/>
      <c r="T120" s="528"/>
      <c r="U120" s="528">
        <f t="shared" si="124"/>
        <v>48</v>
      </c>
      <c r="V120" s="528"/>
      <c r="W120" s="528">
        <v>48</v>
      </c>
      <c r="X120" s="528">
        <f t="shared" si="125"/>
        <v>0</v>
      </c>
      <c r="Y120" s="528">
        <f t="shared" si="126"/>
        <v>0</v>
      </c>
      <c r="Z120" s="528"/>
      <c r="AA120" s="528"/>
      <c r="AB120" s="528">
        <f t="shared" si="127"/>
        <v>0</v>
      </c>
      <c r="AC120" s="528"/>
      <c r="AD120" s="528"/>
      <c r="AE120" s="528"/>
      <c r="AF120" s="528"/>
      <c r="AG120" s="528"/>
      <c r="AH120" s="528"/>
      <c r="AI120" s="528"/>
      <c r="AJ120" s="528"/>
      <c r="AK120" s="528">
        <f t="shared" si="86"/>
        <v>3</v>
      </c>
      <c r="AL120" s="523">
        <f t="shared" si="128"/>
        <v>0</v>
      </c>
      <c r="AM120" s="523">
        <f t="shared" si="128"/>
        <v>0</v>
      </c>
      <c r="AN120" s="528">
        <f t="shared" si="129"/>
        <v>0</v>
      </c>
      <c r="AO120" s="528">
        <f t="shared" si="129"/>
        <v>3</v>
      </c>
      <c r="AP120" s="528">
        <f t="shared" si="77"/>
        <v>0</v>
      </c>
      <c r="AQ120" s="529"/>
      <c r="AR120" s="529"/>
    </row>
    <row r="121" spans="1:44" s="83" customFormat="1" hidden="1" outlineLevel="1">
      <c r="A121" s="535"/>
      <c r="B121" s="536" t="s">
        <v>193</v>
      </c>
      <c r="C121" s="531">
        <f t="shared" si="106"/>
        <v>2</v>
      </c>
      <c r="D121" s="523">
        <v>0</v>
      </c>
      <c r="E121" s="523">
        <v>0</v>
      </c>
      <c r="F121" s="528">
        <v>0</v>
      </c>
      <c r="G121" s="528">
        <v>2</v>
      </c>
      <c r="H121" s="523">
        <f t="shared" si="120"/>
        <v>45</v>
      </c>
      <c r="I121" s="523">
        <f t="shared" si="121"/>
        <v>0</v>
      </c>
      <c r="J121" s="523"/>
      <c r="K121" s="523"/>
      <c r="L121" s="523">
        <f t="shared" si="130"/>
        <v>45</v>
      </c>
      <c r="M121" s="528"/>
      <c r="N121" s="528">
        <v>45</v>
      </c>
      <c r="O121" s="528">
        <f t="shared" si="122"/>
        <v>42</v>
      </c>
      <c r="P121" s="543">
        <f t="shared" si="80"/>
        <v>0</v>
      </c>
      <c r="Q121" s="543">
        <f t="shared" si="81"/>
        <v>42</v>
      </c>
      <c r="R121" s="528">
        <f t="shared" si="123"/>
        <v>0</v>
      </c>
      <c r="S121" s="528"/>
      <c r="T121" s="528"/>
      <c r="U121" s="528">
        <f t="shared" si="124"/>
        <v>42</v>
      </c>
      <c r="V121" s="528"/>
      <c r="W121" s="528">
        <v>42</v>
      </c>
      <c r="X121" s="528">
        <f t="shared" si="125"/>
        <v>2</v>
      </c>
      <c r="Y121" s="528">
        <f t="shared" si="126"/>
        <v>0</v>
      </c>
      <c r="Z121" s="528"/>
      <c r="AA121" s="528"/>
      <c r="AB121" s="528">
        <f t="shared" si="127"/>
        <v>2</v>
      </c>
      <c r="AC121" s="528"/>
      <c r="AD121" s="528">
        <v>2</v>
      </c>
      <c r="AE121" s="528"/>
      <c r="AF121" s="528"/>
      <c r="AG121" s="528"/>
      <c r="AH121" s="528"/>
      <c r="AI121" s="528"/>
      <c r="AJ121" s="528"/>
      <c r="AK121" s="528">
        <f t="shared" si="86"/>
        <v>3</v>
      </c>
      <c r="AL121" s="523">
        <f t="shared" si="128"/>
        <v>0</v>
      </c>
      <c r="AM121" s="523">
        <f t="shared" si="128"/>
        <v>0</v>
      </c>
      <c r="AN121" s="528">
        <f t="shared" si="129"/>
        <v>0</v>
      </c>
      <c r="AO121" s="528">
        <f t="shared" si="129"/>
        <v>3</v>
      </c>
      <c r="AP121" s="528">
        <f t="shared" si="77"/>
        <v>0</v>
      </c>
      <c r="AQ121" s="529"/>
      <c r="AR121" s="529"/>
    </row>
    <row r="122" spans="1:44" s="83" customFormat="1" hidden="1" outlineLevel="1">
      <c r="A122" s="535"/>
      <c r="B122" s="536" t="s">
        <v>194</v>
      </c>
      <c r="C122" s="531">
        <f t="shared" si="106"/>
        <v>9.1599999999999966</v>
      </c>
      <c r="D122" s="523">
        <v>0</v>
      </c>
      <c r="E122" s="523">
        <v>0</v>
      </c>
      <c r="F122" s="528">
        <v>0</v>
      </c>
      <c r="G122" s="528">
        <v>9.1599999999999966</v>
      </c>
      <c r="H122" s="523">
        <f t="shared" si="120"/>
        <v>47</v>
      </c>
      <c r="I122" s="523">
        <f t="shared" si="121"/>
        <v>0</v>
      </c>
      <c r="J122" s="523"/>
      <c r="K122" s="523"/>
      <c r="L122" s="523">
        <f t="shared" si="130"/>
        <v>47</v>
      </c>
      <c r="M122" s="528"/>
      <c r="N122" s="528">
        <v>47</v>
      </c>
      <c r="O122" s="528">
        <f t="shared" si="122"/>
        <v>46.94</v>
      </c>
      <c r="P122" s="543">
        <f t="shared" si="80"/>
        <v>0</v>
      </c>
      <c r="Q122" s="543">
        <f t="shared" si="81"/>
        <v>46.94</v>
      </c>
      <c r="R122" s="528">
        <f t="shared" si="123"/>
        <v>0</v>
      </c>
      <c r="S122" s="528"/>
      <c r="T122" s="528"/>
      <c r="U122" s="528">
        <f t="shared" si="124"/>
        <v>46.94</v>
      </c>
      <c r="V122" s="528"/>
      <c r="W122" s="528">
        <v>46.94</v>
      </c>
      <c r="X122" s="528">
        <f t="shared" si="125"/>
        <v>9.16</v>
      </c>
      <c r="Y122" s="528">
        <f t="shared" si="126"/>
        <v>0</v>
      </c>
      <c r="Z122" s="528"/>
      <c r="AA122" s="528"/>
      <c r="AB122" s="528">
        <f t="shared" si="127"/>
        <v>9.16</v>
      </c>
      <c r="AC122" s="528"/>
      <c r="AD122" s="528">
        <v>9.16</v>
      </c>
      <c r="AE122" s="528"/>
      <c r="AF122" s="528"/>
      <c r="AG122" s="528"/>
      <c r="AH122" s="528"/>
      <c r="AI122" s="528"/>
      <c r="AJ122" s="528"/>
      <c r="AK122" s="528">
        <f t="shared" si="86"/>
        <v>5.9999999999998721E-2</v>
      </c>
      <c r="AL122" s="523">
        <f t="shared" si="128"/>
        <v>0</v>
      </c>
      <c r="AM122" s="523">
        <f t="shared" si="128"/>
        <v>0</v>
      </c>
      <c r="AN122" s="528">
        <f t="shared" si="129"/>
        <v>0</v>
      </c>
      <c r="AO122" s="528">
        <f t="shared" si="129"/>
        <v>5.9999999999998721E-2</v>
      </c>
      <c r="AP122" s="528">
        <f t="shared" si="77"/>
        <v>0</v>
      </c>
      <c r="AQ122" s="529"/>
      <c r="AR122" s="529"/>
    </row>
    <row r="123" spans="1:44" s="83" customFormat="1" hidden="1" outlineLevel="1">
      <c r="A123" s="535"/>
      <c r="B123" s="536" t="s">
        <v>195</v>
      </c>
      <c r="C123" s="531">
        <f t="shared" si="106"/>
        <v>2</v>
      </c>
      <c r="D123" s="523">
        <v>0</v>
      </c>
      <c r="E123" s="523">
        <v>0</v>
      </c>
      <c r="F123" s="528">
        <v>0</v>
      </c>
      <c r="G123" s="528">
        <v>2</v>
      </c>
      <c r="H123" s="523">
        <f t="shared" si="120"/>
        <v>47</v>
      </c>
      <c r="I123" s="523">
        <f t="shared" si="121"/>
        <v>0</v>
      </c>
      <c r="J123" s="523"/>
      <c r="K123" s="523"/>
      <c r="L123" s="523">
        <f t="shared" si="130"/>
        <v>47</v>
      </c>
      <c r="M123" s="528"/>
      <c r="N123" s="528">
        <v>47</v>
      </c>
      <c r="O123" s="528">
        <f t="shared" si="122"/>
        <v>43</v>
      </c>
      <c r="P123" s="543">
        <f t="shared" si="80"/>
        <v>0</v>
      </c>
      <c r="Q123" s="543">
        <f t="shared" si="81"/>
        <v>43</v>
      </c>
      <c r="R123" s="528">
        <f t="shared" si="123"/>
        <v>0</v>
      </c>
      <c r="S123" s="528"/>
      <c r="T123" s="528"/>
      <c r="U123" s="528">
        <f t="shared" si="124"/>
        <v>43</v>
      </c>
      <c r="V123" s="528"/>
      <c r="W123" s="528">
        <v>43</v>
      </c>
      <c r="X123" s="528">
        <f t="shared" si="125"/>
        <v>2</v>
      </c>
      <c r="Y123" s="528">
        <f t="shared" si="126"/>
        <v>0</v>
      </c>
      <c r="Z123" s="528"/>
      <c r="AA123" s="528"/>
      <c r="AB123" s="528">
        <f t="shared" si="127"/>
        <v>2</v>
      </c>
      <c r="AC123" s="528"/>
      <c r="AD123" s="528">
        <v>2</v>
      </c>
      <c r="AE123" s="528"/>
      <c r="AF123" s="528"/>
      <c r="AG123" s="528"/>
      <c r="AH123" s="528"/>
      <c r="AI123" s="528"/>
      <c r="AJ123" s="528"/>
      <c r="AK123" s="528">
        <f t="shared" si="86"/>
        <v>4</v>
      </c>
      <c r="AL123" s="523">
        <f t="shared" si="128"/>
        <v>0</v>
      </c>
      <c r="AM123" s="523">
        <f t="shared" si="128"/>
        <v>0</v>
      </c>
      <c r="AN123" s="528">
        <f t="shared" si="129"/>
        <v>0</v>
      </c>
      <c r="AO123" s="528">
        <f t="shared" si="129"/>
        <v>4</v>
      </c>
      <c r="AP123" s="528">
        <f t="shared" si="77"/>
        <v>0</v>
      </c>
      <c r="AQ123" s="529"/>
      <c r="AR123" s="529"/>
    </row>
    <row r="124" spans="1:44" s="83" customFormat="1" hidden="1" outlineLevel="1">
      <c r="A124" s="535"/>
      <c r="B124" s="536" t="s">
        <v>196</v>
      </c>
      <c r="C124" s="531">
        <f t="shared" si="106"/>
        <v>2.7999999999999972</v>
      </c>
      <c r="D124" s="523">
        <v>0</v>
      </c>
      <c r="E124" s="523">
        <v>0</v>
      </c>
      <c r="F124" s="528">
        <v>0</v>
      </c>
      <c r="G124" s="528">
        <v>2.7999999999999972</v>
      </c>
      <c r="H124" s="523">
        <f t="shared" si="120"/>
        <v>45</v>
      </c>
      <c r="I124" s="523">
        <f t="shared" si="121"/>
        <v>0</v>
      </c>
      <c r="J124" s="523"/>
      <c r="K124" s="523"/>
      <c r="L124" s="523">
        <f t="shared" si="130"/>
        <v>45</v>
      </c>
      <c r="M124" s="528"/>
      <c r="N124" s="528">
        <v>45</v>
      </c>
      <c r="O124" s="528">
        <f t="shared" si="122"/>
        <v>43.56</v>
      </c>
      <c r="P124" s="543">
        <f t="shared" si="80"/>
        <v>0</v>
      </c>
      <c r="Q124" s="543">
        <f t="shared" si="81"/>
        <v>43.56</v>
      </c>
      <c r="R124" s="528">
        <f t="shared" si="123"/>
        <v>0</v>
      </c>
      <c r="S124" s="528"/>
      <c r="T124" s="528"/>
      <c r="U124" s="528">
        <f t="shared" si="124"/>
        <v>43.56</v>
      </c>
      <c r="V124" s="528"/>
      <c r="W124" s="528">
        <v>43.56</v>
      </c>
      <c r="X124" s="528">
        <f t="shared" si="125"/>
        <v>2.7999999999999972</v>
      </c>
      <c r="Y124" s="528">
        <f t="shared" si="126"/>
        <v>0</v>
      </c>
      <c r="Z124" s="528"/>
      <c r="AA124" s="528"/>
      <c r="AB124" s="528">
        <f t="shared" si="127"/>
        <v>2.7999999999999972</v>
      </c>
      <c r="AC124" s="528"/>
      <c r="AD124" s="528">
        <v>2.7999999999999972</v>
      </c>
      <c r="AE124" s="528"/>
      <c r="AF124" s="528"/>
      <c r="AG124" s="528"/>
      <c r="AH124" s="528"/>
      <c r="AI124" s="528"/>
      <c r="AJ124" s="528"/>
      <c r="AK124" s="528">
        <f t="shared" si="86"/>
        <v>1.4399999999999977</v>
      </c>
      <c r="AL124" s="523">
        <f t="shared" si="128"/>
        <v>0</v>
      </c>
      <c r="AM124" s="523">
        <f t="shared" si="128"/>
        <v>0</v>
      </c>
      <c r="AN124" s="528">
        <f t="shared" si="129"/>
        <v>0</v>
      </c>
      <c r="AO124" s="528">
        <f t="shared" si="129"/>
        <v>1.4399999999999977</v>
      </c>
      <c r="AP124" s="528">
        <f t="shared" si="77"/>
        <v>0</v>
      </c>
      <c r="AQ124" s="529"/>
      <c r="AR124" s="529"/>
    </row>
    <row r="125" spans="1:44" s="83" customFormat="1" hidden="1" outlineLevel="1">
      <c r="A125" s="535"/>
      <c r="B125" s="536" t="s">
        <v>199</v>
      </c>
      <c r="C125" s="531">
        <f t="shared" si="106"/>
        <v>6.4159999999999968</v>
      </c>
      <c r="D125" s="523">
        <v>0</v>
      </c>
      <c r="E125" s="523">
        <v>0</v>
      </c>
      <c r="F125" s="528">
        <v>0</v>
      </c>
      <c r="G125" s="528">
        <v>6.4159999999999968</v>
      </c>
      <c r="H125" s="523">
        <f t="shared" si="120"/>
        <v>45</v>
      </c>
      <c r="I125" s="523">
        <f t="shared" si="121"/>
        <v>0</v>
      </c>
      <c r="J125" s="523"/>
      <c r="K125" s="523"/>
      <c r="L125" s="523">
        <f t="shared" si="130"/>
        <v>45</v>
      </c>
      <c r="M125" s="528"/>
      <c r="N125" s="528">
        <v>45</v>
      </c>
      <c r="O125" s="528">
        <f t="shared" si="122"/>
        <v>25.36</v>
      </c>
      <c r="P125" s="543">
        <f t="shared" si="80"/>
        <v>0</v>
      </c>
      <c r="Q125" s="543">
        <f t="shared" si="81"/>
        <v>25.36</v>
      </c>
      <c r="R125" s="528">
        <f t="shared" si="123"/>
        <v>0</v>
      </c>
      <c r="S125" s="528"/>
      <c r="T125" s="528"/>
      <c r="U125" s="528">
        <f t="shared" si="124"/>
        <v>25.36</v>
      </c>
      <c r="V125" s="528"/>
      <c r="W125" s="528">
        <f>25.36</f>
        <v>25.36</v>
      </c>
      <c r="X125" s="528">
        <f t="shared" si="125"/>
        <v>4</v>
      </c>
      <c r="Y125" s="528">
        <f t="shared" si="126"/>
        <v>0</v>
      </c>
      <c r="Z125" s="528"/>
      <c r="AA125" s="528"/>
      <c r="AB125" s="528">
        <f t="shared" si="127"/>
        <v>4</v>
      </c>
      <c r="AC125" s="528"/>
      <c r="AD125" s="528">
        <v>4</v>
      </c>
      <c r="AE125" s="528"/>
      <c r="AF125" s="528"/>
      <c r="AG125" s="528"/>
      <c r="AH125" s="528"/>
      <c r="AI125" s="528"/>
      <c r="AJ125" s="528"/>
      <c r="AK125" s="528">
        <f t="shared" si="86"/>
        <v>22.055999999999997</v>
      </c>
      <c r="AL125" s="523">
        <f t="shared" si="128"/>
        <v>0</v>
      </c>
      <c r="AM125" s="523">
        <f t="shared" si="128"/>
        <v>0</v>
      </c>
      <c r="AN125" s="528">
        <f t="shared" si="129"/>
        <v>0</v>
      </c>
      <c r="AO125" s="528">
        <f t="shared" si="129"/>
        <v>22.055999999999997</v>
      </c>
      <c r="AP125" s="528">
        <f t="shared" si="77"/>
        <v>0</v>
      </c>
      <c r="AQ125" s="529"/>
      <c r="AR125" s="529"/>
    </row>
    <row r="126" spans="1:44" s="83" customFormat="1" hidden="1" outlineLevel="1">
      <c r="A126" s="535"/>
      <c r="B126" s="536" t="s">
        <v>197</v>
      </c>
      <c r="C126" s="531">
        <f t="shared" si="106"/>
        <v>1.4699999999999989</v>
      </c>
      <c r="D126" s="523">
        <v>0</v>
      </c>
      <c r="E126" s="523">
        <v>0</v>
      </c>
      <c r="F126" s="528">
        <v>0</v>
      </c>
      <c r="G126" s="528">
        <v>1.4699999999999989</v>
      </c>
      <c r="H126" s="523">
        <f t="shared" si="120"/>
        <v>43</v>
      </c>
      <c r="I126" s="523">
        <f t="shared" si="121"/>
        <v>0</v>
      </c>
      <c r="J126" s="523"/>
      <c r="K126" s="523"/>
      <c r="L126" s="523">
        <f t="shared" si="130"/>
        <v>43</v>
      </c>
      <c r="M126" s="528"/>
      <c r="N126" s="528">
        <v>43</v>
      </c>
      <c r="O126" s="528">
        <f t="shared" si="122"/>
        <v>43</v>
      </c>
      <c r="P126" s="543">
        <f t="shared" si="80"/>
        <v>0</v>
      </c>
      <c r="Q126" s="543">
        <f t="shared" si="81"/>
        <v>43</v>
      </c>
      <c r="R126" s="528">
        <f t="shared" si="123"/>
        <v>0</v>
      </c>
      <c r="S126" s="528"/>
      <c r="T126" s="528"/>
      <c r="U126" s="528">
        <f t="shared" si="124"/>
        <v>43</v>
      </c>
      <c r="V126" s="528"/>
      <c r="W126" s="528">
        <v>43</v>
      </c>
      <c r="X126" s="528">
        <f t="shared" si="125"/>
        <v>1.4699999999999989</v>
      </c>
      <c r="Y126" s="528">
        <f t="shared" si="126"/>
        <v>0</v>
      </c>
      <c r="Z126" s="528"/>
      <c r="AA126" s="528"/>
      <c r="AB126" s="528">
        <f t="shared" si="127"/>
        <v>1.4699999999999989</v>
      </c>
      <c r="AC126" s="528"/>
      <c r="AD126" s="528">
        <v>1.4699999999999989</v>
      </c>
      <c r="AE126" s="528"/>
      <c r="AF126" s="528"/>
      <c r="AG126" s="528"/>
      <c r="AH126" s="528"/>
      <c r="AI126" s="528"/>
      <c r="AJ126" s="528"/>
      <c r="AK126" s="528">
        <f t="shared" si="86"/>
        <v>0</v>
      </c>
      <c r="AL126" s="523">
        <f t="shared" si="128"/>
        <v>0</v>
      </c>
      <c r="AM126" s="523">
        <f t="shared" si="128"/>
        <v>0</v>
      </c>
      <c r="AN126" s="528">
        <f t="shared" si="129"/>
        <v>0</v>
      </c>
      <c r="AO126" s="528">
        <f t="shared" si="129"/>
        <v>0</v>
      </c>
      <c r="AP126" s="528">
        <f t="shared" si="77"/>
        <v>0</v>
      </c>
      <c r="AQ126" s="529"/>
      <c r="AR126" s="529"/>
    </row>
    <row r="127" spans="1:44" s="83" customFormat="1" hidden="1" outlineLevel="1">
      <c r="A127" s="535"/>
      <c r="B127" s="536" t="s">
        <v>201</v>
      </c>
      <c r="C127" s="531">
        <f t="shared" si="106"/>
        <v>23.57</v>
      </c>
      <c r="D127" s="523">
        <v>0</v>
      </c>
      <c r="E127" s="523">
        <v>0</v>
      </c>
      <c r="F127" s="528">
        <v>0</v>
      </c>
      <c r="G127" s="528">
        <v>23.57</v>
      </c>
      <c r="H127" s="523">
        <f t="shared" si="120"/>
        <v>45</v>
      </c>
      <c r="I127" s="523">
        <f t="shared" si="121"/>
        <v>0</v>
      </c>
      <c r="J127" s="523"/>
      <c r="K127" s="523"/>
      <c r="L127" s="523">
        <f t="shared" si="130"/>
        <v>45</v>
      </c>
      <c r="M127" s="528"/>
      <c r="N127" s="528">
        <v>45</v>
      </c>
      <c r="O127" s="528">
        <f t="shared" si="122"/>
        <v>45</v>
      </c>
      <c r="P127" s="543">
        <f t="shared" si="80"/>
        <v>0</v>
      </c>
      <c r="Q127" s="543">
        <f t="shared" si="81"/>
        <v>45</v>
      </c>
      <c r="R127" s="528">
        <f t="shared" si="123"/>
        <v>0</v>
      </c>
      <c r="S127" s="528"/>
      <c r="T127" s="528"/>
      <c r="U127" s="528">
        <f t="shared" si="124"/>
        <v>45</v>
      </c>
      <c r="V127" s="528"/>
      <c r="W127" s="528">
        <v>45</v>
      </c>
      <c r="X127" s="528">
        <f t="shared" si="125"/>
        <v>0</v>
      </c>
      <c r="Y127" s="528">
        <f t="shared" si="126"/>
        <v>0</v>
      </c>
      <c r="Z127" s="528"/>
      <c r="AA127" s="528"/>
      <c r="AB127" s="528">
        <f t="shared" si="127"/>
        <v>0</v>
      </c>
      <c r="AC127" s="528"/>
      <c r="AD127" s="528"/>
      <c r="AE127" s="528"/>
      <c r="AF127" s="528"/>
      <c r="AG127" s="528"/>
      <c r="AH127" s="528"/>
      <c r="AI127" s="528"/>
      <c r="AJ127" s="528"/>
      <c r="AK127" s="528">
        <f t="shared" si="86"/>
        <v>23.569999999999993</v>
      </c>
      <c r="AL127" s="523">
        <f t="shared" si="128"/>
        <v>0</v>
      </c>
      <c r="AM127" s="523">
        <f t="shared" si="128"/>
        <v>0</v>
      </c>
      <c r="AN127" s="528">
        <f t="shared" si="129"/>
        <v>0</v>
      </c>
      <c r="AO127" s="528">
        <f t="shared" si="129"/>
        <v>23.569999999999993</v>
      </c>
      <c r="AP127" s="528">
        <f t="shared" si="77"/>
        <v>0</v>
      </c>
      <c r="AQ127" s="529"/>
      <c r="AR127" s="529"/>
    </row>
    <row r="128" spans="1:44" s="83" customFormat="1" hidden="1" outlineLevel="1">
      <c r="A128" s="535"/>
      <c r="B128" s="536" t="s">
        <v>198</v>
      </c>
      <c r="C128" s="531">
        <f t="shared" si="106"/>
        <v>0</v>
      </c>
      <c r="D128" s="523">
        <v>0</v>
      </c>
      <c r="E128" s="523">
        <v>0</v>
      </c>
      <c r="F128" s="528">
        <v>0</v>
      </c>
      <c r="G128" s="528">
        <v>0</v>
      </c>
      <c r="H128" s="523">
        <f t="shared" si="120"/>
        <v>43</v>
      </c>
      <c r="I128" s="523">
        <f t="shared" si="121"/>
        <v>0</v>
      </c>
      <c r="J128" s="523"/>
      <c r="K128" s="523"/>
      <c r="L128" s="523">
        <f t="shared" si="130"/>
        <v>43</v>
      </c>
      <c r="M128" s="528"/>
      <c r="N128" s="528">
        <v>43</v>
      </c>
      <c r="O128" s="528">
        <f t="shared" si="122"/>
        <v>43</v>
      </c>
      <c r="P128" s="543">
        <f t="shared" si="80"/>
        <v>0</v>
      </c>
      <c r="Q128" s="543">
        <f t="shared" si="81"/>
        <v>43</v>
      </c>
      <c r="R128" s="528">
        <f t="shared" si="123"/>
        <v>0</v>
      </c>
      <c r="S128" s="528"/>
      <c r="T128" s="528"/>
      <c r="U128" s="528">
        <f t="shared" si="124"/>
        <v>43</v>
      </c>
      <c r="V128" s="528"/>
      <c r="W128" s="528">
        <v>43</v>
      </c>
      <c r="X128" s="528">
        <f t="shared" si="125"/>
        <v>0</v>
      </c>
      <c r="Y128" s="528">
        <f t="shared" si="126"/>
        <v>0</v>
      </c>
      <c r="Z128" s="528"/>
      <c r="AA128" s="528"/>
      <c r="AB128" s="528">
        <f t="shared" si="127"/>
        <v>0</v>
      </c>
      <c r="AC128" s="528"/>
      <c r="AD128" s="528"/>
      <c r="AE128" s="528"/>
      <c r="AF128" s="528"/>
      <c r="AG128" s="528"/>
      <c r="AH128" s="528"/>
      <c r="AI128" s="528"/>
      <c r="AJ128" s="528"/>
      <c r="AK128" s="528">
        <f t="shared" si="86"/>
        <v>0</v>
      </c>
      <c r="AL128" s="523">
        <f t="shared" si="128"/>
        <v>0</v>
      </c>
      <c r="AM128" s="523">
        <f t="shared" si="128"/>
        <v>0</v>
      </c>
      <c r="AN128" s="528">
        <f t="shared" si="129"/>
        <v>0</v>
      </c>
      <c r="AO128" s="528">
        <f t="shared" si="129"/>
        <v>0</v>
      </c>
      <c r="AP128" s="528">
        <f t="shared" si="77"/>
        <v>0</v>
      </c>
      <c r="AQ128" s="529"/>
      <c r="AR128" s="529"/>
    </row>
    <row r="129" spans="1:44" s="83" customFormat="1" hidden="1" outlineLevel="1">
      <c r="A129" s="535"/>
      <c r="B129" s="536" t="s">
        <v>188</v>
      </c>
      <c r="C129" s="531">
        <f t="shared" si="106"/>
        <v>1</v>
      </c>
      <c r="D129" s="523">
        <v>0</v>
      </c>
      <c r="E129" s="523">
        <v>0</v>
      </c>
      <c r="F129" s="528">
        <v>0</v>
      </c>
      <c r="G129" s="528">
        <v>1</v>
      </c>
      <c r="H129" s="523">
        <f t="shared" si="120"/>
        <v>43</v>
      </c>
      <c r="I129" s="523">
        <f t="shared" si="121"/>
        <v>0</v>
      </c>
      <c r="J129" s="523"/>
      <c r="K129" s="523"/>
      <c r="L129" s="523">
        <f t="shared" si="130"/>
        <v>43</v>
      </c>
      <c r="M129" s="528"/>
      <c r="N129" s="528">
        <v>43</v>
      </c>
      <c r="O129" s="528">
        <f t="shared" si="122"/>
        <v>42.951999999999998</v>
      </c>
      <c r="P129" s="543">
        <f t="shared" si="80"/>
        <v>0</v>
      </c>
      <c r="Q129" s="543">
        <f t="shared" si="81"/>
        <v>42.951999999999998</v>
      </c>
      <c r="R129" s="528">
        <f t="shared" si="123"/>
        <v>0</v>
      </c>
      <c r="S129" s="528"/>
      <c r="T129" s="528"/>
      <c r="U129" s="528">
        <f t="shared" si="124"/>
        <v>42.951999999999998</v>
      </c>
      <c r="V129" s="528"/>
      <c r="W129" s="528">
        <v>42.951999999999998</v>
      </c>
      <c r="X129" s="528">
        <f t="shared" si="125"/>
        <v>1</v>
      </c>
      <c r="Y129" s="528">
        <f t="shared" si="126"/>
        <v>0</v>
      </c>
      <c r="Z129" s="528"/>
      <c r="AA129" s="528"/>
      <c r="AB129" s="528">
        <f t="shared" si="127"/>
        <v>1</v>
      </c>
      <c r="AC129" s="528"/>
      <c r="AD129" s="528">
        <v>1</v>
      </c>
      <c r="AE129" s="528"/>
      <c r="AF129" s="528"/>
      <c r="AG129" s="528"/>
      <c r="AH129" s="528"/>
      <c r="AI129" s="528"/>
      <c r="AJ129" s="528"/>
      <c r="AK129" s="528">
        <f t="shared" si="86"/>
        <v>4.8000000000001819E-2</v>
      </c>
      <c r="AL129" s="523">
        <f t="shared" si="128"/>
        <v>0</v>
      </c>
      <c r="AM129" s="523">
        <f t="shared" si="128"/>
        <v>0</v>
      </c>
      <c r="AN129" s="528">
        <f t="shared" si="129"/>
        <v>0</v>
      </c>
      <c r="AO129" s="528">
        <f t="shared" si="129"/>
        <v>4.8000000000001819E-2</v>
      </c>
      <c r="AP129" s="528">
        <f t="shared" si="77"/>
        <v>0</v>
      </c>
      <c r="AQ129" s="529"/>
      <c r="AR129" s="529"/>
    </row>
    <row r="130" spans="1:44" s="83" customFormat="1" hidden="1" outlineLevel="1">
      <c r="A130" s="535"/>
      <c r="B130" s="527" t="s">
        <v>374</v>
      </c>
      <c r="C130" s="531">
        <f t="shared" si="106"/>
        <v>24.486999999999998</v>
      </c>
      <c r="D130" s="523">
        <v>0</v>
      </c>
      <c r="E130" s="523">
        <v>24.486999999999998</v>
      </c>
      <c r="F130" s="528">
        <v>0</v>
      </c>
      <c r="G130" s="528">
        <v>0</v>
      </c>
      <c r="H130" s="523">
        <f>I130+L130</f>
        <v>0</v>
      </c>
      <c r="I130" s="523">
        <f>J130+K130</f>
        <v>0</v>
      </c>
      <c r="J130" s="523"/>
      <c r="K130" s="523"/>
      <c r="L130" s="523"/>
      <c r="M130" s="528"/>
      <c r="N130" s="528"/>
      <c r="O130" s="528"/>
      <c r="P130" s="543">
        <f t="shared" si="80"/>
        <v>0</v>
      </c>
      <c r="Q130" s="543">
        <f t="shared" si="81"/>
        <v>0</v>
      </c>
      <c r="R130" s="528"/>
      <c r="S130" s="528"/>
      <c r="T130" s="528"/>
      <c r="U130" s="528"/>
      <c r="V130" s="528"/>
      <c r="W130" s="528"/>
      <c r="X130" s="528">
        <f>Y130+AB130</f>
        <v>24.486999999999998</v>
      </c>
      <c r="Y130" s="528">
        <f>Z130+AA130</f>
        <v>24.486999999999998</v>
      </c>
      <c r="Z130" s="528"/>
      <c r="AA130" s="528">
        <v>24.486999999999998</v>
      </c>
      <c r="AB130" s="528"/>
      <c r="AC130" s="528"/>
      <c r="AD130" s="528"/>
      <c r="AE130" s="528"/>
      <c r="AF130" s="528"/>
      <c r="AG130" s="528"/>
      <c r="AH130" s="528"/>
      <c r="AI130" s="528"/>
      <c r="AJ130" s="528"/>
      <c r="AK130" s="528">
        <f>SUM(AL130:AO130)</f>
        <v>0</v>
      </c>
      <c r="AL130" s="523">
        <f t="shared" si="128"/>
        <v>0</v>
      </c>
      <c r="AM130" s="523">
        <f t="shared" si="128"/>
        <v>0</v>
      </c>
      <c r="AN130" s="528">
        <f t="shared" si="129"/>
        <v>0</v>
      </c>
      <c r="AO130" s="528">
        <f t="shared" si="129"/>
        <v>0</v>
      </c>
      <c r="AP130" s="528">
        <f t="shared" si="77"/>
        <v>0</v>
      </c>
      <c r="AQ130" s="529"/>
      <c r="AR130" s="529"/>
    </row>
    <row r="131" spans="1:44" s="83" customFormat="1" ht="31.2" collapsed="1">
      <c r="A131" s="539" t="s">
        <v>33</v>
      </c>
      <c r="B131" s="540" t="s">
        <v>383</v>
      </c>
      <c r="C131" s="531">
        <f t="shared" si="106"/>
        <v>350.60400000000016</v>
      </c>
      <c r="D131" s="534"/>
      <c r="E131" s="534">
        <v>315.41399999999999</v>
      </c>
      <c r="F131" s="534">
        <v>0</v>
      </c>
      <c r="G131" s="534">
        <v>35.190000000000168</v>
      </c>
      <c r="H131" s="534">
        <f>H132</f>
        <v>0</v>
      </c>
      <c r="I131" s="534">
        <f t="shared" ref="I131:AO131" si="131">I132</f>
        <v>0</v>
      </c>
      <c r="J131" s="534">
        <f t="shared" si="131"/>
        <v>0</v>
      </c>
      <c r="K131" s="534">
        <f t="shared" si="131"/>
        <v>0</v>
      </c>
      <c r="L131" s="534">
        <f t="shared" si="131"/>
        <v>0</v>
      </c>
      <c r="M131" s="534">
        <f t="shared" si="131"/>
        <v>0</v>
      </c>
      <c r="N131" s="534">
        <f t="shared" si="131"/>
        <v>0</v>
      </c>
      <c r="O131" s="534">
        <f t="shared" si="131"/>
        <v>0</v>
      </c>
      <c r="P131" s="543">
        <f t="shared" si="80"/>
        <v>0</v>
      </c>
      <c r="Q131" s="543">
        <f t="shared" si="81"/>
        <v>0</v>
      </c>
      <c r="R131" s="534">
        <f t="shared" si="131"/>
        <v>0</v>
      </c>
      <c r="S131" s="534">
        <f t="shared" si="131"/>
        <v>0</v>
      </c>
      <c r="T131" s="534">
        <f t="shared" si="131"/>
        <v>0</v>
      </c>
      <c r="U131" s="534">
        <f t="shared" si="131"/>
        <v>0</v>
      </c>
      <c r="V131" s="534">
        <f t="shared" si="131"/>
        <v>0</v>
      </c>
      <c r="W131" s="534">
        <f t="shared" si="131"/>
        <v>0</v>
      </c>
      <c r="X131" s="534">
        <f t="shared" si="131"/>
        <v>350.34</v>
      </c>
      <c r="Y131" s="534">
        <f t="shared" si="131"/>
        <v>315</v>
      </c>
      <c r="Z131" s="534">
        <f t="shared" si="131"/>
        <v>0</v>
      </c>
      <c r="AA131" s="534">
        <f t="shared" si="131"/>
        <v>315</v>
      </c>
      <c r="AB131" s="534">
        <f t="shared" si="131"/>
        <v>35.339999999999996</v>
      </c>
      <c r="AC131" s="534">
        <f t="shared" si="131"/>
        <v>0</v>
      </c>
      <c r="AD131" s="534">
        <f t="shared" si="131"/>
        <v>35.339999999999996</v>
      </c>
      <c r="AE131" s="534">
        <f t="shared" si="131"/>
        <v>0</v>
      </c>
      <c r="AF131" s="534">
        <f t="shared" si="131"/>
        <v>0</v>
      </c>
      <c r="AG131" s="534">
        <f t="shared" si="131"/>
        <v>0</v>
      </c>
      <c r="AH131" s="534">
        <f t="shared" si="131"/>
        <v>0</v>
      </c>
      <c r="AI131" s="534">
        <f t="shared" si="131"/>
        <v>0</v>
      </c>
      <c r="AJ131" s="534">
        <f t="shared" si="131"/>
        <v>0</v>
      </c>
      <c r="AK131" s="534">
        <f t="shared" si="131"/>
        <v>6.4000000000113744E-2</v>
      </c>
      <c r="AL131" s="534">
        <f t="shared" si="131"/>
        <v>0</v>
      </c>
      <c r="AM131" s="534">
        <f t="shared" si="131"/>
        <v>0.41399999999998727</v>
      </c>
      <c r="AN131" s="534">
        <f t="shared" si="131"/>
        <v>0</v>
      </c>
      <c r="AO131" s="534">
        <f t="shared" si="131"/>
        <v>-0.34999999999987352</v>
      </c>
      <c r="AP131" s="534">
        <f t="shared" si="77"/>
        <v>0.20000000000006679</v>
      </c>
      <c r="AQ131" s="537"/>
      <c r="AR131" s="537"/>
    </row>
    <row r="132" spans="1:44" s="84" customFormat="1" hidden="1" outlineLevel="1">
      <c r="A132" s="517">
        <v>1</v>
      </c>
      <c r="B132" s="518" t="s">
        <v>384</v>
      </c>
      <c r="C132" s="531">
        <f t="shared" si="106"/>
        <v>350.40400000000011</v>
      </c>
      <c r="D132" s="519">
        <v>0</v>
      </c>
      <c r="E132" s="519">
        <v>315.41399999999999</v>
      </c>
      <c r="F132" s="519">
        <v>0</v>
      </c>
      <c r="G132" s="519">
        <v>34.990000000000123</v>
      </c>
      <c r="H132" s="519">
        <f t="shared" ref="H132:AJ132" si="132">H133+H135</f>
        <v>0</v>
      </c>
      <c r="I132" s="519">
        <f t="shared" si="132"/>
        <v>0</v>
      </c>
      <c r="J132" s="519">
        <f t="shared" si="132"/>
        <v>0</v>
      </c>
      <c r="K132" s="519">
        <f t="shared" si="132"/>
        <v>0</v>
      </c>
      <c r="L132" s="519">
        <f t="shared" si="132"/>
        <v>0</v>
      </c>
      <c r="M132" s="519">
        <f t="shared" si="132"/>
        <v>0</v>
      </c>
      <c r="N132" s="519">
        <f t="shared" si="132"/>
        <v>0</v>
      </c>
      <c r="O132" s="519">
        <f t="shared" si="132"/>
        <v>0</v>
      </c>
      <c r="P132" s="543">
        <f t="shared" si="80"/>
        <v>0</v>
      </c>
      <c r="Q132" s="543">
        <f t="shared" si="81"/>
        <v>0</v>
      </c>
      <c r="R132" s="519">
        <f t="shared" si="132"/>
        <v>0</v>
      </c>
      <c r="S132" s="519">
        <f t="shared" si="132"/>
        <v>0</v>
      </c>
      <c r="T132" s="519">
        <f t="shared" si="132"/>
        <v>0</v>
      </c>
      <c r="U132" s="519">
        <f t="shared" si="132"/>
        <v>0</v>
      </c>
      <c r="V132" s="519">
        <f t="shared" si="132"/>
        <v>0</v>
      </c>
      <c r="W132" s="519">
        <f t="shared" si="132"/>
        <v>0</v>
      </c>
      <c r="X132" s="519">
        <f t="shared" si="132"/>
        <v>350.34</v>
      </c>
      <c r="Y132" s="519">
        <f t="shared" si="132"/>
        <v>315</v>
      </c>
      <c r="Z132" s="519">
        <f t="shared" si="132"/>
        <v>0</v>
      </c>
      <c r="AA132" s="519">
        <f t="shared" si="132"/>
        <v>315</v>
      </c>
      <c r="AB132" s="519">
        <f t="shared" si="132"/>
        <v>35.339999999999996</v>
      </c>
      <c r="AC132" s="519">
        <f t="shared" si="132"/>
        <v>0</v>
      </c>
      <c r="AD132" s="519">
        <f t="shared" si="132"/>
        <v>35.339999999999996</v>
      </c>
      <c r="AE132" s="519">
        <f t="shared" si="132"/>
        <v>0</v>
      </c>
      <c r="AF132" s="519">
        <f t="shared" si="132"/>
        <v>0</v>
      </c>
      <c r="AG132" s="519">
        <f t="shared" si="132"/>
        <v>0</v>
      </c>
      <c r="AH132" s="519">
        <f t="shared" si="132"/>
        <v>0</v>
      </c>
      <c r="AI132" s="519">
        <f t="shared" si="132"/>
        <v>0</v>
      </c>
      <c r="AJ132" s="519">
        <f t="shared" si="132"/>
        <v>0</v>
      </c>
      <c r="AK132" s="519">
        <f t="shared" si="86"/>
        <v>6.4000000000113744E-2</v>
      </c>
      <c r="AL132" s="519">
        <f t="shared" si="128"/>
        <v>0</v>
      </c>
      <c r="AM132" s="519">
        <f t="shared" si="128"/>
        <v>0.41399999999998727</v>
      </c>
      <c r="AN132" s="519">
        <f t="shared" si="129"/>
        <v>0</v>
      </c>
      <c r="AO132" s="519">
        <f t="shared" si="129"/>
        <v>-0.34999999999987352</v>
      </c>
      <c r="AP132" s="519">
        <f t="shared" si="77"/>
        <v>2.1316282072803006E-14</v>
      </c>
      <c r="AQ132" s="520"/>
      <c r="AR132" s="520"/>
    </row>
    <row r="133" spans="1:44" s="83" customFormat="1" hidden="1" outlineLevel="1">
      <c r="A133" s="521" t="s">
        <v>385</v>
      </c>
      <c r="B133" s="522" t="s">
        <v>348</v>
      </c>
      <c r="C133" s="528">
        <f t="shared" si="106"/>
        <v>315</v>
      </c>
      <c r="D133" s="523">
        <v>0</v>
      </c>
      <c r="E133" s="523">
        <v>315</v>
      </c>
      <c r="F133" s="523">
        <v>0</v>
      </c>
      <c r="G133" s="523">
        <v>0</v>
      </c>
      <c r="H133" s="523">
        <f t="shared" ref="H133:AJ133" si="133">SUM(H134:H134)</f>
        <v>0</v>
      </c>
      <c r="I133" s="523">
        <f t="shared" si="133"/>
        <v>0</v>
      </c>
      <c r="J133" s="523">
        <f t="shared" si="133"/>
        <v>0</v>
      </c>
      <c r="K133" s="523">
        <f t="shared" si="133"/>
        <v>0</v>
      </c>
      <c r="L133" s="523">
        <f t="shared" si="133"/>
        <v>0</v>
      </c>
      <c r="M133" s="523">
        <f t="shared" si="133"/>
        <v>0</v>
      </c>
      <c r="N133" s="523">
        <f t="shared" si="133"/>
        <v>0</v>
      </c>
      <c r="O133" s="523">
        <f t="shared" si="133"/>
        <v>0</v>
      </c>
      <c r="P133" s="543">
        <f t="shared" si="80"/>
        <v>0</v>
      </c>
      <c r="Q133" s="543">
        <f t="shared" si="81"/>
        <v>0</v>
      </c>
      <c r="R133" s="523">
        <f t="shared" si="133"/>
        <v>0</v>
      </c>
      <c r="S133" s="523">
        <f t="shared" si="133"/>
        <v>0</v>
      </c>
      <c r="T133" s="523">
        <f t="shared" si="133"/>
        <v>0</v>
      </c>
      <c r="U133" s="523">
        <f t="shared" si="133"/>
        <v>0</v>
      </c>
      <c r="V133" s="523">
        <f t="shared" si="133"/>
        <v>0</v>
      </c>
      <c r="W133" s="523">
        <f t="shared" si="133"/>
        <v>0</v>
      </c>
      <c r="X133" s="523">
        <f t="shared" si="133"/>
        <v>315</v>
      </c>
      <c r="Y133" s="523">
        <f t="shared" si="133"/>
        <v>315</v>
      </c>
      <c r="Z133" s="523">
        <f t="shared" si="133"/>
        <v>0</v>
      </c>
      <c r="AA133" s="523">
        <f t="shared" si="133"/>
        <v>315</v>
      </c>
      <c r="AB133" s="523">
        <f t="shared" si="133"/>
        <v>0</v>
      </c>
      <c r="AC133" s="523">
        <f t="shared" si="133"/>
        <v>0</v>
      </c>
      <c r="AD133" s="523">
        <f t="shared" si="133"/>
        <v>0</v>
      </c>
      <c r="AE133" s="523">
        <f t="shared" si="133"/>
        <v>0</v>
      </c>
      <c r="AF133" s="523">
        <f t="shared" si="133"/>
        <v>0</v>
      </c>
      <c r="AG133" s="523">
        <f t="shared" si="133"/>
        <v>0</v>
      </c>
      <c r="AH133" s="523">
        <f t="shared" si="133"/>
        <v>0</v>
      </c>
      <c r="AI133" s="523">
        <f t="shared" si="133"/>
        <v>0</v>
      </c>
      <c r="AJ133" s="523">
        <f t="shared" si="133"/>
        <v>0</v>
      </c>
      <c r="AK133" s="523">
        <f t="shared" si="86"/>
        <v>0</v>
      </c>
      <c r="AL133" s="523">
        <f t="shared" si="128"/>
        <v>0</v>
      </c>
      <c r="AM133" s="523">
        <f t="shared" si="128"/>
        <v>0</v>
      </c>
      <c r="AN133" s="523">
        <f t="shared" si="129"/>
        <v>0</v>
      </c>
      <c r="AO133" s="523">
        <f t="shared" si="129"/>
        <v>0</v>
      </c>
      <c r="AP133" s="523">
        <f t="shared" si="77"/>
        <v>0</v>
      </c>
      <c r="AQ133" s="524"/>
      <c r="AR133" s="524"/>
    </row>
    <row r="134" spans="1:44" s="83" customFormat="1" hidden="1" outlineLevel="1">
      <c r="A134" s="521"/>
      <c r="B134" s="522" t="s">
        <v>386</v>
      </c>
      <c r="C134" s="528">
        <f t="shared" si="106"/>
        <v>315</v>
      </c>
      <c r="D134" s="523">
        <v>0</v>
      </c>
      <c r="E134" s="523">
        <v>315</v>
      </c>
      <c r="F134" s="523">
        <v>0</v>
      </c>
      <c r="G134" s="523">
        <v>0</v>
      </c>
      <c r="H134" s="523">
        <f>I134+L134</f>
        <v>0</v>
      </c>
      <c r="I134" s="523">
        <f>J134+K134</f>
        <v>0</v>
      </c>
      <c r="J134" s="523">
        <v>0</v>
      </c>
      <c r="K134" s="523"/>
      <c r="L134" s="523">
        <f>M134+N134</f>
        <v>0</v>
      </c>
      <c r="M134" s="523"/>
      <c r="N134" s="523"/>
      <c r="O134" s="523">
        <f>R134+U134</f>
        <v>0</v>
      </c>
      <c r="P134" s="543">
        <f t="shared" si="80"/>
        <v>0</v>
      </c>
      <c r="Q134" s="543">
        <f t="shared" si="81"/>
        <v>0</v>
      </c>
      <c r="R134" s="523">
        <f>S134+T134</f>
        <v>0</v>
      </c>
      <c r="S134" s="523">
        <v>0</v>
      </c>
      <c r="T134" s="523"/>
      <c r="U134" s="523">
        <f>V134+W134</f>
        <v>0</v>
      </c>
      <c r="V134" s="523">
        <v>0</v>
      </c>
      <c r="W134" s="523">
        <v>0</v>
      </c>
      <c r="X134" s="523">
        <f>Y134+AB134+AE134+AH134</f>
        <v>315</v>
      </c>
      <c r="Y134" s="523">
        <f>Z134+AA134</f>
        <v>315</v>
      </c>
      <c r="Z134" s="523"/>
      <c r="AA134" s="523">
        <v>315</v>
      </c>
      <c r="AB134" s="523">
        <f>AC134+AD134</f>
        <v>0</v>
      </c>
      <c r="AC134" s="523"/>
      <c r="AD134" s="523"/>
      <c r="AE134" s="523">
        <f t="shared" ref="AE134:AE137" si="134">AF134+AG134</f>
        <v>0</v>
      </c>
      <c r="AF134" s="523"/>
      <c r="AG134" s="523"/>
      <c r="AH134" s="523">
        <f>AI134+AJ134</f>
        <v>0</v>
      </c>
      <c r="AI134" s="523"/>
      <c r="AJ134" s="523"/>
      <c r="AK134" s="523">
        <f t="shared" si="86"/>
        <v>0</v>
      </c>
      <c r="AL134" s="523">
        <f t="shared" si="128"/>
        <v>0</v>
      </c>
      <c r="AM134" s="523">
        <f t="shared" si="128"/>
        <v>0</v>
      </c>
      <c r="AN134" s="523">
        <f t="shared" si="129"/>
        <v>0</v>
      </c>
      <c r="AO134" s="523">
        <f t="shared" si="129"/>
        <v>0</v>
      </c>
      <c r="AP134" s="523">
        <f t="shared" si="77"/>
        <v>0</v>
      </c>
      <c r="AQ134" s="524"/>
      <c r="AR134" s="524"/>
    </row>
    <row r="135" spans="1:44" s="83" customFormat="1" hidden="1" outlineLevel="1">
      <c r="A135" s="521" t="s">
        <v>387</v>
      </c>
      <c r="B135" s="522" t="s">
        <v>349</v>
      </c>
      <c r="C135" s="528">
        <f t="shared" si="106"/>
        <v>34.990000000000123</v>
      </c>
      <c r="D135" s="523">
        <v>0</v>
      </c>
      <c r="E135" s="523"/>
      <c r="F135" s="523">
        <v>0</v>
      </c>
      <c r="G135" s="523">
        <v>34.990000000000123</v>
      </c>
      <c r="H135" s="523">
        <f t="shared" ref="H135:AJ135" si="135">SUM(H136:H137)</f>
        <v>0</v>
      </c>
      <c r="I135" s="523">
        <f t="shared" si="135"/>
        <v>0</v>
      </c>
      <c r="J135" s="523">
        <f t="shared" si="135"/>
        <v>0</v>
      </c>
      <c r="K135" s="523">
        <f t="shared" si="135"/>
        <v>0</v>
      </c>
      <c r="L135" s="523">
        <f t="shared" si="135"/>
        <v>0</v>
      </c>
      <c r="M135" s="523">
        <f t="shared" si="135"/>
        <v>0</v>
      </c>
      <c r="N135" s="523">
        <f t="shared" si="135"/>
        <v>0</v>
      </c>
      <c r="O135" s="523">
        <f t="shared" si="135"/>
        <v>0</v>
      </c>
      <c r="P135" s="543">
        <f t="shared" si="80"/>
        <v>0</v>
      </c>
      <c r="Q135" s="543">
        <f t="shared" si="81"/>
        <v>0</v>
      </c>
      <c r="R135" s="523">
        <f t="shared" si="135"/>
        <v>0</v>
      </c>
      <c r="S135" s="523">
        <f t="shared" si="135"/>
        <v>0</v>
      </c>
      <c r="T135" s="523">
        <f t="shared" si="135"/>
        <v>0</v>
      </c>
      <c r="U135" s="523">
        <f t="shared" si="135"/>
        <v>0</v>
      </c>
      <c r="V135" s="523">
        <f t="shared" si="135"/>
        <v>0</v>
      </c>
      <c r="W135" s="523">
        <f t="shared" si="135"/>
        <v>0</v>
      </c>
      <c r="X135" s="523">
        <f t="shared" si="135"/>
        <v>35.339999999999996</v>
      </c>
      <c r="Y135" s="523">
        <f t="shared" si="135"/>
        <v>0</v>
      </c>
      <c r="Z135" s="523">
        <f t="shared" si="135"/>
        <v>0</v>
      </c>
      <c r="AA135" s="523">
        <f t="shared" si="135"/>
        <v>0</v>
      </c>
      <c r="AB135" s="523">
        <f t="shared" si="135"/>
        <v>35.339999999999996</v>
      </c>
      <c r="AC135" s="523">
        <f t="shared" si="135"/>
        <v>0</v>
      </c>
      <c r="AD135" s="523">
        <f t="shared" si="135"/>
        <v>35.339999999999996</v>
      </c>
      <c r="AE135" s="523">
        <f t="shared" si="135"/>
        <v>0</v>
      </c>
      <c r="AF135" s="523">
        <f t="shared" si="135"/>
        <v>0</v>
      </c>
      <c r="AG135" s="523">
        <f t="shared" si="135"/>
        <v>0</v>
      </c>
      <c r="AH135" s="523">
        <f t="shared" si="135"/>
        <v>0</v>
      </c>
      <c r="AI135" s="523">
        <f t="shared" si="135"/>
        <v>0</v>
      </c>
      <c r="AJ135" s="523">
        <f t="shared" si="135"/>
        <v>0</v>
      </c>
      <c r="AK135" s="523">
        <f t="shared" si="86"/>
        <v>-0.34999999999987352</v>
      </c>
      <c r="AL135" s="523">
        <f t="shared" si="128"/>
        <v>0</v>
      </c>
      <c r="AM135" s="523">
        <f t="shared" si="128"/>
        <v>0</v>
      </c>
      <c r="AN135" s="523">
        <f t="shared" si="129"/>
        <v>0</v>
      </c>
      <c r="AO135" s="523">
        <f t="shared" si="129"/>
        <v>-0.34999999999987352</v>
      </c>
      <c r="AP135" s="523">
        <f t="shared" si="77"/>
        <v>0</v>
      </c>
      <c r="AQ135" s="524"/>
      <c r="AR135" s="524"/>
    </row>
    <row r="136" spans="1:44" s="83" customFormat="1" hidden="1" outlineLevel="1">
      <c r="A136" s="521"/>
      <c r="B136" s="522" t="s">
        <v>194</v>
      </c>
      <c r="C136" s="528">
        <f t="shared" si="106"/>
        <v>18.900000000000112</v>
      </c>
      <c r="D136" s="523">
        <v>0</v>
      </c>
      <c r="E136" s="523">
        <v>0</v>
      </c>
      <c r="F136" s="523">
        <v>0</v>
      </c>
      <c r="G136" s="523">
        <v>18.900000000000112</v>
      </c>
      <c r="H136" s="523">
        <f>I136+L136</f>
        <v>0</v>
      </c>
      <c r="I136" s="523">
        <f>J136+K136</f>
        <v>0</v>
      </c>
      <c r="J136" s="523"/>
      <c r="K136" s="523">
        <v>0</v>
      </c>
      <c r="L136" s="523">
        <f>M136+N136</f>
        <v>0</v>
      </c>
      <c r="M136" s="523"/>
      <c r="N136" s="523"/>
      <c r="O136" s="523">
        <f>R136+U136</f>
        <v>0</v>
      </c>
      <c r="P136" s="543">
        <f t="shared" si="80"/>
        <v>0</v>
      </c>
      <c r="Q136" s="543">
        <f t="shared" si="81"/>
        <v>0</v>
      </c>
      <c r="R136" s="523">
        <f>S136+T136</f>
        <v>0</v>
      </c>
      <c r="S136" s="523"/>
      <c r="T136" s="523"/>
      <c r="U136" s="523">
        <f>V136+W136</f>
        <v>0</v>
      </c>
      <c r="V136" s="523"/>
      <c r="W136" s="523"/>
      <c r="X136" s="523">
        <f t="shared" ref="X136:X137" si="136">Y136+AB136+AE136+AH136</f>
        <v>18.899999999999999</v>
      </c>
      <c r="Y136" s="523">
        <f t="shared" ref="Y136:Y137" si="137">Z136+AA136</f>
        <v>0</v>
      </c>
      <c r="Z136" s="523"/>
      <c r="AA136" s="523"/>
      <c r="AB136" s="523">
        <f>AC136+AD136</f>
        <v>18.899999999999999</v>
      </c>
      <c r="AC136" s="523"/>
      <c r="AD136" s="523">
        <v>18.899999999999999</v>
      </c>
      <c r="AE136" s="523">
        <f t="shared" si="134"/>
        <v>0</v>
      </c>
      <c r="AF136" s="523"/>
      <c r="AG136" s="523"/>
      <c r="AH136" s="523"/>
      <c r="AI136" s="523"/>
      <c r="AJ136" s="523"/>
      <c r="AK136" s="523">
        <f t="shared" si="86"/>
        <v>1.1368683772161603E-13</v>
      </c>
      <c r="AL136" s="523">
        <f t="shared" si="128"/>
        <v>0</v>
      </c>
      <c r="AM136" s="523">
        <f t="shared" si="128"/>
        <v>0</v>
      </c>
      <c r="AN136" s="523">
        <f t="shared" si="129"/>
        <v>0</v>
      </c>
      <c r="AO136" s="523">
        <f t="shared" si="129"/>
        <v>1.1368683772161603E-13</v>
      </c>
      <c r="AP136" s="523">
        <f t="shared" si="77"/>
        <v>0</v>
      </c>
      <c r="AQ136" s="524"/>
      <c r="AR136" s="524"/>
    </row>
    <row r="137" spans="1:44" s="83" customFormat="1" hidden="1" outlineLevel="1">
      <c r="A137" s="521"/>
      <c r="B137" s="522" t="s">
        <v>196</v>
      </c>
      <c r="C137" s="528">
        <f t="shared" si="106"/>
        <v>16.439999999999998</v>
      </c>
      <c r="D137" s="523">
        <v>0</v>
      </c>
      <c r="E137" s="523">
        <v>0</v>
      </c>
      <c r="F137" s="523">
        <v>0</v>
      </c>
      <c r="G137" s="523">
        <v>16.439999999999998</v>
      </c>
      <c r="H137" s="523">
        <f>I137+L137</f>
        <v>0</v>
      </c>
      <c r="I137" s="523">
        <f>J137+K137</f>
        <v>0</v>
      </c>
      <c r="J137" s="523"/>
      <c r="K137" s="523">
        <v>0</v>
      </c>
      <c r="L137" s="523">
        <f>M137+N137</f>
        <v>0</v>
      </c>
      <c r="M137" s="523"/>
      <c r="N137" s="523"/>
      <c r="O137" s="523">
        <f>R137+U137</f>
        <v>0</v>
      </c>
      <c r="P137" s="543">
        <f t="shared" si="80"/>
        <v>0</v>
      </c>
      <c r="Q137" s="543">
        <f t="shared" si="81"/>
        <v>0</v>
      </c>
      <c r="R137" s="523">
        <f>S137+T137</f>
        <v>0</v>
      </c>
      <c r="S137" s="523"/>
      <c r="T137" s="523"/>
      <c r="U137" s="523">
        <f>V137+W137</f>
        <v>0</v>
      </c>
      <c r="V137" s="523"/>
      <c r="W137" s="523"/>
      <c r="X137" s="523">
        <f t="shared" si="136"/>
        <v>16.439999999999998</v>
      </c>
      <c r="Y137" s="523">
        <f t="shared" si="137"/>
        <v>0</v>
      </c>
      <c r="Z137" s="523"/>
      <c r="AA137" s="523"/>
      <c r="AB137" s="523">
        <f>AC137+AD137</f>
        <v>16.439999999999998</v>
      </c>
      <c r="AC137" s="523"/>
      <c r="AD137" s="523">
        <v>16.439999999999998</v>
      </c>
      <c r="AE137" s="523">
        <f t="shared" si="134"/>
        <v>0</v>
      </c>
      <c r="AF137" s="523"/>
      <c r="AG137" s="523"/>
      <c r="AH137" s="523">
        <f>AI137+AJ137</f>
        <v>0</v>
      </c>
      <c r="AI137" s="523"/>
      <c r="AJ137" s="523"/>
      <c r="AK137" s="523">
        <f t="shared" si="86"/>
        <v>0</v>
      </c>
      <c r="AL137" s="523">
        <f t="shared" si="128"/>
        <v>0</v>
      </c>
      <c r="AM137" s="523">
        <f t="shared" si="128"/>
        <v>0</v>
      </c>
      <c r="AN137" s="523">
        <f t="shared" si="129"/>
        <v>0</v>
      </c>
      <c r="AO137" s="523">
        <f t="shared" si="129"/>
        <v>0</v>
      </c>
      <c r="AP137" s="523">
        <f t="shared" si="77"/>
        <v>0</v>
      </c>
      <c r="AQ137" s="524"/>
      <c r="AR137" s="524"/>
    </row>
    <row r="138" spans="1:44" s="84" customFormat="1" collapsed="1">
      <c r="A138" s="517" t="s">
        <v>390</v>
      </c>
      <c r="B138" s="518" t="s">
        <v>391</v>
      </c>
      <c r="C138" s="519">
        <f t="shared" ref="C138:AO138" si="138">C139+C178</f>
        <v>23107.715598999996</v>
      </c>
      <c r="D138" s="519">
        <f t="shared" si="138"/>
        <v>20359.943798999997</v>
      </c>
      <c r="E138" s="519">
        <f t="shared" si="138"/>
        <v>1738.299</v>
      </c>
      <c r="F138" s="519">
        <f t="shared" si="138"/>
        <v>810.86679999999967</v>
      </c>
      <c r="G138" s="519">
        <f t="shared" si="138"/>
        <v>198.60599999999974</v>
      </c>
      <c r="H138" s="519">
        <f t="shared" si="138"/>
        <v>4079</v>
      </c>
      <c r="I138" s="519">
        <f t="shared" si="138"/>
        <v>303</v>
      </c>
      <c r="J138" s="519">
        <f t="shared" si="138"/>
        <v>0</v>
      </c>
      <c r="K138" s="519">
        <f t="shared" si="138"/>
        <v>303</v>
      </c>
      <c r="L138" s="519">
        <f t="shared" si="138"/>
        <v>3776</v>
      </c>
      <c r="M138" s="519">
        <f t="shared" si="138"/>
        <v>0</v>
      </c>
      <c r="N138" s="519">
        <f t="shared" si="138"/>
        <v>3776</v>
      </c>
      <c r="O138" s="519">
        <f t="shared" si="138"/>
        <v>22599.524913999998</v>
      </c>
      <c r="P138" s="519">
        <f t="shared" si="80"/>
        <v>19081.457913999999</v>
      </c>
      <c r="Q138" s="519">
        <f t="shared" si="81"/>
        <v>3518.067</v>
      </c>
      <c r="R138" s="519">
        <f t="shared" si="138"/>
        <v>18928.376913999997</v>
      </c>
      <c r="S138" s="519">
        <f t="shared" si="138"/>
        <v>18928.376913999997</v>
      </c>
      <c r="T138" s="519">
        <f t="shared" si="138"/>
        <v>0</v>
      </c>
      <c r="U138" s="519">
        <f t="shared" si="138"/>
        <v>3671.1480000000001</v>
      </c>
      <c r="V138" s="519">
        <f t="shared" si="138"/>
        <v>153.08100000000013</v>
      </c>
      <c r="W138" s="519">
        <f t="shared" si="138"/>
        <v>3518.067</v>
      </c>
      <c r="X138" s="519">
        <f t="shared" si="138"/>
        <v>3516.6157999999996</v>
      </c>
      <c r="Y138" s="519">
        <f t="shared" si="138"/>
        <v>2660.614</v>
      </c>
      <c r="Z138" s="519">
        <f t="shared" si="138"/>
        <v>619.31499999999994</v>
      </c>
      <c r="AA138" s="519">
        <f t="shared" si="138"/>
        <v>2041.299</v>
      </c>
      <c r="AB138" s="519">
        <f t="shared" si="138"/>
        <v>856.00179999999966</v>
      </c>
      <c r="AC138" s="519">
        <f t="shared" si="138"/>
        <v>657.78580000000011</v>
      </c>
      <c r="AD138" s="519">
        <f t="shared" si="138"/>
        <v>198.2159999999997</v>
      </c>
      <c r="AE138" s="519">
        <f t="shared" si="138"/>
        <v>0</v>
      </c>
      <c r="AF138" s="519">
        <f t="shared" si="138"/>
        <v>0</v>
      </c>
      <c r="AG138" s="519">
        <f t="shared" si="138"/>
        <v>0</v>
      </c>
      <c r="AH138" s="519">
        <f t="shared" si="138"/>
        <v>0</v>
      </c>
      <c r="AI138" s="519">
        <f t="shared" si="138"/>
        <v>0</v>
      </c>
      <c r="AJ138" s="519">
        <f t="shared" si="138"/>
        <v>0</v>
      </c>
      <c r="AK138" s="519">
        <f t="shared" si="138"/>
        <v>1070.5748849999989</v>
      </c>
      <c r="AL138" s="519">
        <f t="shared" si="138"/>
        <v>812.25188499999933</v>
      </c>
      <c r="AM138" s="519">
        <f t="shared" si="138"/>
        <v>0</v>
      </c>
      <c r="AN138" s="519">
        <f t="shared" si="138"/>
        <v>-5.6843418860808015E-13</v>
      </c>
      <c r="AO138" s="519">
        <f t="shared" si="138"/>
        <v>258.32300000000009</v>
      </c>
      <c r="AP138" s="519">
        <f t="shared" si="77"/>
        <v>0</v>
      </c>
      <c r="AQ138" s="520"/>
      <c r="AR138" s="520"/>
    </row>
    <row r="139" spans="1:44" s="84" customFormat="1">
      <c r="A139" s="517" t="s">
        <v>45</v>
      </c>
      <c r="B139" s="518" t="s">
        <v>368</v>
      </c>
      <c r="C139" s="519">
        <f t="shared" ref="C139:AJ139" si="139">C140+C154+C162+C176</f>
        <v>10888.515822999994</v>
      </c>
      <c r="D139" s="519">
        <f t="shared" si="139"/>
        <v>8720.7440229999975</v>
      </c>
      <c r="E139" s="519">
        <f t="shared" si="139"/>
        <v>1238.299</v>
      </c>
      <c r="F139" s="519">
        <f t="shared" si="139"/>
        <v>810.86679999999967</v>
      </c>
      <c r="G139" s="519">
        <f t="shared" si="139"/>
        <v>118.60599999999974</v>
      </c>
      <c r="H139" s="519">
        <f t="shared" si="139"/>
        <v>4079</v>
      </c>
      <c r="I139" s="519">
        <f t="shared" si="139"/>
        <v>303</v>
      </c>
      <c r="J139" s="519">
        <f t="shared" si="139"/>
        <v>0</v>
      </c>
      <c r="K139" s="519">
        <f t="shared" si="139"/>
        <v>303</v>
      </c>
      <c r="L139" s="519">
        <f t="shared" si="139"/>
        <v>3776</v>
      </c>
      <c r="M139" s="519">
        <f t="shared" si="139"/>
        <v>0</v>
      </c>
      <c r="N139" s="519">
        <f t="shared" si="139"/>
        <v>3776</v>
      </c>
      <c r="O139" s="519">
        <f t="shared" si="139"/>
        <v>11028.081022999999</v>
      </c>
      <c r="P139" s="519">
        <f t="shared" si="80"/>
        <v>7510.0140229999988</v>
      </c>
      <c r="Q139" s="519">
        <f t="shared" si="81"/>
        <v>3518.067</v>
      </c>
      <c r="R139" s="519">
        <f t="shared" si="139"/>
        <v>7356.9330229999987</v>
      </c>
      <c r="S139" s="519">
        <f t="shared" si="139"/>
        <v>7356.9330229999987</v>
      </c>
      <c r="T139" s="519">
        <f t="shared" si="139"/>
        <v>0</v>
      </c>
      <c r="U139" s="519">
        <f t="shared" si="139"/>
        <v>3671.1480000000001</v>
      </c>
      <c r="V139" s="519">
        <f t="shared" si="139"/>
        <v>153.08100000000013</v>
      </c>
      <c r="W139" s="519">
        <f t="shared" si="139"/>
        <v>3518.067</v>
      </c>
      <c r="X139" s="519">
        <f t="shared" si="139"/>
        <v>2936.6157999999996</v>
      </c>
      <c r="Y139" s="519">
        <f t="shared" si="139"/>
        <v>2160.614</v>
      </c>
      <c r="Z139" s="519">
        <f t="shared" si="139"/>
        <v>619.31499999999994</v>
      </c>
      <c r="AA139" s="519">
        <f t="shared" si="139"/>
        <v>1541.299</v>
      </c>
      <c r="AB139" s="519">
        <f t="shared" si="139"/>
        <v>776.00179999999966</v>
      </c>
      <c r="AC139" s="519">
        <f t="shared" si="139"/>
        <v>657.78580000000011</v>
      </c>
      <c r="AD139" s="519">
        <f t="shared" si="139"/>
        <v>118.2159999999997</v>
      </c>
      <c r="AE139" s="519">
        <f t="shared" si="139"/>
        <v>0</v>
      </c>
      <c r="AF139" s="519">
        <f t="shared" si="139"/>
        <v>0</v>
      </c>
      <c r="AG139" s="519">
        <f t="shared" si="139"/>
        <v>0</v>
      </c>
      <c r="AH139" s="519">
        <f t="shared" si="139"/>
        <v>0</v>
      </c>
      <c r="AI139" s="519">
        <f t="shared" si="139"/>
        <v>0</v>
      </c>
      <c r="AJ139" s="519">
        <f t="shared" si="139"/>
        <v>0</v>
      </c>
      <c r="AK139" s="519">
        <f t="shared" ref="AK139:AK169" si="140">SUM(AL139:AO139)</f>
        <v>1002.8189999999984</v>
      </c>
      <c r="AL139" s="519">
        <f t="shared" ref="AL139:AM164" si="141">D139+J139-S139-Z139-AF139</f>
        <v>744.49599999999884</v>
      </c>
      <c r="AM139" s="519">
        <f t="shared" si="141"/>
        <v>0</v>
      </c>
      <c r="AN139" s="519">
        <f t="shared" ref="AN139:AO164" si="142">F139+M139-V139-AC139-AI139</f>
        <v>-5.6843418860808015E-13</v>
      </c>
      <c r="AO139" s="519">
        <f t="shared" si="142"/>
        <v>258.32300000000009</v>
      </c>
      <c r="AP139" s="519">
        <f t="shared" ref="AP139:AP202" si="143">C139+H139-O139-X139-AK139</f>
        <v>-2.5011104298755527E-12</v>
      </c>
      <c r="AQ139" s="520"/>
      <c r="AR139" s="520"/>
    </row>
    <row r="140" spans="1:44" s="83" customFormat="1" hidden="1" outlineLevel="1">
      <c r="A140" s="541">
        <v>1</v>
      </c>
      <c r="B140" s="542" t="s">
        <v>392</v>
      </c>
      <c r="C140" s="543">
        <f t="shared" ref="C140:AO140" si="144">C141+C145+C148+C150+C152</f>
        <v>8400.4970229999963</v>
      </c>
      <c r="D140" s="543">
        <f t="shared" si="144"/>
        <v>7106.6330229999976</v>
      </c>
      <c r="E140" s="543">
        <f t="shared" si="144"/>
        <v>1083.3</v>
      </c>
      <c r="F140" s="543">
        <f t="shared" si="144"/>
        <v>175.20799999999963</v>
      </c>
      <c r="G140" s="543">
        <f t="shared" si="144"/>
        <v>35.355999999999767</v>
      </c>
      <c r="H140" s="543">
        <f t="shared" si="144"/>
        <v>4079</v>
      </c>
      <c r="I140" s="543">
        <f t="shared" si="144"/>
        <v>303</v>
      </c>
      <c r="J140" s="543">
        <f t="shared" si="144"/>
        <v>0</v>
      </c>
      <c r="K140" s="543">
        <f t="shared" si="144"/>
        <v>303</v>
      </c>
      <c r="L140" s="543">
        <f t="shared" si="144"/>
        <v>3776</v>
      </c>
      <c r="M140" s="543">
        <f t="shared" si="144"/>
        <v>0</v>
      </c>
      <c r="N140" s="543">
        <f t="shared" si="144"/>
        <v>3776</v>
      </c>
      <c r="O140" s="543">
        <f t="shared" si="144"/>
        <v>10024.100022999999</v>
      </c>
      <c r="P140" s="543">
        <f t="shared" si="80"/>
        <v>6506.033022999999</v>
      </c>
      <c r="Q140" s="543">
        <f t="shared" si="81"/>
        <v>3518.067</v>
      </c>
      <c r="R140" s="543">
        <f t="shared" si="144"/>
        <v>6506.033022999999</v>
      </c>
      <c r="S140" s="543">
        <f t="shared" si="144"/>
        <v>6506.033022999999</v>
      </c>
      <c r="T140" s="543">
        <f t="shared" si="144"/>
        <v>0</v>
      </c>
      <c r="U140" s="543">
        <f t="shared" si="144"/>
        <v>3518.067</v>
      </c>
      <c r="V140" s="543">
        <f t="shared" si="144"/>
        <v>0</v>
      </c>
      <c r="W140" s="543">
        <f t="shared" si="144"/>
        <v>3518.067</v>
      </c>
      <c r="X140" s="543">
        <f t="shared" si="144"/>
        <v>1596.8639999999994</v>
      </c>
      <c r="Y140" s="543">
        <f t="shared" si="144"/>
        <v>1386.3</v>
      </c>
      <c r="Z140" s="543">
        <f t="shared" si="144"/>
        <v>0</v>
      </c>
      <c r="AA140" s="543">
        <f t="shared" si="144"/>
        <v>1386.3</v>
      </c>
      <c r="AB140" s="543">
        <f t="shared" si="144"/>
        <v>210.5639999999994</v>
      </c>
      <c r="AC140" s="543">
        <f t="shared" si="144"/>
        <v>175.20799999999963</v>
      </c>
      <c r="AD140" s="543">
        <f t="shared" si="144"/>
        <v>35.355999999999767</v>
      </c>
      <c r="AE140" s="543">
        <f t="shared" si="144"/>
        <v>0</v>
      </c>
      <c r="AF140" s="543">
        <f t="shared" si="144"/>
        <v>0</v>
      </c>
      <c r="AG140" s="543">
        <f t="shared" si="144"/>
        <v>0</v>
      </c>
      <c r="AH140" s="543">
        <f t="shared" si="144"/>
        <v>0</v>
      </c>
      <c r="AI140" s="543">
        <f t="shared" si="144"/>
        <v>0</v>
      </c>
      <c r="AJ140" s="543">
        <f t="shared" si="144"/>
        <v>0</v>
      </c>
      <c r="AK140" s="543">
        <f t="shared" si="144"/>
        <v>858.53299999999854</v>
      </c>
      <c r="AL140" s="543">
        <f t="shared" si="144"/>
        <v>600.59999999999854</v>
      </c>
      <c r="AM140" s="543">
        <f t="shared" si="144"/>
        <v>0</v>
      </c>
      <c r="AN140" s="543">
        <f t="shared" si="144"/>
        <v>0</v>
      </c>
      <c r="AO140" s="543">
        <f t="shared" si="144"/>
        <v>257.93299999999999</v>
      </c>
      <c r="AP140" s="543">
        <f t="shared" si="143"/>
        <v>0</v>
      </c>
      <c r="AQ140" s="544"/>
      <c r="AR140" s="544"/>
    </row>
    <row r="141" spans="1:44" s="83" customFormat="1" hidden="1" outlineLevel="1">
      <c r="A141" s="545" t="s">
        <v>103</v>
      </c>
      <c r="B141" s="536" t="s">
        <v>393</v>
      </c>
      <c r="C141" s="528">
        <f t="shared" ref="C141:C175" si="145">SUM(D141:G141)</f>
        <v>7281.8410229999972</v>
      </c>
      <c r="D141" s="546">
        <v>7106.6330229999976</v>
      </c>
      <c r="E141" s="546">
        <v>0</v>
      </c>
      <c r="F141" s="546">
        <v>175.20799999999963</v>
      </c>
      <c r="G141" s="546">
        <v>0</v>
      </c>
      <c r="H141" s="546">
        <f>H142+H143+H144</f>
        <v>0</v>
      </c>
      <c r="I141" s="546">
        <f t="shared" ref="I141:AJ141" si="146">I142+I143+I144</f>
        <v>0</v>
      </c>
      <c r="J141" s="546">
        <f t="shared" si="146"/>
        <v>0</v>
      </c>
      <c r="K141" s="546">
        <f t="shared" si="146"/>
        <v>0</v>
      </c>
      <c r="L141" s="546">
        <f t="shared" si="146"/>
        <v>0</v>
      </c>
      <c r="M141" s="546">
        <f t="shared" si="146"/>
        <v>0</v>
      </c>
      <c r="N141" s="546">
        <f t="shared" si="146"/>
        <v>0</v>
      </c>
      <c r="O141" s="546">
        <f t="shared" si="146"/>
        <v>6506.033022999999</v>
      </c>
      <c r="P141" s="543">
        <f t="shared" si="80"/>
        <v>6506.033022999999</v>
      </c>
      <c r="Q141" s="543">
        <f t="shared" si="81"/>
        <v>0</v>
      </c>
      <c r="R141" s="546">
        <f t="shared" si="146"/>
        <v>6506.033022999999</v>
      </c>
      <c r="S141" s="546">
        <f t="shared" si="146"/>
        <v>6506.033022999999</v>
      </c>
      <c r="T141" s="546">
        <f t="shared" si="146"/>
        <v>0</v>
      </c>
      <c r="U141" s="546">
        <f t="shared" si="146"/>
        <v>0</v>
      </c>
      <c r="V141" s="546">
        <f t="shared" si="146"/>
        <v>0</v>
      </c>
      <c r="W141" s="546">
        <f t="shared" si="146"/>
        <v>0</v>
      </c>
      <c r="X141" s="546">
        <f t="shared" si="146"/>
        <v>175.20799999999963</v>
      </c>
      <c r="Y141" s="546">
        <f t="shared" si="146"/>
        <v>0</v>
      </c>
      <c r="Z141" s="546">
        <f t="shared" si="146"/>
        <v>0</v>
      </c>
      <c r="AA141" s="546">
        <f t="shared" si="146"/>
        <v>0</v>
      </c>
      <c r="AB141" s="546">
        <f t="shared" si="146"/>
        <v>175.20799999999963</v>
      </c>
      <c r="AC141" s="546">
        <f t="shared" si="146"/>
        <v>175.20799999999963</v>
      </c>
      <c r="AD141" s="546">
        <f t="shared" si="146"/>
        <v>0</v>
      </c>
      <c r="AE141" s="546">
        <f t="shared" si="146"/>
        <v>0</v>
      </c>
      <c r="AF141" s="546">
        <f t="shared" si="146"/>
        <v>0</v>
      </c>
      <c r="AG141" s="546">
        <f t="shared" si="146"/>
        <v>0</v>
      </c>
      <c r="AH141" s="546">
        <f t="shared" si="146"/>
        <v>0</v>
      </c>
      <c r="AI141" s="546">
        <f t="shared" si="146"/>
        <v>0</v>
      </c>
      <c r="AJ141" s="546">
        <f t="shared" si="146"/>
        <v>0</v>
      </c>
      <c r="AK141" s="546">
        <f t="shared" si="140"/>
        <v>600.59999999999854</v>
      </c>
      <c r="AL141" s="546">
        <f t="shared" si="141"/>
        <v>600.59999999999854</v>
      </c>
      <c r="AM141" s="546">
        <f t="shared" si="141"/>
        <v>0</v>
      </c>
      <c r="AN141" s="546">
        <f t="shared" si="142"/>
        <v>0</v>
      </c>
      <c r="AO141" s="546">
        <f t="shared" si="142"/>
        <v>0</v>
      </c>
      <c r="AP141" s="546">
        <f t="shared" si="143"/>
        <v>0</v>
      </c>
      <c r="AQ141" s="547"/>
      <c r="AR141" s="547"/>
    </row>
    <row r="142" spans="1:44" s="83" customFormat="1" hidden="1" outlineLevel="1">
      <c r="A142" s="526"/>
      <c r="B142" s="548" t="s">
        <v>193</v>
      </c>
      <c r="C142" s="528">
        <f t="shared" si="145"/>
        <v>6506.033022999999</v>
      </c>
      <c r="D142" s="523">
        <v>6506.033022999999</v>
      </c>
      <c r="E142" s="523">
        <v>0</v>
      </c>
      <c r="F142" s="523">
        <v>0</v>
      </c>
      <c r="G142" s="523">
        <v>0</v>
      </c>
      <c r="H142" s="523">
        <f>I142+L142</f>
        <v>0</v>
      </c>
      <c r="I142" s="523">
        <f>J142+K142</f>
        <v>0</v>
      </c>
      <c r="J142" s="523"/>
      <c r="K142" s="523">
        <v>0</v>
      </c>
      <c r="L142" s="523">
        <f t="shared" ref="L142:L161" si="147">M142+N142</f>
        <v>0</v>
      </c>
      <c r="M142" s="523"/>
      <c r="N142" s="523">
        <v>0</v>
      </c>
      <c r="O142" s="523">
        <f t="shared" ref="O142:O169" si="148">R142+U142</f>
        <v>6506.033022999999</v>
      </c>
      <c r="P142" s="543">
        <f t="shared" si="80"/>
        <v>6506.033022999999</v>
      </c>
      <c r="Q142" s="543">
        <f t="shared" si="81"/>
        <v>0</v>
      </c>
      <c r="R142" s="523">
        <f>S142+T142</f>
        <v>6506.033022999999</v>
      </c>
      <c r="S142" s="523">
        <v>6506.033022999999</v>
      </c>
      <c r="T142" s="523"/>
      <c r="U142" s="523">
        <f>V142+W142</f>
        <v>0</v>
      </c>
      <c r="V142" s="523"/>
      <c r="W142" s="523">
        <v>0</v>
      </c>
      <c r="X142" s="523">
        <f>Y142+AB142+AE142+AH142</f>
        <v>0</v>
      </c>
      <c r="Y142" s="523">
        <f t="shared" ref="Y142:Y169" si="149">Z142+AA142</f>
        <v>0</v>
      </c>
      <c r="Z142" s="523"/>
      <c r="AA142" s="523"/>
      <c r="AB142" s="523">
        <f t="shared" ref="AB142:AB169" si="150">AC142+AD142</f>
        <v>0</v>
      </c>
      <c r="AC142" s="523"/>
      <c r="AD142" s="523"/>
      <c r="AE142" s="523">
        <f t="shared" ref="AE142:AE146" si="151">AF142+AG142</f>
        <v>0</v>
      </c>
      <c r="AF142" s="523"/>
      <c r="AG142" s="523"/>
      <c r="AH142" s="523">
        <f t="shared" ref="AH142:AH146" si="152">AI142+AJ142</f>
        <v>0</v>
      </c>
      <c r="AI142" s="523"/>
      <c r="AJ142" s="523"/>
      <c r="AK142" s="523">
        <f t="shared" si="140"/>
        <v>0</v>
      </c>
      <c r="AL142" s="523">
        <f t="shared" si="141"/>
        <v>0</v>
      </c>
      <c r="AM142" s="523">
        <f t="shared" si="141"/>
        <v>0</v>
      </c>
      <c r="AN142" s="523">
        <f t="shared" si="142"/>
        <v>0</v>
      </c>
      <c r="AO142" s="523">
        <f t="shared" si="142"/>
        <v>0</v>
      </c>
      <c r="AP142" s="523">
        <f t="shared" si="143"/>
        <v>0</v>
      </c>
      <c r="AQ142" s="524"/>
      <c r="AR142" s="524"/>
    </row>
    <row r="143" spans="1:44" s="83" customFormat="1" hidden="1" outlineLevel="1">
      <c r="A143" s="521"/>
      <c r="B143" s="548" t="s">
        <v>192</v>
      </c>
      <c r="C143" s="528">
        <f t="shared" si="145"/>
        <v>175.20799999999963</v>
      </c>
      <c r="D143" s="523">
        <v>0</v>
      </c>
      <c r="E143" s="523">
        <v>0</v>
      </c>
      <c r="F143" s="523">
        <v>175.20799999999963</v>
      </c>
      <c r="G143" s="523">
        <v>0</v>
      </c>
      <c r="H143" s="523">
        <f>I143+L143</f>
        <v>0</v>
      </c>
      <c r="I143" s="523">
        <f>J143+K143</f>
        <v>0</v>
      </c>
      <c r="J143" s="523"/>
      <c r="K143" s="523">
        <v>0</v>
      </c>
      <c r="L143" s="523">
        <f t="shared" si="147"/>
        <v>0</v>
      </c>
      <c r="M143" s="523"/>
      <c r="N143" s="523"/>
      <c r="O143" s="523">
        <f t="shared" si="148"/>
        <v>0</v>
      </c>
      <c r="P143" s="543">
        <f t="shared" ref="P143:P206" si="153">S143+V143</f>
        <v>0</v>
      </c>
      <c r="Q143" s="543">
        <f t="shared" ref="Q143:Q206" si="154">T143+W143</f>
        <v>0</v>
      </c>
      <c r="R143" s="523">
        <f>S143+T143</f>
        <v>0</v>
      </c>
      <c r="S143" s="523"/>
      <c r="T143" s="523"/>
      <c r="U143" s="523">
        <f>V143+W143</f>
        <v>0</v>
      </c>
      <c r="V143" s="523"/>
      <c r="W143" s="523">
        <v>0</v>
      </c>
      <c r="X143" s="523">
        <f>Y143+AB143+AE143+AH143</f>
        <v>175.20799999999963</v>
      </c>
      <c r="Y143" s="523">
        <f t="shared" si="149"/>
        <v>0</v>
      </c>
      <c r="Z143" s="523"/>
      <c r="AA143" s="523"/>
      <c r="AB143" s="523">
        <f t="shared" si="150"/>
        <v>175.20799999999963</v>
      </c>
      <c r="AC143" s="523">
        <v>175.20799999999963</v>
      </c>
      <c r="AD143" s="523"/>
      <c r="AE143" s="523">
        <f t="shared" si="151"/>
        <v>0</v>
      </c>
      <c r="AF143" s="523"/>
      <c r="AG143" s="523"/>
      <c r="AH143" s="523">
        <f t="shared" si="152"/>
        <v>0</v>
      </c>
      <c r="AI143" s="523"/>
      <c r="AJ143" s="523"/>
      <c r="AK143" s="523">
        <f t="shared" si="140"/>
        <v>0</v>
      </c>
      <c r="AL143" s="523">
        <f t="shared" si="141"/>
        <v>0</v>
      </c>
      <c r="AM143" s="523">
        <f t="shared" si="141"/>
        <v>0</v>
      </c>
      <c r="AN143" s="523">
        <f t="shared" si="142"/>
        <v>0</v>
      </c>
      <c r="AO143" s="523">
        <f t="shared" si="142"/>
        <v>0</v>
      </c>
      <c r="AP143" s="523">
        <f t="shared" si="143"/>
        <v>0</v>
      </c>
      <c r="AQ143" s="524"/>
      <c r="AR143" s="524"/>
    </row>
    <row r="144" spans="1:44" s="83" customFormat="1" hidden="1" outlineLevel="1">
      <c r="A144" s="521"/>
      <c r="B144" s="548" t="s">
        <v>386</v>
      </c>
      <c r="C144" s="528">
        <f t="shared" si="145"/>
        <v>600.6</v>
      </c>
      <c r="D144" s="523">
        <v>600.6</v>
      </c>
      <c r="E144" s="523">
        <v>0</v>
      </c>
      <c r="F144" s="523">
        <v>0</v>
      </c>
      <c r="G144" s="523">
        <v>0</v>
      </c>
      <c r="H144" s="523">
        <f>I144+L144</f>
        <v>0</v>
      </c>
      <c r="I144" s="523">
        <f>J144+K144</f>
        <v>0</v>
      </c>
      <c r="J144" s="523">
        <v>0</v>
      </c>
      <c r="K144" s="523">
        <v>0</v>
      </c>
      <c r="L144" s="523">
        <f t="shared" si="147"/>
        <v>0</v>
      </c>
      <c r="M144" s="523"/>
      <c r="N144" s="523"/>
      <c r="O144" s="523">
        <f t="shared" si="148"/>
        <v>0</v>
      </c>
      <c r="P144" s="543">
        <f t="shared" si="153"/>
        <v>0</v>
      </c>
      <c r="Q144" s="543">
        <f t="shared" si="154"/>
        <v>0</v>
      </c>
      <c r="R144" s="523">
        <f>S144+T144</f>
        <v>0</v>
      </c>
      <c r="S144" s="523">
        <v>0</v>
      </c>
      <c r="T144" s="523"/>
      <c r="U144" s="523">
        <f>V144+W144</f>
        <v>0</v>
      </c>
      <c r="V144" s="523">
        <v>0</v>
      </c>
      <c r="W144" s="523">
        <v>0</v>
      </c>
      <c r="X144" s="523">
        <f>Y144+AB144+AE144+AH144</f>
        <v>0</v>
      </c>
      <c r="Y144" s="523">
        <f t="shared" si="149"/>
        <v>0</v>
      </c>
      <c r="Z144" s="523"/>
      <c r="AA144" s="523"/>
      <c r="AB144" s="523">
        <f t="shared" si="150"/>
        <v>0</v>
      </c>
      <c r="AC144" s="523"/>
      <c r="AD144" s="523"/>
      <c r="AE144" s="523">
        <f t="shared" si="151"/>
        <v>0</v>
      </c>
      <c r="AF144" s="523"/>
      <c r="AG144" s="523"/>
      <c r="AH144" s="523">
        <f t="shared" si="152"/>
        <v>0</v>
      </c>
      <c r="AI144" s="523"/>
      <c r="AJ144" s="523"/>
      <c r="AK144" s="523">
        <f t="shared" si="140"/>
        <v>600.6</v>
      </c>
      <c r="AL144" s="523">
        <f t="shared" si="141"/>
        <v>600.6</v>
      </c>
      <c r="AM144" s="523">
        <f t="shared" si="141"/>
        <v>0</v>
      </c>
      <c r="AN144" s="523">
        <f t="shared" si="142"/>
        <v>0</v>
      </c>
      <c r="AO144" s="523">
        <f t="shared" si="142"/>
        <v>0</v>
      </c>
      <c r="AP144" s="523">
        <f t="shared" si="143"/>
        <v>0</v>
      </c>
      <c r="AQ144" s="524"/>
      <c r="AR144" s="524"/>
    </row>
    <row r="145" spans="1:44" s="83" customFormat="1" hidden="1" outlineLevel="1">
      <c r="A145" s="545" t="s">
        <v>104</v>
      </c>
      <c r="B145" s="536" t="s">
        <v>395</v>
      </c>
      <c r="C145" s="546">
        <f t="shared" ref="C145:AO145" si="155">SUM(C146:C147)</f>
        <v>35.355999999999767</v>
      </c>
      <c r="D145" s="546">
        <f t="shared" si="155"/>
        <v>0</v>
      </c>
      <c r="E145" s="546">
        <f t="shared" si="155"/>
        <v>0</v>
      </c>
      <c r="F145" s="546">
        <f t="shared" si="155"/>
        <v>0</v>
      </c>
      <c r="G145" s="546">
        <f t="shared" si="155"/>
        <v>35.355999999999767</v>
      </c>
      <c r="H145" s="546">
        <f t="shared" si="155"/>
        <v>376</v>
      </c>
      <c r="I145" s="546">
        <f t="shared" si="155"/>
        <v>0</v>
      </c>
      <c r="J145" s="546">
        <f t="shared" si="155"/>
        <v>0</v>
      </c>
      <c r="K145" s="546">
        <f t="shared" si="155"/>
        <v>0</v>
      </c>
      <c r="L145" s="546">
        <f t="shared" si="155"/>
        <v>376</v>
      </c>
      <c r="M145" s="546">
        <f t="shared" si="155"/>
        <v>0</v>
      </c>
      <c r="N145" s="546">
        <f t="shared" si="155"/>
        <v>376</v>
      </c>
      <c r="O145" s="546">
        <f t="shared" si="155"/>
        <v>126</v>
      </c>
      <c r="P145" s="543">
        <f t="shared" si="153"/>
        <v>0</v>
      </c>
      <c r="Q145" s="543">
        <f t="shared" si="154"/>
        <v>126</v>
      </c>
      <c r="R145" s="546">
        <f t="shared" si="155"/>
        <v>0</v>
      </c>
      <c r="S145" s="546">
        <f t="shared" si="155"/>
        <v>0</v>
      </c>
      <c r="T145" s="546">
        <f t="shared" si="155"/>
        <v>0</v>
      </c>
      <c r="U145" s="546">
        <f t="shared" si="155"/>
        <v>126</v>
      </c>
      <c r="V145" s="546">
        <f t="shared" si="155"/>
        <v>0</v>
      </c>
      <c r="W145" s="546">
        <f t="shared" si="155"/>
        <v>126</v>
      </c>
      <c r="X145" s="546">
        <f t="shared" si="155"/>
        <v>35.355999999999767</v>
      </c>
      <c r="Y145" s="546">
        <f t="shared" si="155"/>
        <v>0</v>
      </c>
      <c r="Z145" s="546">
        <f t="shared" si="155"/>
        <v>0</v>
      </c>
      <c r="AA145" s="546">
        <f t="shared" si="155"/>
        <v>0</v>
      </c>
      <c r="AB145" s="546">
        <f t="shared" si="155"/>
        <v>35.355999999999767</v>
      </c>
      <c r="AC145" s="546">
        <f t="shared" si="155"/>
        <v>0</v>
      </c>
      <c r="AD145" s="546">
        <f t="shared" si="155"/>
        <v>35.355999999999767</v>
      </c>
      <c r="AE145" s="546">
        <f t="shared" si="155"/>
        <v>0</v>
      </c>
      <c r="AF145" s="546">
        <f t="shared" si="155"/>
        <v>0</v>
      </c>
      <c r="AG145" s="546">
        <f t="shared" si="155"/>
        <v>0</v>
      </c>
      <c r="AH145" s="546">
        <f t="shared" si="155"/>
        <v>0</v>
      </c>
      <c r="AI145" s="546">
        <f t="shared" si="155"/>
        <v>0</v>
      </c>
      <c r="AJ145" s="546">
        <f t="shared" si="155"/>
        <v>0</v>
      </c>
      <c r="AK145" s="546">
        <f t="shared" si="155"/>
        <v>250</v>
      </c>
      <c r="AL145" s="546">
        <f t="shared" si="155"/>
        <v>0</v>
      </c>
      <c r="AM145" s="546">
        <f t="shared" si="155"/>
        <v>0</v>
      </c>
      <c r="AN145" s="546">
        <f t="shared" si="155"/>
        <v>0</v>
      </c>
      <c r="AO145" s="546">
        <f t="shared" si="155"/>
        <v>250</v>
      </c>
      <c r="AP145" s="546">
        <f t="shared" si="143"/>
        <v>0</v>
      </c>
      <c r="AQ145" s="547"/>
      <c r="AR145" s="547"/>
    </row>
    <row r="146" spans="1:44" s="83" customFormat="1" hidden="1" outlineLevel="1">
      <c r="A146" s="521"/>
      <c r="B146" s="548" t="s">
        <v>396</v>
      </c>
      <c r="C146" s="528">
        <f t="shared" si="145"/>
        <v>35.355999999999767</v>
      </c>
      <c r="D146" s="523">
        <v>0</v>
      </c>
      <c r="E146" s="523">
        <v>0</v>
      </c>
      <c r="F146" s="523">
        <v>0</v>
      </c>
      <c r="G146" s="523">
        <v>35.355999999999767</v>
      </c>
      <c r="H146" s="523">
        <f>I146+L146</f>
        <v>0</v>
      </c>
      <c r="I146" s="523">
        <f>J146+K146</f>
        <v>0</v>
      </c>
      <c r="J146" s="523"/>
      <c r="K146" s="523">
        <v>0</v>
      </c>
      <c r="L146" s="523">
        <f t="shared" si="147"/>
        <v>0</v>
      </c>
      <c r="M146" s="523"/>
      <c r="N146" s="523"/>
      <c r="O146" s="523">
        <f t="shared" si="148"/>
        <v>0</v>
      </c>
      <c r="P146" s="543">
        <f t="shared" si="153"/>
        <v>0</v>
      </c>
      <c r="Q146" s="543">
        <f t="shared" si="154"/>
        <v>0</v>
      </c>
      <c r="R146" s="523">
        <f>S146+T146</f>
        <v>0</v>
      </c>
      <c r="S146" s="523"/>
      <c r="T146" s="523"/>
      <c r="U146" s="523">
        <f>V146+W146</f>
        <v>0</v>
      </c>
      <c r="V146" s="523"/>
      <c r="W146" s="523"/>
      <c r="X146" s="523">
        <f>Y146+AB146+AE146+AH146</f>
        <v>35.355999999999767</v>
      </c>
      <c r="Y146" s="523">
        <f t="shared" si="149"/>
        <v>0</v>
      </c>
      <c r="Z146" s="523"/>
      <c r="AA146" s="523"/>
      <c r="AB146" s="523">
        <f t="shared" si="150"/>
        <v>35.355999999999767</v>
      </c>
      <c r="AC146" s="523"/>
      <c r="AD146" s="523">
        <v>35.355999999999767</v>
      </c>
      <c r="AE146" s="523">
        <f t="shared" si="151"/>
        <v>0</v>
      </c>
      <c r="AF146" s="523"/>
      <c r="AG146" s="523"/>
      <c r="AH146" s="523">
        <f t="shared" si="152"/>
        <v>0</v>
      </c>
      <c r="AI146" s="523"/>
      <c r="AJ146" s="523"/>
      <c r="AK146" s="523">
        <f t="shared" si="140"/>
        <v>0</v>
      </c>
      <c r="AL146" s="523">
        <f t="shared" si="141"/>
        <v>0</v>
      </c>
      <c r="AM146" s="523">
        <f t="shared" si="141"/>
        <v>0</v>
      </c>
      <c r="AN146" s="523">
        <f t="shared" si="142"/>
        <v>0</v>
      </c>
      <c r="AO146" s="523">
        <f t="shared" si="142"/>
        <v>0</v>
      </c>
      <c r="AP146" s="523">
        <f t="shared" si="143"/>
        <v>0</v>
      </c>
      <c r="AQ146" s="524"/>
      <c r="AR146" s="524"/>
    </row>
    <row r="147" spans="1:44" s="83" customFormat="1" hidden="1" outlineLevel="1">
      <c r="A147" s="521"/>
      <c r="B147" s="548" t="s">
        <v>2149</v>
      </c>
      <c r="C147" s="528"/>
      <c r="D147" s="523"/>
      <c r="E147" s="523"/>
      <c r="F147" s="523"/>
      <c r="G147" s="523"/>
      <c r="H147" s="523">
        <f>I147+L147</f>
        <v>376</v>
      </c>
      <c r="I147" s="523">
        <f>J147+K147</f>
        <v>0</v>
      </c>
      <c r="J147" s="523"/>
      <c r="K147" s="523"/>
      <c r="L147" s="523">
        <f>M147+N147</f>
        <v>376</v>
      </c>
      <c r="M147" s="523"/>
      <c r="N147" s="523">
        <v>376</v>
      </c>
      <c r="O147" s="528">
        <f t="shared" si="148"/>
        <v>126</v>
      </c>
      <c r="P147" s="543">
        <f t="shared" si="153"/>
        <v>0</v>
      </c>
      <c r="Q147" s="543">
        <f t="shared" si="154"/>
        <v>126</v>
      </c>
      <c r="R147" s="528">
        <f t="shared" ref="R147" si="156">S147+T147</f>
        <v>0</v>
      </c>
      <c r="S147" s="528"/>
      <c r="T147" s="528"/>
      <c r="U147" s="528">
        <f t="shared" ref="U147" si="157">V147+W147</f>
        <v>126</v>
      </c>
      <c r="V147" s="523"/>
      <c r="W147" s="523">
        <v>126</v>
      </c>
      <c r="X147" s="523"/>
      <c r="Y147" s="523"/>
      <c r="Z147" s="523"/>
      <c r="AA147" s="523"/>
      <c r="AB147" s="523"/>
      <c r="AC147" s="523"/>
      <c r="AD147" s="523"/>
      <c r="AE147" s="523"/>
      <c r="AF147" s="523"/>
      <c r="AG147" s="523"/>
      <c r="AH147" s="523"/>
      <c r="AI147" s="523"/>
      <c r="AJ147" s="523"/>
      <c r="AK147" s="523">
        <f t="shared" ref="AK147" si="158">SUM(AL147:AO147)</f>
        <v>250</v>
      </c>
      <c r="AL147" s="523">
        <f t="shared" si="141"/>
        <v>0</v>
      </c>
      <c r="AM147" s="523">
        <f t="shared" si="141"/>
        <v>0</v>
      </c>
      <c r="AN147" s="523">
        <f t="shared" si="142"/>
        <v>0</v>
      </c>
      <c r="AO147" s="523">
        <f t="shared" si="142"/>
        <v>250</v>
      </c>
      <c r="AP147" s="523">
        <f t="shared" si="143"/>
        <v>0</v>
      </c>
      <c r="AQ147" s="524"/>
      <c r="AR147" s="524"/>
    </row>
    <row r="148" spans="1:44" s="83" customFormat="1" ht="31.2" hidden="1" outlineLevel="1">
      <c r="A148" s="545" t="s">
        <v>105</v>
      </c>
      <c r="B148" s="536" t="s">
        <v>397</v>
      </c>
      <c r="C148" s="528">
        <f t="shared" si="145"/>
        <v>0</v>
      </c>
      <c r="D148" s="546">
        <v>0</v>
      </c>
      <c r="E148" s="546">
        <v>0</v>
      </c>
      <c r="F148" s="546">
        <v>0</v>
      </c>
      <c r="G148" s="546">
        <v>0</v>
      </c>
      <c r="H148" s="546">
        <f t="shared" ref="H148:AJ148" si="159">SUM(H149:H149)</f>
        <v>3400</v>
      </c>
      <c r="I148" s="546">
        <f t="shared" si="159"/>
        <v>0</v>
      </c>
      <c r="J148" s="546">
        <f t="shared" si="159"/>
        <v>0</v>
      </c>
      <c r="K148" s="546">
        <f t="shared" si="159"/>
        <v>0</v>
      </c>
      <c r="L148" s="546">
        <f t="shared" si="159"/>
        <v>3400</v>
      </c>
      <c r="M148" s="546">
        <f t="shared" si="159"/>
        <v>0</v>
      </c>
      <c r="N148" s="546">
        <f t="shared" si="159"/>
        <v>3400</v>
      </c>
      <c r="O148" s="546">
        <f>SUM(O149:O149)</f>
        <v>3392.067</v>
      </c>
      <c r="P148" s="543">
        <f t="shared" si="153"/>
        <v>0</v>
      </c>
      <c r="Q148" s="543">
        <f t="shared" si="154"/>
        <v>3392.067</v>
      </c>
      <c r="R148" s="546">
        <f t="shared" si="159"/>
        <v>0</v>
      </c>
      <c r="S148" s="546">
        <f t="shared" si="159"/>
        <v>0</v>
      </c>
      <c r="T148" s="546">
        <f t="shared" si="159"/>
        <v>0</v>
      </c>
      <c r="U148" s="546">
        <f t="shared" si="159"/>
        <v>3392.067</v>
      </c>
      <c r="V148" s="546">
        <f t="shared" si="159"/>
        <v>0</v>
      </c>
      <c r="W148" s="546">
        <f t="shared" si="159"/>
        <v>3392.067</v>
      </c>
      <c r="X148" s="546">
        <f t="shared" si="159"/>
        <v>0</v>
      </c>
      <c r="Y148" s="546">
        <f t="shared" si="159"/>
        <v>0</v>
      </c>
      <c r="Z148" s="546">
        <f t="shared" si="159"/>
        <v>0</v>
      </c>
      <c r="AA148" s="546">
        <f t="shared" si="159"/>
        <v>0</v>
      </c>
      <c r="AB148" s="546">
        <f t="shared" si="159"/>
        <v>0</v>
      </c>
      <c r="AC148" s="546">
        <f t="shared" si="159"/>
        <v>0</v>
      </c>
      <c r="AD148" s="546">
        <f t="shared" si="159"/>
        <v>0</v>
      </c>
      <c r="AE148" s="546">
        <f t="shared" si="159"/>
        <v>0</v>
      </c>
      <c r="AF148" s="546">
        <f t="shared" si="159"/>
        <v>0</v>
      </c>
      <c r="AG148" s="546">
        <f t="shared" si="159"/>
        <v>0</v>
      </c>
      <c r="AH148" s="546">
        <f t="shared" si="159"/>
        <v>0</v>
      </c>
      <c r="AI148" s="546">
        <f t="shared" si="159"/>
        <v>0</v>
      </c>
      <c r="AJ148" s="546">
        <f t="shared" si="159"/>
        <v>0</v>
      </c>
      <c r="AK148" s="546">
        <f t="shared" si="140"/>
        <v>7.9329999999999927</v>
      </c>
      <c r="AL148" s="546">
        <f t="shared" si="141"/>
        <v>0</v>
      </c>
      <c r="AM148" s="546">
        <f t="shared" si="141"/>
        <v>0</v>
      </c>
      <c r="AN148" s="546">
        <f t="shared" si="142"/>
        <v>0</v>
      </c>
      <c r="AO148" s="546">
        <f t="shared" si="142"/>
        <v>7.9329999999999927</v>
      </c>
      <c r="AP148" s="546">
        <f t="shared" si="143"/>
        <v>0</v>
      </c>
      <c r="AQ148" s="547"/>
      <c r="AR148" s="547"/>
    </row>
    <row r="149" spans="1:44" s="83" customFormat="1" hidden="1" outlineLevel="1">
      <c r="A149" s="521"/>
      <c r="B149" s="548" t="s">
        <v>2150</v>
      </c>
      <c r="C149" s="528">
        <f t="shared" si="145"/>
        <v>0</v>
      </c>
      <c r="D149" s="523">
        <v>0</v>
      </c>
      <c r="E149" s="523">
        <v>0</v>
      </c>
      <c r="F149" s="523">
        <v>0</v>
      </c>
      <c r="G149" s="523">
        <v>0</v>
      </c>
      <c r="H149" s="523">
        <f>I149+L149</f>
        <v>3400</v>
      </c>
      <c r="I149" s="523">
        <f>J149+K149</f>
        <v>0</v>
      </c>
      <c r="J149" s="523"/>
      <c r="K149" s="523"/>
      <c r="L149" s="523">
        <f>M149+N149</f>
        <v>3400</v>
      </c>
      <c r="M149" s="523"/>
      <c r="N149" s="546">
        <v>3400</v>
      </c>
      <c r="O149" s="528">
        <f t="shared" si="148"/>
        <v>3392.067</v>
      </c>
      <c r="P149" s="543">
        <f t="shared" si="153"/>
        <v>0</v>
      </c>
      <c r="Q149" s="543">
        <f t="shared" si="154"/>
        <v>3392.067</v>
      </c>
      <c r="R149" s="528">
        <f t="shared" ref="R149" si="160">S149+T149</f>
        <v>0</v>
      </c>
      <c r="S149" s="528"/>
      <c r="T149" s="528"/>
      <c r="U149" s="528">
        <f t="shared" ref="U149" si="161">V149+W149</f>
        <v>3392.067</v>
      </c>
      <c r="V149" s="523"/>
      <c r="W149" s="523">
        <v>3392.067</v>
      </c>
      <c r="X149" s="523">
        <f>Y149+AB149+AE149+AH149</f>
        <v>0</v>
      </c>
      <c r="Y149" s="523">
        <f>Z149+AA149</f>
        <v>0</v>
      </c>
      <c r="Z149" s="523"/>
      <c r="AA149" s="523"/>
      <c r="AB149" s="523"/>
      <c r="AC149" s="523"/>
      <c r="AD149" s="523"/>
      <c r="AE149" s="523"/>
      <c r="AF149" s="523"/>
      <c r="AG149" s="523"/>
      <c r="AH149" s="523"/>
      <c r="AI149" s="523"/>
      <c r="AJ149" s="523"/>
      <c r="AK149" s="523">
        <f t="shared" si="140"/>
        <v>7.9329999999999927</v>
      </c>
      <c r="AL149" s="523">
        <f t="shared" si="141"/>
        <v>0</v>
      </c>
      <c r="AM149" s="523">
        <f t="shared" si="141"/>
        <v>0</v>
      </c>
      <c r="AN149" s="523">
        <f t="shared" si="142"/>
        <v>0</v>
      </c>
      <c r="AO149" s="523">
        <f t="shared" si="142"/>
        <v>7.9329999999999927</v>
      </c>
      <c r="AP149" s="523">
        <f t="shared" si="143"/>
        <v>0</v>
      </c>
      <c r="AQ149" s="524"/>
      <c r="AR149" s="524"/>
    </row>
    <row r="150" spans="1:44" s="83" customFormat="1" ht="31.2" hidden="1" outlineLevel="1">
      <c r="A150" s="545" t="s">
        <v>107</v>
      </c>
      <c r="B150" s="536" t="s">
        <v>373</v>
      </c>
      <c r="C150" s="528">
        <f t="shared" ref="C150:C151" si="162">SUM(D150:G150)</f>
        <v>0</v>
      </c>
      <c r="D150" s="546">
        <v>0</v>
      </c>
      <c r="E150" s="546"/>
      <c r="F150" s="546">
        <v>0</v>
      </c>
      <c r="G150" s="546">
        <v>0</v>
      </c>
      <c r="H150" s="546">
        <f t="shared" ref="H150:AJ152" si="163">SUM(H151:H151)</f>
        <v>303</v>
      </c>
      <c r="I150" s="546">
        <f t="shared" si="163"/>
        <v>303</v>
      </c>
      <c r="J150" s="546">
        <f t="shared" si="163"/>
        <v>0</v>
      </c>
      <c r="K150" s="546">
        <f t="shared" si="163"/>
        <v>303</v>
      </c>
      <c r="L150" s="546">
        <f t="shared" si="163"/>
        <v>0</v>
      </c>
      <c r="M150" s="546">
        <f t="shared" si="163"/>
        <v>0</v>
      </c>
      <c r="N150" s="546">
        <f t="shared" si="163"/>
        <v>0</v>
      </c>
      <c r="O150" s="546">
        <f t="shared" si="163"/>
        <v>0</v>
      </c>
      <c r="P150" s="543">
        <f t="shared" si="153"/>
        <v>0</v>
      </c>
      <c r="Q150" s="543">
        <f t="shared" si="154"/>
        <v>0</v>
      </c>
      <c r="R150" s="546">
        <f t="shared" si="163"/>
        <v>0</v>
      </c>
      <c r="S150" s="546">
        <f t="shared" si="163"/>
        <v>0</v>
      </c>
      <c r="T150" s="546">
        <f t="shared" si="163"/>
        <v>0</v>
      </c>
      <c r="U150" s="546">
        <f t="shared" si="163"/>
        <v>0</v>
      </c>
      <c r="V150" s="546">
        <f t="shared" si="163"/>
        <v>0</v>
      </c>
      <c r="W150" s="546">
        <f t="shared" si="163"/>
        <v>0</v>
      </c>
      <c r="X150" s="546">
        <f t="shared" si="163"/>
        <v>303</v>
      </c>
      <c r="Y150" s="546">
        <f t="shared" si="163"/>
        <v>303</v>
      </c>
      <c r="Z150" s="546">
        <f t="shared" si="163"/>
        <v>0</v>
      </c>
      <c r="AA150" s="546">
        <f t="shared" si="163"/>
        <v>303</v>
      </c>
      <c r="AB150" s="546">
        <f t="shared" si="163"/>
        <v>0</v>
      </c>
      <c r="AC150" s="546">
        <f t="shared" si="163"/>
        <v>0</v>
      </c>
      <c r="AD150" s="546">
        <f t="shared" si="163"/>
        <v>0</v>
      </c>
      <c r="AE150" s="546">
        <f t="shared" si="163"/>
        <v>0</v>
      </c>
      <c r="AF150" s="546">
        <f t="shared" si="163"/>
        <v>0</v>
      </c>
      <c r="AG150" s="546">
        <f t="shared" si="163"/>
        <v>0</v>
      </c>
      <c r="AH150" s="546">
        <f t="shared" si="163"/>
        <v>0</v>
      </c>
      <c r="AI150" s="546">
        <f t="shared" si="163"/>
        <v>0</v>
      </c>
      <c r="AJ150" s="546">
        <f t="shared" si="163"/>
        <v>0</v>
      </c>
      <c r="AK150" s="546">
        <f t="shared" ref="AK150:AK151" si="164">SUM(AL150:AO150)</f>
        <v>0</v>
      </c>
      <c r="AL150" s="546">
        <f t="shared" si="141"/>
        <v>0</v>
      </c>
      <c r="AM150" s="546">
        <f t="shared" si="141"/>
        <v>0</v>
      </c>
      <c r="AN150" s="546">
        <f t="shared" si="142"/>
        <v>0</v>
      </c>
      <c r="AO150" s="546">
        <f t="shared" si="142"/>
        <v>0</v>
      </c>
      <c r="AP150" s="546">
        <f t="shared" si="143"/>
        <v>0</v>
      </c>
      <c r="AQ150" s="547"/>
      <c r="AR150" s="547"/>
    </row>
    <row r="151" spans="1:44" s="83" customFormat="1" hidden="1" outlineLevel="1">
      <c r="A151" s="521"/>
      <c r="B151" s="548" t="s">
        <v>180</v>
      </c>
      <c r="C151" s="528">
        <f t="shared" si="162"/>
        <v>0</v>
      </c>
      <c r="D151" s="523">
        <v>0</v>
      </c>
      <c r="E151" s="523"/>
      <c r="F151" s="523">
        <v>0</v>
      </c>
      <c r="G151" s="523">
        <v>0</v>
      </c>
      <c r="H151" s="523">
        <f>I151+L151</f>
        <v>303</v>
      </c>
      <c r="I151" s="523">
        <f>J151+K151</f>
        <v>303</v>
      </c>
      <c r="J151" s="523"/>
      <c r="K151" s="523">
        <v>303</v>
      </c>
      <c r="L151" s="523"/>
      <c r="M151" s="523"/>
      <c r="N151" s="523"/>
      <c r="O151" s="523"/>
      <c r="P151" s="543">
        <f t="shared" si="153"/>
        <v>0</v>
      </c>
      <c r="Q151" s="543">
        <f t="shared" si="154"/>
        <v>0</v>
      </c>
      <c r="R151" s="523"/>
      <c r="S151" s="523"/>
      <c r="T151" s="523"/>
      <c r="U151" s="523"/>
      <c r="V151" s="523"/>
      <c r="W151" s="523"/>
      <c r="X151" s="523">
        <f>Y151+AB151</f>
        <v>303</v>
      </c>
      <c r="Y151" s="523">
        <f>Z151+AA151</f>
        <v>303</v>
      </c>
      <c r="Z151" s="523"/>
      <c r="AA151" s="523">
        <v>303</v>
      </c>
      <c r="AB151" s="523"/>
      <c r="AC151" s="523"/>
      <c r="AD151" s="523"/>
      <c r="AE151" s="523"/>
      <c r="AF151" s="523"/>
      <c r="AG151" s="523"/>
      <c r="AH151" s="523"/>
      <c r="AI151" s="523"/>
      <c r="AJ151" s="523"/>
      <c r="AK151" s="523">
        <f t="shared" si="164"/>
        <v>0</v>
      </c>
      <c r="AL151" s="523">
        <f t="shared" si="141"/>
        <v>0</v>
      </c>
      <c r="AM151" s="523">
        <f t="shared" si="141"/>
        <v>0</v>
      </c>
      <c r="AN151" s="523">
        <f t="shared" si="142"/>
        <v>0</v>
      </c>
      <c r="AO151" s="523">
        <f t="shared" si="142"/>
        <v>0</v>
      </c>
      <c r="AP151" s="523">
        <f t="shared" si="143"/>
        <v>0</v>
      </c>
      <c r="AQ151" s="524"/>
      <c r="AR151" s="524"/>
    </row>
    <row r="152" spans="1:44" s="83" customFormat="1" hidden="1" outlineLevel="1">
      <c r="A152" s="545" t="s">
        <v>109</v>
      </c>
      <c r="B152" s="536" t="s">
        <v>399</v>
      </c>
      <c r="C152" s="528">
        <f t="shared" si="145"/>
        <v>1083.3</v>
      </c>
      <c r="D152" s="546">
        <v>0</v>
      </c>
      <c r="E152" s="546">
        <v>1083.3</v>
      </c>
      <c r="F152" s="546">
        <v>0</v>
      </c>
      <c r="G152" s="546">
        <v>0</v>
      </c>
      <c r="H152" s="546">
        <f t="shared" si="163"/>
        <v>0</v>
      </c>
      <c r="I152" s="546">
        <f t="shared" si="163"/>
        <v>0</v>
      </c>
      <c r="J152" s="546">
        <f t="shared" si="163"/>
        <v>0</v>
      </c>
      <c r="K152" s="546">
        <f t="shared" si="163"/>
        <v>0</v>
      </c>
      <c r="L152" s="546">
        <f t="shared" si="163"/>
        <v>0</v>
      </c>
      <c r="M152" s="546">
        <f t="shared" si="163"/>
        <v>0</v>
      </c>
      <c r="N152" s="546">
        <f t="shared" si="163"/>
        <v>0</v>
      </c>
      <c r="O152" s="546">
        <f t="shared" si="163"/>
        <v>0</v>
      </c>
      <c r="P152" s="543">
        <f t="shared" si="153"/>
        <v>0</v>
      </c>
      <c r="Q152" s="543">
        <f t="shared" si="154"/>
        <v>0</v>
      </c>
      <c r="R152" s="546">
        <f t="shared" si="163"/>
        <v>0</v>
      </c>
      <c r="S152" s="546">
        <f t="shared" si="163"/>
        <v>0</v>
      </c>
      <c r="T152" s="546">
        <f t="shared" si="163"/>
        <v>0</v>
      </c>
      <c r="U152" s="546">
        <f t="shared" si="163"/>
        <v>0</v>
      </c>
      <c r="V152" s="546">
        <f t="shared" si="163"/>
        <v>0</v>
      </c>
      <c r="W152" s="546">
        <f t="shared" si="163"/>
        <v>0</v>
      </c>
      <c r="X152" s="546">
        <f t="shared" si="163"/>
        <v>1083.3</v>
      </c>
      <c r="Y152" s="546">
        <f t="shared" si="163"/>
        <v>1083.3</v>
      </c>
      <c r="Z152" s="546">
        <f t="shared" si="163"/>
        <v>0</v>
      </c>
      <c r="AA152" s="546">
        <f t="shared" si="163"/>
        <v>1083.3</v>
      </c>
      <c r="AB152" s="546">
        <f t="shared" si="163"/>
        <v>0</v>
      </c>
      <c r="AC152" s="546">
        <f t="shared" si="163"/>
        <v>0</v>
      </c>
      <c r="AD152" s="546">
        <f t="shared" si="163"/>
        <v>0</v>
      </c>
      <c r="AE152" s="546">
        <f t="shared" si="163"/>
        <v>0</v>
      </c>
      <c r="AF152" s="546">
        <f t="shared" si="163"/>
        <v>0</v>
      </c>
      <c r="AG152" s="546">
        <f t="shared" si="163"/>
        <v>0</v>
      </c>
      <c r="AH152" s="546">
        <f t="shared" si="163"/>
        <v>0</v>
      </c>
      <c r="AI152" s="546">
        <f t="shared" si="163"/>
        <v>0</v>
      </c>
      <c r="AJ152" s="546">
        <f t="shared" si="163"/>
        <v>0</v>
      </c>
      <c r="AK152" s="546">
        <f t="shared" si="140"/>
        <v>0</v>
      </c>
      <c r="AL152" s="546">
        <f t="shared" si="141"/>
        <v>0</v>
      </c>
      <c r="AM152" s="546">
        <f t="shared" si="141"/>
        <v>0</v>
      </c>
      <c r="AN152" s="546">
        <f t="shared" si="142"/>
        <v>0</v>
      </c>
      <c r="AO152" s="546">
        <f t="shared" si="142"/>
        <v>0</v>
      </c>
      <c r="AP152" s="546">
        <f t="shared" si="143"/>
        <v>0</v>
      </c>
      <c r="AQ152" s="547"/>
      <c r="AR152" s="547"/>
    </row>
    <row r="153" spans="1:44" s="83" customFormat="1" hidden="1" outlineLevel="1">
      <c r="A153" s="521"/>
      <c r="B153" s="548" t="s">
        <v>400</v>
      </c>
      <c r="C153" s="528">
        <f t="shared" si="145"/>
        <v>1083.3</v>
      </c>
      <c r="D153" s="523">
        <v>0</v>
      </c>
      <c r="E153" s="523">
        <v>1083.3</v>
      </c>
      <c r="F153" s="523">
        <v>0</v>
      </c>
      <c r="G153" s="523">
        <v>0</v>
      </c>
      <c r="H153" s="523"/>
      <c r="I153" s="523"/>
      <c r="J153" s="523"/>
      <c r="K153" s="523"/>
      <c r="L153" s="523"/>
      <c r="M153" s="523"/>
      <c r="N153" s="523"/>
      <c r="O153" s="523"/>
      <c r="P153" s="543">
        <f t="shared" si="153"/>
        <v>0</v>
      </c>
      <c r="Q153" s="543">
        <f t="shared" si="154"/>
        <v>0</v>
      </c>
      <c r="R153" s="523"/>
      <c r="S153" s="523"/>
      <c r="T153" s="523"/>
      <c r="U153" s="523"/>
      <c r="V153" s="523"/>
      <c r="W153" s="523"/>
      <c r="X153" s="523">
        <f>Y153+AB153</f>
        <v>1083.3</v>
      </c>
      <c r="Y153" s="523">
        <f>Z153+AA153</f>
        <v>1083.3</v>
      </c>
      <c r="Z153" s="523"/>
      <c r="AA153" s="523">
        <v>1083.3</v>
      </c>
      <c r="AB153" s="523"/>
      <c r="AC153" s="523"/>
      <c r="AD153" s="523"/>
      <c r="AE153" s="523"/>
      <c r="AF153" s="523"/>
      <c r="AG153" s="523"/>
      <c r="AH153" s="523"/>
      <c r="AI153" s="523"/>
      <c r="AJ153" s="523"/>
      <c r="AK153" s="523">
        <f t="shared" si="140"/>
        <v>0</v>
      </c>
      <c r="AL153" s="523">
        <f t="shared" si="141"/>
        <v>0</v>
      </c>
      <c r="AM153" s="523">
        <f t="shared" si="141"/>
        <v>0</v>
      </c>
      <c r="AN153" s="523">
        <f t="shared" si="142"/>
        <v>0</v>
      </c>
      <c r="AO153" s="523">
        <f t="shared" si="142"/>
        <v>0</v>
      </c>
      <c r="AP153" s="523">
        <f t="shared" si="143"/>
        <v>0</v>
      </c>
      <c r="AQ153" s="524"/>
      <c r="AR153" s="524"/>
    </row>
    <row r="154" spans="1:44" s="83" customFormat="1" hidden="1" outlineLevel="1">
      <c r="A154" s="541" t="s">
        <v>212</v>
      </c>
      <c r="B154" s="542" t="s">
        <v>401</v>
      </c>
      <c r="C154" s="528">
        <f t="shared" si="145"/>
        <v>1190.5299999999988</v>
      </c>
      <c r="D154" s="543">
        <v>1150.387999999999</v>
      </c>
      <c r="E154" s="543">
        <v>0</v>
      </c>
      <c r="F154" s="543">
        <v>0</v>
      </c>
      <c r="G154" s="543">
        <v>40.141999999999939</v>
      </c>
      <c r="H154" s="543">
        <f t="shared" ref="H154:AJ154" si="165">H155+H158+H160</f>
        <v>0</v>
      </c>
      <c r="I154" s="543">
        <f t="shared" si="165"/>
        <v>0</v>
      </c>
      <c r="J154" s="543">
        <f t="shared" si="165"/>
        <v>0</v>
      </c>
      <c r="K154" s="543">
        <f t="shared" si="165"/>
        <v>0</v>
      </c>
      <c r="L154" s="543">
        <f t="shared" si="165"/>
        <v>0</v>
      </c>
      <c r="M154" s="543">
        <f t="shared" si="165"/>
        <v>0</v>
      </c>
      <c r="N154" s="543">
        <f t="shared" si="165"/>
        <v>0</v>
      </c>
      <c r="O154" s="543">
        <f t="shared" si="165"/>
        <v>850.9</v>
      </c>
      <c r="P154" s="543">
        <f t="shared" si="153"/>
        <v>850.9</v>
      </c>
      <c r="Q154" s="543">
        <f t="shared" si="154"/>
        <v>0</v>
      </c>
      <c r="R154" s="543">
        <f t="shared" si="165"/>
        <v>850.9</v>
      </c>
      <c r="S154" s="543">
        <f t="shared" si="165"/>
        <v>850.9</v>
      </c>
      <c r="T154" s="543">
        <f t="shared" si="165"/>
        <v>0</v>
      </c>
      <c r="U154" s="543">
        <f t="shared" si="165"/>
        <v>0</v>
      </c>
      <c r="V154" s="543">
        <f t="shared" si="165"/>
        <v>0</v>
      </c>
      <c r="W154" s="543">
        <f t="shared" si="165"/>
        <v>0</v>
      </c>
      <c r="X154" s="543">
        <f t="shared" si="165"/>
        <v>195.73399999999995</v>
      </c>
      <c r="Y154" s="543">
        <f t="shared" si="165"/>
        <v>155.59200000000001</v>
      </c>
      <c r="Z154" s="543">
        <f t="shared" si="165"/>
        <v>155.59200000000001</v>
      </c>
      <c r="AA154" s="543">
        <f t="shared" si="165"/>
        <v>0</v>
      </c>
      <c r="AB154" s="543">
        <f t="shared" si="165"/>
        <v>40.141999999999939</v>
      </c>
      <c r="AC154" s="543">
        <f t="shared" si="165"/>
        <v>0</v>
      </c>
      <c r="AD154" s="543">
        <f t="shared" si="165"/>
        <v>40.141999999999939</v>
      </c>
      <c r="AE154" s="543">
        <f t="shared" si="165"/>
        <v>0</v>
      </c>
      <c r="AF154" s="543">
        <f t="shared" si="165"/>
        <v>0</v>
      </c>
      <c r="AG154" s="543">
        <f t="shared" si="165"/>
        <v>0</v>
      </c>
      <c r="AH154" s="543">
        <f t="shared" si="165"/>
        <v>0</v>
      </c>
      <c r="AI154" s="543">
        <f t="shared" si="165"/>
        <v>0</v>
      </c>
      <c r="AJ154" s="543">
        <f t="shared" si="165"/>
        <v>0</v>
      </c>
      <c r="AK154" s="543">
        <f t="shared" si="140"/>
        <v>143.89599999999902</v>
      </c>
      <c r="AL154" s="543">
        <f t="shared" si="141"/>
        <v>143.89599999999902</v>
      </c>
      <c r="AM154" s="543">
        <f t="shared" si="141"/>
        <v>0</v>
      </c>
      <c r="AN154" s="543">
        <f t="shared" si="142"/>
        <v>0</v>
      </c>
      <c r="AO154" s="543">
        <f t="shared" si="142"/>
        <v>0</v>
      </c>
      <c r="AP154" s="543">
        <f t="shared" si="143"/>
        <v>0</v>
      </c>
      <c r="AQ154" s="544"/>
      <c r="AR154" s="544"/>
    </row>
    <row r="155" spans="1:44" s="83" customFormat="1" hidden="1" outlineLevel="1">
      <c r="A155" s="541" t="s">
        <v>295</v>
      </c>
      <c r="B155" s="542" t="s">
        <v>393</v>
      </c>
      <c r="C155" s="528">
        <f t="shared" si="145"/>
        <v>1150.387999999999</v>
      </c>
      <c r="D155" s="543">
        <v>1150.387999999999</v>
      </c>
      <c r="E155" s="543">
        <v>0</v>
      </c>
      <c r="F155" s="543">
        <v>0</v>
      </c>
      <c r="G155" s="543">
        <v>0</v>
      </c>
      <c r="H155" s="543">
        <f t="shared" ref="H155:AJ155" si="166">SUM(H156:H157)</f>
        <v>0</v>
      </c>
      <c r="I155" s="543">
        <f t="shared" si="166"/>
        <v>0</v>
      </c>
      <c r="J155" s="543">
        <f t="shared" si="166"/>
        <v>0</v>
      </c>
      <c r="K155" s="543">
        <f t="shared" si="166"/>
        <v>0</v>
      </c>
      <c r="L155" s="543">
        <f t="shared" si="166"/>
        <v>0</v>
      </c>
      <c r="M155" s="543">
        <f t="shared" si="166"/>
        <v>0</v>
      </c>
      <c r="N155" s="543">
        <f t="shared" si="166"/>
        <v>0</v>
      </c>
      <c r="O155" s="543">
        <f t="shared" si="166"/>
        <v>850.9</v>
      </c>
      <c r="P155" s="543">
        <f t="shared" si="153"/>
        <v>850.9</v>
      </c>
      <c r="Q155" s="543">
        <f t="shared" si="154"/>
        <v>0</v>
      </c>
      <c r="R155" s="543">
        <f t="shared" si="166"/>
        <v>850.9</v>
      </c>
      <c r="S155" s="543">
        <f t="shared" si="166"/>
        <v>850.9</v>
      </c>
      <c r="T155" s="543">
        <f t="shared" si="166"/>
        <v>0</v>
      </c>
      <c r="U155" s="543">
        <f t="shared" si="166"/>
        <v>0</v>
      </c>
      <c r="V155" s="543">
        <f t="shared" si="166"/>
        <v>0</v>
      </c>
      <c r="W155" s="543">
        <f t="shared" si="166"/>
        <v>0</v>
      </c>
      <c r="X155" s="543">
        <f t="shared" si="166"/>
        <v>155.59200000000001</v>
      </c>
      <c r="Y155" s="543">
        <f t="shared" si="166"/>
        <v>155.59200000000001</v>
      </c>
      <c r="Z155" s="543">
        <f t="shared" si="166"/>
        <v>155.59200000000001</v>
      </c>
      <c r="AA155" s="543">
        <f t="shared" si="166"/>
        <v>0</v>
      </c>
      <c r="AB155" s="543">
        <f t="shared" si="166"/>
        <v>0</v>
      </c>
      <c r="AC155" s="543">
        <f t="shared" si="166"/>
        <v>0</v>
      </c>
      <c r="AD155" s="543">
        <f t="shared" si="166"/>
        <v>0</v>
      </c>
      <c r="AE155" s="543">
        <f t="shared" si="166"/>
        <v>0</v>
      </c>
      <c r="AF155" s="543">
        <f t="shared" si="166"/>
        <v>0</v>
      </c>
      <c r="AG155" s="543">
        <f t="shared" si="166"/>
        <v>0</v>
      </c>
      <c r="AH155" s="543">
        <f t="shared" si="166"/>
        <v>0</v>
      </c>
      <c r="AI155" s="543">
        <f t="shared" si="166"/>
        <v>0</v>
      </c>
      <c r="AJ155" s="543">
        <f t="shared" si="166"/>
        <v>0</v>
      </c>
      <c r="AK155" s="543">
        <f t="shared" si="140"/>
        <v>143.89599999999902</v>
      </c>
      <c r="AL155" s="543">
        <f t="shared" si="141"/>
        <v>143.89599999999902</v>
      </c>
      <c r="AM155" s="543">
        <f t="shared" si="141"/>
        <v>0</v>
      </c>
      <c r="AN155" s="543">
        <f t="shared" si="142"/>
        <v>0</v>
      </c>
      <c r="AO155" s="543">
        <f t="shared" si="142"/>
        <v>0</v>
      </c>
      <c r="AP155" s="543">
        <f t="shared" si="143"/>
        <v>0</v>
      </c>
      <c r="AQ155" s="544"/>
      <c r="AR155" s="544"/>
    </row>
    <row r="156" spans="1:44" s="83" customFormat="1" hidden="1" outlineLevel="1">
      <c r="A156" s="541"/>
      <c r="B156" s="548" t="s">
        <v>402</v>
      </c>
      <c r="C156" s="528">
        <f t="shared" si="145"/>
        <v>142.39300000000003</v>
      </c>
      <c r="D156" s="543">
        <v>142.39300000000003</v>
      </c>
      <c r="E156" s="543">
        <v>0</v>
      </c>
      <c r="F156" s="543">
        <v>0</v>
      </c>
      <c r="G156" s="543">
        <v>0</v>
      </c>
      <c r="H156" s="543">
        <f>I156+L156</f>
        <v>0</v>
      </c>
      <c r="I156" s="546">
        <f>J156+K156</f>
        <v>0</v>
      </c>
      <c r="J156" s="543"/>
      <c r="K156" s="543"/>
      <c r="L156" s="543"/>
      <c r="M156" s="543"/>
      <c r="N156" s="543"/>
      <c r="O156" s="523">
        <f>R156+U156</f>
        <v>0</v>
      </c>
      <c r="P156" s="543">
        <f t="shared" si="153"/>
        <v>0</v>
      </c>
      <c r="Q156" s="543">
        <f t="shared" si="154"/>
        <v>0</v>
      </c>
      <c r="R156" s="523">
        <f>S156+T156</f>
        <v>0</v>
      </c>
      <c r="S156" s="543"/>
      <c r="T156" s="543"/>
      <c r="U156" s="543"/>
      <c r="V156" s="543"/>
      <c r="W156" s="543"/>
      <c r="X156" s="543">
        <f>Y156+AB156+AE156+AH156</f>
        <v>0</v>
      </c>
      <c r="Y156" s="543"/>
      <c r="Z156" s="543"/>
      <c r="AA156" s="543"/>
      <c r="AB156" s="543"/>
      <c r="AC156" s="543"/>
      <c r="AD156" s="543"/>
      <c r="AE156" s="543"/>
      <c r="AF156" s="543"/>
      <c r="AG156" s="543"/>
      <c r="AH156" s="543"/>
      <c r="AI156" s="543"/>
      <c r="AJ156" s="543"/>
      <c r="AK156" s="543">
        <f t="shared" si="140"/>
        <v>142.39300000000003</v>
      </c>
      <c r="AL156" s="543">
        <f t="shared" si="141"/>
        <v>142.39300000000003</v>
      </c>
      <c r="AM156" s="543">
        <f t="shared" si="141"/>
        <v>0</v>
      </c>
      <c r="AN156" s="543">
        <f t="shared" si="142"/>
        <v>0</v>
      </c>
      <c r="AO156" s="543">
        <f t="shared" si="142"/>
        <v>0</v>
      </c>
      <c r="AP156" s="543">
        <f t="shared" si="143"/>
        <v>0</v>
      </c>
      <c r="AQ156" s="544"/>
      <c r="AR156" s="544"/>
    </row>
    <row r="157" spans="1:44" s="83" customFormat="1" hidden="1" outlineLevel="1">
      <c r="A157" s="541"/>
      <c r="B157" s="548" t="s">
        <v>196</v>
      </c>
      <c r="C157" s="528">
        <f t="shared" si="145"/>
        <v>1007.9949999999999</v>
      </c>
      <c r="D157" s="543">
        <v>1007.9949999999999</v>
      </c>
      <c r="E157" s="543">
        <v>0</v>
      </c>
      <c r="F157" s="543">
        <v>0</v>
      </c>
      <c r="G157" s="543">
        <v>0</v>
      </c>
      <c r="H157" s="543">
        <f t="shared" ref="H157:H161" si="167">I157+L157</f>
        <v>0</v>
      </c>
      <c r="I157" s="546">
        <f>J157+K157</f>
        <v>0</v>
      </c>
      <c r="J157" s="543"/>
      <c r="K157" s="543"/>
      <c r="L157" s="543"/>
      <c r="M157" s="543"/>
      <c r="N157" s="543"/>
      <c r="O157" s="523">
        <f>R157+U157</f>
        <v>850.9</v>
      </c>
      <c r="P157" s="543">
        <f t="shared" si="153"/>
        <v>850.9</v>
      </c>
      <c r="Q157" s="543">
        <f t="shared" si="154"/>
        <v>0</v>
      </c>
      <c r="R157" s="523">
        <f>S157+T157</f>
        <v>850.9</v>
      </c>
      <c r="S157" s="543">
        <v>850.9</v>
      </c>
      <c r="T157" s="543"/>
      <c r="U157" s="543"/>
      <c r="V157" s="543"/>
      <c r="W157" s="543"/>
      <c r="X157" s="543">
        <f>Y157+AB157+AE157+AH157</f>
        <v>155.59200000000001</v>
      </c>
      <c r="Y157" s="543">
        <f>Z157+AA157</f>
        <v>155.59200000000001</v>
      </c>
      <c r="Z157" s="543">
        <v>155.59200000000001</v>
      </c>
      <c r="AA157" s="543"/>
      <c r="AB157" s="543"/>
      <c r="AC157" s="543"/>
      <c r="AD157" s="543"/>
      <c r="AE157" s="543"/>
      <c r="AF157" s="543"/>
      <c r="AG157" s="543"/>
      <c r="AH157" s="543"/>
      <c r="AI157" s="543"/>
      <c r="AJ157" s="543"/>
      <c r="AK157" s="543">
        <f t="shared" si="140"/>
        <v>1.5029999999999006</v>
      </c>
      <c r="AL157" s="543">
        <f t="shared" si="141"/>
        <v>1.5029999999999006</v>
      </c>
      <c r="AM157" s="543">
        <f t="shared" si="141"/>
        <v>0</v>
      </c>
      <c r="AN157" s="543">
        <f t="shared" si="142"/>
        <v>0</v>
      </c>
      <c r="AO157" s="543">
        <f t="shared" si="142"/>
        <v>0</v>
      </c>
      <c r="AP157" s="543">
        <f t="shared" si="143"/>
        <v>0</v>
      </c>
      <c r="AQ157" s="544"/>
      <c r="AR157" s="544"/>
    </row>
    <row r="158" spans="1:44" s="83" customFormat="1" hidden="1" outlineLevel="1">
      <c r="A158" s="541" t="s">
        <v>296</v>
      </c>
      <c r="B158" s="536" t="s">
        <v>395</v>
      </c>
      <c r="C158" s="528">
        <f t="shared" si="145"/>
        <v>4.3790000000000191</v>
      </c>
      <c r="D158" s="543">
        <v>0</v>
      </c>
      <c r="E158" s="543">
        <v>0</v>
      </c>
      <c r="F158" s="543">
        <v>0</v>
      </c>
      <c r="G158" s="543">
        <f t="shared" ref="G158:AJ158" si="168">SUM(G159:G159)</f>
        <v>4.3790000000000191</v>
      </c>
      <c r="H158" s="543">
        <f t="shared" si="168"/>
        <v>0</v>
      </c>
      <c r="I158" s="543">
        <f t="shared" si="168"/>
        <v>0</v>
      </c>
      <c r="J158" s="543">
        <f t="shared" si="168"/>
        <v>0</v>
      </c>
      <c r="K158" s="543">
        <f t="shared" si="168"/>
        <v>0</v>
      </c>
      <c r="L158" s="543">
        <f t="shared" si="168"/>
        <v>0</v>
      </c>
      <c r="M158" s="543">
        <f t="shared" si="168"/>
        <v>0</v>
      </c>
      <c r="N158" s="543">
        <f t="shared" si="168"/>
        <v>0</v>
      </c>
      <c r="O158" s="543">
        <f t="shared" si="168"/>
        <v>0</v>
      </c>
      <c r="P158" s="543">
        <f t="shared" si="153"/>
        <v>0</v>
      </c>
      <c r="Q158" s="543">
        <f t="shared" si="154"/>
        <v>0</v>
      </c>
      <c r="R158" s="543">
        <f t="shared" si="168"/>
        <v>0</v>
      </c>
      <c r="S158" s="543">
        <f t="shared" si="168"/>
        <v>0</v>
      </c>
      <c r="T158" s="543">
        <f t="shared" si="168"/>
        <v>0</v>
      </c>
      <c r="U158" s="543">
        <f t="shared" si="168"/>
        <v>0</v>
      </c>
      <c r="V158" s="543">
        <f t="shared" si="168"/>
        <v>0</v>
      </c>
      <c r="W158" s="543">
        <f t="shared" si="168"/>
        <v>0</v>
      </c>
      <c r="X158" s="543">
        <f t="shared" si="168"/>
        <v>4.3790000000000191</v>
      </c>
      <c r="Y158" s="543">
        <f t="shared" si="168"/>
        <v>0</v>
      </c>
      <c r="Z158" s="543">
        <f t="shared" si="168"/>
        <v>0</v>
      </c>
      <c r="AA158" s="543">
        <f t="shared" si="168"/>
        <v>0</v>
      </c>
      <c r="AB158" s="543">
        <f t="shared" si="168"/>
        <v>4.3790000000000191</v>
      </c>
      <c r="AC158" s="543">
        <f t="shared" si="168"/>
        <v>0</v>
      </c>
      <c r="AD158" s="543">
        <f t="shared" si="168"/>
        <v>4.3790000000000191</v>
      </c>
      <c r="AE158" s="543">
        <f t="shared" si="168"/>
        <v>0</v>
      </c>
      <c r="AF158" s="543">
        <f t="shared" si="168"/>
        <v>0</v>
      </c>
      <c r="AG158" s="543">
        <f t="shared" si="168"/>
        <v>0</v>
      </c>
      <c r="AH158" s="543">
        <f t="shared" si="168"/>
        <v>0</v>
      </c>
      <c r="AI158" s="543">
        <f t="shared" si="168"/>
        <v>0</v>
      </c>
      <c r="AJ158" s="543">
        <f t="shared" si="168"/>
        <v>0</v>
      </c>
      <c r="AK158" s="543">
        <f t="shared" si="140"/>
        <v>0</v>
      </c>
      <c r="AL158" s="543">
        <f t="shared" si="141"/>
        <v>0</v>
      </c>
      <c r="AM158" s="543">
        <f t="shared" si="141"/>
        <v>0</v>
      </c>
      <c r="AN158" s="543">
        <f t="shared" si="142"/>
        <v>0</v>
      </c>
      <c r="AO158" s="543">
        <f t="shared" si="142"/>
        <v>0</v>
      </c>
      <c r="AP158" s="543">
        <f t="shared" si="143"/>
        <v>0</v>
      </c>
      <c r="AQ158" s="544"/>
      <c r="AR158" s="544"/>
    </row>
    <row r="159" spans="1:44" s="83" customFormat="1" hidden="1" outlineLevel="1">
      <c r="A159" s="541"/>
      <c r="B159" s="542" t="s">
        <v>388</v>
      </c>
      <c r="C159" s="528">
        <f t="shared" si="145"/>
        <v>4.3790000000000191</v>
      </c>
      <c r="D159" s="543">
        <v>0</v>
      </c>
      <c r="E159" s="543">
        <v>0</v>
      </c>
      <c r="F159" s="543">
        <v>0</v>
      </c>
      <c r="G159" s="543">
        <v>4.3790000000000191</v>
      </c>
      <c r="H159" s="543">
        <f t="shared" si="167"/>
        <v>0</v>
      </c>
      <c r="I159" s="543"/>
      <c r="J159" s="543"/>
      <c r="K159" s="543"/>
      <c r="L159" s="523">
        <f t="shared" si="147"/>
        <v>0</v>
      </c>
      <c r="M159" s="543"/>
      <c r="N159" s="543"/>
      <c r="O159" s="523">
        <f t="shared" ref="O159:O161" si="169">R159+U159</f>
        <v>0</v>
      </c>
      <c r="P159" s="543">
        <f t="shared" si="153"/>
        <v>0</v>
      </c>
      <c r="Q159" s="543">
        <f t="shared" si="154"/>
        <v>0</v>
      </c>
      <c r="R159" s="523">
        <f t="shared" ref="R159:R161" si="170">S159+T159</f>
        <v>0</v>
      </c>
      <c r="S159" s="523"/>
      <c r="T159" s="523"/>
      <c r="U159" s="523">
        <f t="shared" ref="U159:U161" si="171">V159+W159</f>
        <v>0</v>
      </c>
      <c r="V159" s="543"/>
      <c r="W159" s="543"/>
      <c r="X159" s="523">
        <f>Y159+AB159+AE159+AH159</f>
        <v>4.3790000000000191</v>
      </c>
      <c r="Y159" s="523">
        <f t="shared" ref="Y159" si="172">Z159+AA159</f>
        <v>0</v>
      </c>
      <c r="Z159" s="523"/>
      <c r="AA159" s="523"/>
      <c r="AB159" s="523">
        <f t="shared" ref="AB159" si="173">AC159+AD159</f>
        <v>4.3790000000000191</v>
      </c>
      <c r="AC159" s="543"/>
      <c r="AD159" s="543">
        <v>4.3790000000000191</v>
      </c>
      <c r="AE159" s="543"/>
      <c r="AF159" s="543"/>
      <c r="AG159" s="543"/>
      <c r="AH159" s="543"/>
      <c r="AI159" s="543"/>
      <c r="AJ159" s="543"/>
      <c r="AK159" s="543">
        <f t="shared" si="140"/>
        <v>0</v>
      </c>
      <c r="AL159" s="543">
        <f t="shared" si="141"/>
        <v>0</v>
      </c>
      <c r="AM159" s="543">
        <f t="shared" si="141"/>
        <v>0</v>
      </c>
      <c r="AN159" s="543">
        <f t="shared" si="142"/>
        <v>0</v>
      </c>
      <c r="AO159" s="543">
        <f t="shared" si="142"/>
        <v>0</v>
      </c>
      <c r="AP159" s="543">
        <f t="shared" si="143"/>
        <v>0</v>
      </c>
      <c r="AQ159" s="544"/>
      <c r="AR159" s="544"/>
    </row>
    <row r="160" spans="1:44" s="83" customFormat="1" ht="31.2" hidden="1" outlineLevel="1">
      <c r="A160" s="541" t="s">
        <v>297</v>
      </c>
      <c r="B160" s="536" t="s">
        <v>403</v>
      </c>
      <c r="C160" s="528">
        <f t="shared" si="145"/>
        <v>35.76299999999992</v>
      </c>
      <c r="D160" s="543">
        <v>0</v>
      </c>
      <c r="E160" s="543">
        <v>0</v>
      </c>
      <c r="F160" s="543">
        <v>0</v>
      </c>
      <c r="G160" s="543">
        <v>35.76299999999992</v>
      </c>
      <c r="H160" s="543">
        <f t="shared" ref="H160:AJ160" si="174">SUM(H161:H161)</f>
        <v>0</v>
      </c>
      <c r="I160" s="543">
        <f t="shared" si="174"/>
        <v>0</v>
      </c>
      <c r="J160" s="543">
        <f t="shared" si="174"/>
        <v>0</v>
      </c>
      <c r="K160" s="543">
        <f t="shared" si="174"/>
        <v>0</v>
      </c>
      <c r="L160" s="543">
        <f t="shared" si="174"/>
        <v>0</v>
      </c>
      <c r="M160" s="543">
        <f t="shared" si="174"/>
        <v>0</v>
      </c>
      <c r="N160" s="543">
        <f t="shared" si="174"/>
        <v>0</v>
      </c>
      <c r="O160" s="543">
        <f t="shared" si="174"/>
        <v>0</v>
      </c>
      <c r="P160" s="543">
        <f t="shared" si="153"/>
        <v>0</v>
      </c>
      <c r="Q160" s="543">
        <f t="shared" si="154"/>
        <v>0</v>
      </c>
      <c r="R160" s="543">
        <f t="shared" si="174"/>
        <v>0</v>
      </c>
      <c r="S160" s="543">
        <f t="shared" si="174"/>
        <v>0</v>
      </c>
      <c r="T160" s="543">
        <f t="shared" si="174"/>
        <v>0</v>
      </c>
      <c r="U160" s="543">
        <f t="shared" si="174"/>
        <v>0</v>
      </c>
      <c r="V160" s="543">
        <f t="shared" si="174"/>
        <v>0</v>
      </c>
      <c r="W160" s="543">
        <f t="shared" si="174"/>
        <v>0</v>
      </c>
      <c r="X160" s="543">
        <f t="shared" si="174"/>
        <v>35.76299999999992</v>
      </c>
      <c r="Y160" s="543">
        <f t="shared" si="174"/>
        <v>0</v>
      </c>
      <c r="Z160" s="543">
        <f t="shared" si="174"/>
        <v>0</v>
      </c>
      <c r="AA160" s="543">
        <f t="shared" si="174"/>
        <v>0</v>
      </c>
      <c r="AB160" s="543">
        <f t="shared" si="174"/>
        <v>35.76299999999992</v>
      </c>
      <c r="AC160" s="543">
        <f t="shared" si="174"/>
        <v>0</v>
      </c>
      <c r="AD160" s="543">
        <f t="shared" si="174"/>
        <v>35.76299999999992</v>
      </c>
      <c r="AE160" s="543">
        <f t="shared" si="174"/>
        <v>0</v>
      </c>
      <c r="AF160" s="543">
        <f t="shared" si="174"/>
        <v>0</v>
      </c>
      <c r="AG160" s="543">
        <f t="shared" si="174"/>
        <v>0</v>
      </c>
      <c r="AH160" s="543">
        <f t="shared" si="174"/>
        <v>0</v>
      </c>
      <c r="AI160" s="543">
        <f t="shared" si="174"/>
        <v>0</v>
      </c>
      <c r="AJ160" s="543">
        <f t="shared" si="174"/>
        <v>0</v>
      </c>
      <c r="AK160" s="543">
        <f t="shared" si="140"/>
        <v>0</v>
      </c>
      <c r="AL160" s="543">
        <f t="shared" si="141"/>
        <v>0</v>
      </c>
      <c r="AM160" s="543">
        <f t="shared" si="141"/>
        <v>0</v>
      </c>
      <c r="AN160" s="543">
        <f t="shared" si="142"/>
        <v>0</v>
      </c>
      <c r="AO160" s="543">
        <f t="shared" si="142"/>
        <v>0</v>
      </c>
      <c r="AP160" s="543">
        <f t="shared" si="143"/>
        <v>0</v>
      </c>
      <c r="AQ160" s="544"/>
      <c r="AR160" s="544"/>
    </row>
    <row r="161" spans="1:44" s="83" customFormat="1" hidden="1" outlineLevel="1">
      <c r="A161" s="541"/>
      <c r="B161" s="542" t="s">
        <v>388</v>
      </c>
      <c r="C161" s="528">
        <f t="shared" si="145"/>
        <v>35.76299999999992</v>
      </c>
      <c r="D161" s="543">
        <v>0</v>
      </c>
      <c r="E161" s="543">
        <v>0</v>
      </c>
      <c r="F161" s="543">
        <v>0</v>
      </c>
      <c r="G161" s="543">
        <v>35.76299999999992</v>
      </c>
      <c r="H161" s="543">
        <f t="shared" si="167"/>
        <v>0</v>
      </c>
      <c r="I161" s="543"/>
      <c r="J161" s="543"/>
      <c r="K161" s="543"/>
      <c r="L161" s="523">
        <f t="shared" si="147"/>
        <v>0</v>
      </c>
      <c r="M161" s="543"/>
      <c r="N161" s="543"/>
      <c r="O161" s="523">
        <f t="shared" si="169"/>
        <v>0</v>
      </c>
      <c r="P161" s="543">
        <f t="shared" si="153"/>
        <v>0</v>
      </c>
      <c r="Q161" s="543">
        <f t="shared" si="154"/>
        <v>0</v>
      </c>
      <c r="R161" s="523">
        <f t="shared" si="170"/>
        <v>0</v>
      </c>
      <c r="S161" s="523"/>
      <c r="T161" s="523"/>
      <c r="U161" s="523">
        <f t="shared" si="171"/>
        <v>0</v>
      </c>
      <c r="V161" s="543"/>
      <c r="W161" s="543"/>
      <c r="X161" s="523">
        <f>Y161+AB161+AE161+AH161</f>
        <v>35.76299999999992</v>
      </c>
      <c r="Y161" s="523">
        <f t="shared" ref="Y161" si="175">Z161+AA161</f>
        <v>0</v>
      </c>
      <c r="Z161" s="523"/>
      <c r="AA161" s="523"/>
      <c r="AB161" s="523">
        <f t="shared" ref="AB161" si="176">AC161+AD161</f>
        <v>35.76299999999992</v>
      </c>
      <c r="AC161" s="543"/>
      <c r="AD161" s="543">
        <v>35.76299999999992</v>
      </c>
      <c r="AE161" s="543"/>
      <c r="AF161" s="543"/>
      <c r="AG161" s="543"/>
      <c r="AH161" s="543"/>
      <c r="AI161" s="543"/>
      <c r="AJ161" s="543"/>
      <c r="AK161" s="543">
        <f t="shared" si="140"/>
        <v>0</v>
      </c>
      <c r="AL161" s="543">
        <f t="shared" si="141"/>
        <v>0</v>
      </c>
      <c r="AM161" s="543">
        <f t="shared" si="141"/>
        <v>0</v>
      </c>
      <c r="AN161" s="543">
        <f t="shared" si="142"/>
        <v>0</v>
      </c>
      <c r="AO161" s="543">
        <f t="shared" si="142"/>
        <v>0</v>
      </c>
      <c r="AP161" s="543">
        <f t="shared" si="143"/>
        <v>0</v>
      </c>
      <c r="AQ161" s="544"/>
      <c r="AR161" s="544"/>
    </row>
    <row r="162" spans="1:44" s="83" customFormat="1" hidden="1" outlineLevel="1">
      <c r="A162" s="541" t="s">
        <v>213</v>
      </c>
      <c r="B162" s="542" t="s">
        <v>404</v>
      </c>
      <c r="C162" s="528">
        <f t="shared" si="145"/>
        <v>1193.5598</v>
      </c>
      <c r="D162" s="543">
        <v>463.72299999999996</v>
      </c>
      <c r="E162" s="543">
        <v>51.07</v>
      </c>
      <c r="F162" s="543">
        <v>635.65880000000004</v>
      </c>
      <c r="G162" s="543">
        <v>43.108000000000033</v>
      </c>
      <c r="H162" s="543">
        <f t="shared" ref="H162:AJ162" si="177">H163+H168+H170+H172+H174</f>
        <v>0</v>
      </c>
      <c r="I162" s="543">
        <f t="shared" si="177"/>
        <v>0</v>
      </c>
      <c r="J162" s="543">
        <f t="shared" si="177"/>
        <v>0</v>
      </c>
      <c r="K162" s="543">
        <f t="shared" si="177"/>
        <v>0</v>
      </c>
      <c r="L162" s="543">
        <f t="shared" si="177"/>
        <v>0</v>
      </c>
      <c r="M162" s="543">
        <f t="shared" si="177"/>
        <v>0</v>
      </c>
      <c r="N162" s="543">
        <f t="shared" si="177"/>
        <v>0</v>
      </c>
      <c r="O162" s="543">
        <f t="shared" si="177"/>
        <v>153.08100000000013</v>
      </c>
      <c r="P162" s="543">
        <f t="shared" si="153"/>
        <v>153.08100000000013</v>
      </c>
      <c r="Q162" s="543">
        <f t="shared" si="154"/>
        <v>0</v>
      </c>
      <c r="R162" s="543">
        <f t="shared" si="177"/>
        <v>0</v>
      </c>
      <c r="S162" s="543">
        <f t="shared" si="177"/>
        <v>0</v>
      </c>
      <c r="T162" s="543">
        <f t="shared" si="177"/>
        <v>0</v>
      </c>
      <c r="U162" s="543">
        <f t="shared" si="177"/>
        <v>153.08100000000013</v>
      </c>
      <c r="V162" s="543">
        <f t="shared" si="177"/>
        <v>153.08100000000013</v>
      </c>
      <c r="W162" s="543">
        <f t="shared" si="177"/>
        <v>0</v>
      </c>
      <c r="X162" s="543">
        <f t="shared" si="177"/>
        <v>1040.0888000000004</v>
      </c>
      <c r="Y162" s="543">
        <f t="shared" si="177"/>
        <v>514.79300000000001</v>
      </c>
      <c r="Z162" s="543">
        <f t="shared" si="177"/>
        <v>463.72299999999996</v>
      </c>
      <c r="AA162" s="543">
        <f t="shared" si="177"/>
        <v>51.07</v>
      </c>
      <c r="AB162" s="543">
        <f t="shared" si="177"/>
        <v>525.29580000000033</v>
      </c>
      <c r="AC162" s="543">
        <f t="shared" si="177"/>
        <v>482.57780000000042</v>
      </c>
      <c r="AD162" s="543">
        <f t="shared" si="177"/>
        <v>42.717999999999982</v>
      </c>
      <c r="AE162" s="543">
        <f t="shared" si="177"/>
        <v>0</v>
      </c>
      <c r="AF162" s="543">
        <f t="shared" si="177"/>
        <v>0</v>
      </c>
      <c r="AG162" s="543">
        <f t="shared" si="177"/>
        <v>0</v>
      </c>
      <c r="AH162" s="543">
        <f t="shared" si="177"/>
        <v>0</v>
      </c>
      <c r="AI162" s="543">
        <f t="shared" si="177"/>
        <v>0</v>
      </c>
      <c r="AJ162" s="543">
        <f t="shared" si="177"/>
        <v>0</v>
      </c>
      <c r="AK162" s="543">
        <f t="shared" si="140"/>
        <v>0.38999999999953872</v>
      </c>
      <c r="AL162" s="543">
        <f t="shared" si="141"/>
        <v>0</v>
      </c>
      <c r="AM162" s="543">
        <f t="shared" si="141"/>
        <v>0</v>
      </c>
      <c r="AN162" s="543">
        <f t="shared" si="142"/>
        <v>-5.1159076974727213E-13</v>
      </c>
      <c r="AO162" s="543">
        <f t="shared" si="142"/>
        <v>0.39000000000005031</v>
      </c>
      <c r="AP162" s="543">
        <f t="shared" si="143"/>
        <v>-1.2079226507921703E-13</v>
      </c>
      <c r="AQ162" s="544"/>
      <c r="AR162" s="544"/>
    </row>
    <row r="163" spans="1:44" s="83" customFormat="1" ht="31.2" hidden="1" outlineLevel="1">
      <c r="A163" s="541" t="s">
        <v>405</v>
      </c>
      <c r="B163" s="542" t="s">
        <v>406</v>
      </c>
      <c r="C163" s="543">
        <f t="shared" ref="C163:AJ163" si="178">SUM(C164:C167)</f>
        <v>635.65880000000061</v>
      </c>
      <c r="D163" s="543">
        <f t="shared" si="178"/>
        <v>0</v>
      </c>
      <c r="E163" s="543">
        <f t="shared" si="178"/>
        <v>0</v>
      </c>
      <c r="F163" s="543">
        <f t="shared" si="178"/>
        <v>635.65880000000061</v>
      </c>
      <c r="G163" s="543">
        <f t="shared" si="178"/>
        <v>0</v>
      </c>
      <c r="H163" s="543">
        <f t="shared" si="178"/>
        <v>0</v>
      </c>
      <c r="I163" s="543">
        <f t="shared" si="178"/>
        <v>0</v>
      </c>
      <c r="J163" s="543">
        <f t="shared" si="178"/>
        <v>0</v>
      </c>
      <c r="K163" s="543">
        <f t="shared" si="178"/>
        <v>0</v>
      </c>
      <c r="L163" s="543">
        <f t="shared" si="178"/>
        <v>0</v>
      </c>
      <c r="M163" s="543">
        <f t="shared" si="178"/>
        <v>0</v>
      </c>
      <c r="N163" s="543">
        <f t="shared" si="178"/>
        <v>0</v>
      </c>
      <c r="O163" s="543">
        <f t="shared" si="178"/>
        <v>153.08100000000013</v>
      </c>
      <c r="P163" s="543">
        <f t="shared" si="153"/>
        <v>153.08100000000013</v>
      </c>
      <c r="Q163" s="543">
        <f t="shared" si="154"/>
        <v>0</v>
      </c>
      <c r="R163" s="543">
        <f t="shared" si="178"/>
        <v>0</v>
      </c>
      <c r="S163" s="543">
        <f t="shared" si="178"/>
        <v>0</v>
      </c>
      <c r="T163" s="543">
        <f t="shared" si="178"/>
        <v>0</v>
      </c>
      <c r="U163" s="543">
        <f t="shared" si="178"/>
        <v>153.08100000000013</v>
      </c>
      <c r="V163" s="543">
        <f t="shared" si="178"/>
        <v>153.08100000000013</v>
      </c>
      <c r="W163" s="543">
        <f t="shared" si="178"/>
        <v>0</v>
      </c>
      <c r="X163" s="543">
        <f t="shared" si="178"/>
        <v>482.57780000000042</v>
      </c>
      <c r="Y163" s="543">
        <f t="shared" si="178"/>
        <v>0</v>
      </c>
      <c r="Z163" s="543">
        <f t="shared" si="178"/>
        <v>0</v>
      </c>
      <c r="AA163" s="543">
        <f t="shared" si="178"/>
        <v>0</v>
      </c>
      <c r="AB163" s="543">
        <f t="shared" si="178"/>
        <v>482.57780000000042</v>
      </c>
      <c r="AC163" s="543">
        <f t="shared" si="178"/>
        <v>482.57780000000042</v>
      </c>
      <c r="AD163" s="543">
        <f t="shared" si="178"/>
        <v>0</v>
      </c>
      <c r="AE163" s="543">
        <f t="shared" si="178"/>
        <v>0</v>
      </c>
      <c r="AF163" s="543">
        <f t="shared" si="178"/>
        <v>0</v>
      </c>
      <c r="AG163" s="543">
        <f t="shared" si="178"/>
        <v>0</v>
      </c>
      <c r="AH163" s="543">
        <f t="shared" si="178"/>
        <v>0</v>
      </c>
      <c r="AI163" s="543">
        <f t="shared" si="178"/>
        <v>0</v>
      </c>
      <c r="AJ163" s="543">
        <f t="shared" si="178"/>
        <v>0</v>
      </c>
      <c r="AK163" s="543">
        <f t="shared" si="140"/>
        <v>5.6843418860808015E-14</v>
      </c>
      <c r="AL163" s="543">
        <f t="shared" si="141"/>
        <v>0</v>
      </c>
      <c r="AM163" s="543">
        <f t="shared" si="141"/>
        <v>0</v>
      </c>
      <c r="AN163" s="543">
        <f t="shared" si="142"/>
        <v>5.6843418860808015E-14</v>
      </c>
      <c r="AO163" s="543">
        <f t="shared" si="142"/>
        <v>0</v>
      </c>
      <c r="AP163" s="543">
        <f t="shared" si="143"/>
        <v>0</v>
      </c>
      <c r="AQ163" s="544"/>
      <c r="AR163" s="544"/>
    </row>
    <row r="164" spans="1:44" s="83" customFormat="1" hidden="1" outlineLevel="1">
      <c r="A164" s="521"/>
      <c r="B164" s="522" t="s">
        <v>188</v>
      </c>
      <c r="C164" s="528">
        <f t="shared" si="145"/>
        <v>134.51899999999986</v>
      </c>
      <c r="D164" s="523">
        <v>0</v>
      </c>
      <c r="E164" s="523">
        <v>0</v>
      </c>
      <c r="F164" s="523">
        <v>134.51899999999986</v>
      </c>
      <c r="G164" s="523">
        <v>0</v>
      </c>
      <c r="H164" s="523">
        <f t="shared" ref="H164:H167" si="179">I164+L164</f>
        <v>0</v>
      </c>
      <c r="I164" s="523">
        <f t="shared" ref="I164:I166" si="180">J164+K164</f>
        <v>0</v>
      </c>
      <c r="J164" s="523"/>
      <c r="K164" s="523">
        <v>0</v>
      </c>
      <c r="L164" s="523">
        <f t="shared" ref="L164:L166" si="181">M164+N164</f>
        <v>0</v>
      </c>
      <c r="M164" s="523"/>
      <c r="N164" s="523"/>
      <c r="O164" s="523">
        <f t="shared" si="148"/>
        <v>0</v>
      </c>
      <c r="P164" s="543">
        <f t="shared" si="153"/>
        <v>0</v>
      </c>
      <c r="Q164" s="543">
        <f t="shared" si="154"/>
        <v>0</v>
      </c>
      <c r="R164" s="523"/>
      <c r="S164" s="523"/>
      <c r="T164" s="523"/>
      <c r="U164" s="523">
        <f>V164+W164</f>
        <v>0</v>
      </c>
      <c r="V164" s="523"/>
      <c r="W164" s="523"/>
      <c r="X164" s="523">
        <f t="shared" ref="X164:X167" si="182">Y164+AB164+AE164+AH164</f>
        <v>134.51899999999986</v>
      </c>
      <c r="Y164" s="523">
        <f t="shared" si="149"/>
        <v>0</v>
      </c>
      <c r="Z164" s="523"/>
      <c r="AA164" s="523"/>
      <c r="AB164" s="523">
        <f t="shared" si="150"/>
        <v>134.51899999999986</v>
      </c>
      <c r="AC164" s="523">
        <v>134.51899999999986</v>
      </c>
      <c r="AD164" s="523"/>
      <c r="AE164" s="523">
        <f t="shared" ref="AE164:AE171" si="183">AF164+AG164</f>
        <v>0</v>
      </c>
      <c r="AF164" s="523"/>
      <c r="AG164" s="523"/>
      <c r="AH164" s="523">
        <f t="shared" ref="AH164:AH171" si="184">AI164+AJ164</f>
        <v>0</v>
      </c>
      <c r="AI164" s="523"/>
      <c r="AJ164" s="523"/>
      <c r="AK164" s="523">
        <f t="shared" si="140"/>
        <v>0</v>
      </c>
      <c r="AL164" s="523">
        <f t="shared" si="141"/>
        <v>0</v>
      </c>
      <c r="AM164" s="523">
        <f t="shared" si="141"/>
        <v>0</v>
      </c>
      <c r="AN164" s="523">
        <f t="shared" si="142"/>
        <v>0</v>
      </c>
      <c r="AO164" s="523">
        <f t="shared" si="142"/>
        <v>0</v>
      </c>
      <c r="AP164" s="523">
        <f t="shared" si="143"/>
        <v>0</v>
      </c>
      <c r="AQ164" s="524"/>
      <c r="AR164" s="524"/>
    </row>
    <row r="165" spans="1:44" s="83" customFormat="1" hidden="1" outlineLevel="1">
      <c r="A165" s="521"/>
      <c r="B165" s="522" t="s">
        <v>197</v>
      </c>
      <c r="C165" s="528">
        <f t="shared" si="145"/>
        <v>36.832800000000233</v>
      </c>
      <c r="D165" s="523">
        <v>0</v>
      </c>
      <c r="E165" s="523">
        <v>0</v>
      </c>
      <c r="F165" s="523">
        <v>36.832800000000233</v>
      </c>
      <c r="G165" s="523">
        <v>0</v>
      </c>
      <c r="H165" s="523">
        <f t="shared" si="179"/>
        <v>0</v>
      </c>
      <c r="I165" s="523">
        <f t="shared" si="180"/>
        <v>0</v>
      </c>
      <c r="J165" s="523"/>
      <c r="K165" s="523">
        <v>0</v>
      </c>
      <c r="L165" s="523">
        <f t="shared" si="181"/>
        <v>0</v>
      </c>
      <c r="M165" s="523"/>
      <c r="N165" s="523"/>
      <c r="O165" s="523">
        <f t="shared" si="148"/>
        <v>0</v>
      </c>
      <c r="P165" s="543">
        <f t="shared" si="153"/>
        <v>0</v>
      </c>
      <c r="Q165" s="543">
        <f t="shared" si="154"/>
        <v>0</v>
      </c>
      <c r="R165" s="523"/>
      <c r="S165" s="523"/>
      <c r="T165" s="523"/>
      <c r="U165" s="523">
        <f t="shared" ref="U165:U166" si="185">V165+W165</f>
        <v>0</v>
      </c>
      <c r="V165" s="523"/>
      <c r="W165" s="523"/>
      <c r="X165" s="523">
        <f t="shared" si="182"/>
        <v>36.832800000000233</v>
      </c>
      <c r="Y165" s="523">
        <f t="shared" si="149"/>
        <v>0</v>
      </c>
      <c r="Z165" s="523"/>
      <c r="AA165" s="523"/>
      <c r="AB165" s="523">
        <f t="shared" si="150"/>
        <v>36.832800000000233</v>
      </c>
      <c r="AC165" s="523">
        <v>36.832800000000233</v>
      </c>
      <c r="AD165" s="523"/>
      <c r="AE165" s="523">
        <f t="shared" si="183"/>
        <v>0</v>
      </c>
      <c r="AF165" s="523"/>
      <c r="AG165" s="523"/>
      <c r="AH165" s="523">
        <f t="shared" si="184"/>
        <v>0</v>
      </c>
      <c r="AI165" s="523"/>
      <c r="AJ165" s="523"/>
      <c r="AK165" s="523">
        <f t="shared" si="140"/>
        <v>0</v>
      </c>
      <c r="AL165" s="523">
        <f t="shared" ref="AL165:AM175" si="186">D165+J165-S165-Z165-AF165</f>
        <v>0</v>
      </c>
      <c r="AM165" s="523">
        <f t="shared" si="186"/>
        <v>0</v>
      </c>
      <c r="AN165" s="523">
        <f t="shared" ref="AN165:AO175" si="187">F165+M165-V165-AC165-AI165</f>
        <v>0</v>
      </c>
      <c r="AO165" s="523">
        <f t="shared" si="187"/>
        <v>0</v>
      </c>
      <c r="AP165" s="523">
        <f t="shared" si="143"/>
        <v>0</v>
      </c>
      <c r="AQ165" s="524"/>
      <c r="AR165" s="524"/>
    </row>
    <row r="166" spans="1:44" s="83" customFormat="1" hidden="1" outlineLevel="1">
      <c r="A166" s="521"/>
      <c r="B166" s="522" t="s">
        <v>388</v>
      </c>
      <c r="C166" s="528">
        <f t="shared" si="145"/>
        <v>311.22600000000034</v>
      </c>
      <c r="D166" s="523">
        <v>0</v>
      </c>
      <c r="E166" s="523">
        <v>0</v>
      </c>
      <c r="F166" s="523">
        <v>311.22600000000034</v>
      </c>
      <c r="G166" s="523">
        <v>0</v>
      </c>
      <c r="H166" s="523">
        <f t="shared" si="179"/>
        <v>0</v>
      </c>
      <c r="I166" s="523">
        <f t="shared" si="180"/>
        <v>0</v>
      </c>
      <c r="J166" s="523"/>
      <c r="K166" s="523">
        <v>0</v>
      </c>
      <c r="L166" s="523">
        <f t="shared" si="181"/>
        <v>0</v>
      </c>
      <c r="M166" s="523"/>
      <c r="N166" s="523"/>
      <c r="O166" s="523">
        <f t="shared" si="148"/>
        <v>0</v>
      </c>
      <c r="P166" s="543">
        <f t="shared" si="153"/>
        <v>0</v>
      </c>
      <c r="Q166" s="543">
        <f t="shared" si="154"/>
        <v>0</v>
      </c>
      <c r="R166" s="523"/>
      <c r="S166" s="523"/>
      <c r="T166" s="523"/>
      <c r="U166" s="523">
        <f t="shared" si="185"/>
        <v>0</v>
      </c>
      <c r="V166" s="523"/>
      <c r="W166" s="523"/>
      <c r="X166" s="523">
        <f t="shared" si="182"/>
        <v>311.22600000000034</v>
      </c>
      <c r="Y166" s="523">
        <f t="shared" si="149"/>
        <v>0</v>
      </c>
      <c r="Z166" s="523"/>
      <c r="AA166" s="523"/>
      <c r="AB166" s="523">
        <f t="shared" si="150"/>
        <v>311.22600000000034</v>
      </c>
      <c r="AC166" s="523">
        <v>311.22600000000034</v>
      </c>
      <c r="AD166" s="523"/>
      <c r="AE166" s="523">
        <f t="shared" si="183"/>
        <v>0</v>
      </c>
      <c r="AF166" s="523"/>
      <c r="AG166" s="523"/>
      <c r="AH166" s="523">
        <f t="shared" si="184"/>
        <v>0</v>
      </c>
      <c r="AI166" s="523"/>
      <c r="AJ166" s="523"/>
      <c r="AK166" s="523">
        <f t="shared" si="140"/>
        <v>0</v>
      </c>
      <c r="AL166" s="523">
        <f t="shared" si="186"/>
        <v>0</v>
      </c>
      <c r="AM166" s="523">
        <f t="shared" si="186"/>
        <v>0</v>
      </c>
      <c r="AN166" s="523">
        <f t="shared" si="187"/>
        <v>0</v>
      </c>
      <c r="AO166" s="523">
        <f t="shared" si="187"/>
        <v>0</v>
      </c>
      <c r="AP166" s="523">
        <f t="shared" si="143"/>
        <v>0</v>
      </c>
      <c r="AQ166" s="524"/>
      <c r="AR166" s="524"/>
    </row>
    <row r="167" spans="1:44" s="83" customFormat="1" hidden="1" outlineLevel="1">
      <c r="A167" s="521"/>
      <c r="B167" s="522" t="s">
        <v>199</v>
      </c>
      <c r="C167" s="528">
        <f t="shared" si="145"/>
        <v>153.08100000000013</v>
      </c>
      <c r="D167" s="523">
        <v>0</v>
      </c>
      <c r="E167" s="523">
        <v>0</v>
      </c>
      <c r="F167" s="523">
        <v>153.08100000000013</v>
      </c>
      <c r="G167" s="523">
        <v>0</v>
      </c>
      <c r="H167" s="523">
        <f t="shared" si="179"/>
        <v>0</v>
      </c>
      <c r="I167" s="523">
        <f>J167+K167</f>
        <v>0</v>
      </c>
      <c r="J167" s="523"/>
      <c r="K167" s="523"/>
      <c r="L167" s="523">
        <f>M167+N167</f>
        <v>0</v>
      </c>
      <c r="M167" s="523"/>
      <c r="N167" s="523"/>
      <c r="O167" s="523">
        <f>R167+U167</f>
        <v>153.08100000000013</v>
      </c>
      <c r="P167" s="543">
        <f t="shared" si="153"/>
        <v>153.08100000000013</v>
      </c>
      <c r="Q167" s="543">
        <f t="shared" si="154"/>
        <v>0</v>
      </c>
      <c r="R167" s="523"/>
      <c r="S167" s="523"/>
      <c r="T167" s="523"/>
      <c r="U167" s="523">
        <f>V167+W167</f>
        <v>153.08100000000013</v>
      </c>
      <c r="V167" s="523">
        <v>153.08100000000013</v>
      </c>
      <c r="W167" s="523"/>
      <c r="X167" s="523">
        <f t="shared" si="182"/>
        <v>0</v>
      </c>
      <c r="Y167" s="523">
        <f>Z167+AA167</f>
        <v>0</v>
      </c>
      <c r="Z167" s="523"/>
      <c r="AA167" s="523"/>
      <c r="AB167" s="523">
        <f>AC167+AD167</f>
        <v>0</v>
      </c>
      <c r="AC167" s="523"/>
      <c r="AD167" s="523"/>
      <c r="AE167" s="523">
        <f t="shared" si="183"/>
        <v>0</v>
      </c>
      <c r="AF167" s="523"/>
      <c r="AG167" s="523"/>
      <c r="AH167" s="523">
        <f t="shared" si="184"/>
        <v>0</v>
      </c>
      <c r="AI167" s="523"/>
      <c r="AJ167" s="523"/>
      <c r="AK167" s="523">
        <f t="shared" si="140"/>
        <v>0</v>
      </c>
      <c r="AL167" s="523">
        <f t="shared" si="186"/>
        <v>0</v>
      </c>
      <c r="AM167" s="523">
        <f t="shared" si="186"/>
        <v>0</v>
      </c>
      <c r="AN167" s="523">
        <f t="shared" si="187"/>
        <v>0</v>
      </c>
      <c r="AO167" s="523">
        <f t="shared" si="187"/>
        <v>0</v>
      </c>
      <c r="AP167" s="523">
        <f t="shared" si="143"/>
        <v>0</v>
      </c>
      <c r="AQ167" s="524"/>
      <c r="AR167" s="524"/>
    </row>
    <row r="168" spans="1:44" s="83" customFormat="1" hidden="1" outlineLevel="1">
      <c r="A168" s="526" t="s">
        <v>408</v>
      </c>
      <c r="B168" s="542" t="s">
        <v>409</v>
      </c>
      <c r="C168" s="528">
        <f t="shared" si="145"/>
        <v>23.817999999999984</v>
      </c>
      <c r="D168" s="543">
        <v>0</v>
      </c>
      <c r="E168" s="543">
        <v>0</v>
      </c>
      <c r="F168" s="543">
        <v>0</v>
      </c>
      <c r="G168" s="543">
        <f>G169</f>
        <v>23.817999999999984</v>
      </c>
      <c r="H168" s="543">
        <f t="shared" ref="H168:AJ168" si="188">SUM(H169:H169)</f>
        <v>0</v>
      </c>
      <c r="I168" s="543">
        <f t="shared" si="188"/>
        <v>0</v>
      </c>
      <c r="J168" s="543">
        <f t="shared" si="188"/>
        <v>0</v>
      </c>
      <c r="K168" s="543">
        <f t="shared" si="188"/>
        <v>0</v>
      </c>
      <c r="L168" s="543">
        <f t="shared" si="188"/>
        <v>0</v>
      </c>
      <c r="M168" s="543">
        <f t="shared" si="188"/>
        <v>0</v>
      </c>
      <c r="N168" s="543">
        <f t="shared" si="188"/>
        <v>0</v>
      </c>
      <c r="O168" s="543">
        <f t="shared" si="188"/>
        <v>0</v>
      </c>
      <c r="P168" s="543">
        <f t="shared" si="153"/>
        <v>0</v>
      </c>
      <c r="Q168" s="543">
        <f t="shared" si="154"/>
        <v>0</v>
      </c>
      <c r="R168" s="543">
        <f t="shared" si="188"/>
        <v>0</v>
      </c>
      <c r="S168" s="543">
        <f t="shared" si="188"/>
        <v>0</v>
      </c>
      <c r="T168" s="543">
        <f t="shared" si="188"/>
        <v>0</v>
      </c>
      <c r="U168" s="543">
        <f t="shared" si="188"/>
        <v>0</v>
      </c>
      <c r="V168" s="543">
        <f t="shared" si="188"/>
        <v>0</v>
      </c>
      <c r="W168" s="543">
        <f t="shared" si="188"/>
        <v>0</v>
      </c>
      <c r="X168" s="543">
        <f t="shared" si="188"/>
        <v>23.817999999999984</v>
      </c>
      <c r="Y168" s="543">
        <f t="shared" si="188"/>
        <v>0</v>
      </c>
      <c r="Z168" s="543">
        <f t="shared" si="188"/>
        <v>0</v>
      </c>
      <c r="AA168" s="543">
        <f t="shared" si="188"/>
        <v>0</v>
      </c>
      <c r="AB168" s="543">
        <f t="shared" si="188"/>
        <v>23.817999999999984</v>
      </c>
      <c r="AC168" s="543">
        <f t="shared" si="188"/>
        <v>0</v>
      </c>
      <c r="AD168" s="543">
        <f t="shared" si="188"/>
        <v>23.817999999999984</v>
      </c>
      <c r="AE168" s="543">
        <f t="shared" si="188"/>
        <v>0</v>
      </c>
      <c r="AF168" s="543">
        <f t="shared" si="188"/>
        <v>0</v>
      </c>
      <c r="AG168" s="543">
        <f t="shared" si="188"/>
        <v>0</v>
      </c>
      <c r="AH168" s="543">
        <f t="shared" si="188"/>
        <v>0</v>
      </c>
      <c r="AI168" s="543">
        <f t="shared" si="188"/>
        <v>0</v>
      </c>
      <c r="AJ168" s="543">
        <f t="shared" si="188"/>
        <v>0</v>
      </c>
      <c r="AK168" s="543">
        <f t="shared" si="140"/>
        <v>0</v>
      </c>
      <c r="AL168" s="543">
        <f t="shared" si="186"/>
        <v>0</v>
      </c>
      <c r="AM168" s="543">
        <f t="shared" si="186"/>
        <v>0</v>
      </c>
      <c r="AN168" s="543">
        <f t="shared" si="187"/>
        <v>0</v>
      </c>
      <c r="AO168" s="543">
        <f t="shared" si="187"/>
        <v>0</v>
      </c>
      <c r="AP168" s="543">
        <f t="shared" si="143"/>
        <v>0</v>
      </c>
      <c r="AQ168" s="544"/>
      <c r="AR168" s="544"/>
    </row>
    <row r="169" spans="1:44" s="83" customFormat="1" hidden="1" outlineLevel="1">
      <c r="A169" s="521"/>
      <c r="B169" s="522" t="s">
        <v>388</v>
      </c>
      <c r="C169" s="528">
        <f t="shared" si="145"/>
        <v>23.817999999999984</v>
      </c>
      <c r="D169" s="523">
        <v>0</v>
      </c>
      <c r="E169" s="523">
        <v>0</v>
      </c>
      <c r="F169" s="523">
        <v>0</v>
      </c>
      <c r="G169" s="523">
        <v>23.817999999999984</v>
      </c>
      <c r="H169" s="523">
        <f t="shared" ref="H169" si="189">I169+L169</f>
        <v>0</v>
      </c>
      <c r="I169" s="523">
        <f t="shared" ref="I169" si="190">J169+K169</f>
        <v>0</v>
      </c>
      <c r="J169" s="523"/>
      <c r="K169" s="523">
        <v>0</v>
      </c>
      <c r="L169" s="523">
        <f t="shared" ref="L169" si="191">M169+N169</f>
        <v>0</v>
      </c>
      <c r="M169" s="523"/>
      <c r="N169" s="523"/>
      <c r="O169" s="523">
        <f t="shared" si="148"/>
        <v>0</v>
      </c>
      <c r="P169" s="543">
        <f t="shared" si="153"/>
        <v>0</v>
      </c>
      <c r="Q169" s="543">
        <f t="shared" si="154"/>
        <v>0</v>
      </c>
      <c r="R169" s="523"/>
      <c r="S169" s="523"/>
      <c r="T169" s="523"/>
      <c r="U169" s="523">
        <f>SUM(V169:W169)</f>
        <v>0</v>
      </c>
      <c r="V169" s="523"/>
      <c r="W169" s="523"/>
      <c r="X169" s="523">
        <f t="shared" ref="X169" si="192">Y169+AB169+AE169+AH169</f>
        <v>23.817999999999984</v>
      </c>
      <c r="Y169" s="523">
        <f t="shared" si="149"/>
        <v>0</v>
      </c>
      <c r="Z169" s="523"/>
      <c r="AA169" s="523"/>
      <c r="AB169" s="523">
        <f t="shared" si="150"/>
        <v>23.817999999999984</v>
      </c>
      <c r="AC169" s="523"/>
      <c r="AD169" s="523">
        <v>23.817999999999984</v>
      </c>
      <c r="AE169" s="523">
        <f t="shared" si="183"/>
        <v>0</v>
      </c>
      <c r="AF169" s="523"/>
      <c r="AG169" s="523"/>
      <c r="AH169" s="523">
        <f t="shared" si="184"/>
        <v>0</v>
      </c>
      <c r="AI169" s="523"/>
      <c r="AJ169" s="523"/>
      <c r="AK169" s="523">
        <f t="shared" si="140"/>
        <v>0</v>
      </c>
      <c r="AL169" s="523">
        <f t="shared" si="186"/>
        <v>0</v>
      </c>
      <c r="AM169" s="523">
        <f t="shared" si="186"/>
        <v>0</v>
      </c>
      <c r="AN169" s="523">
        <f t="shared" si="187"/>
        <v>0</v>
      </c>
      <c r="AO169" s="523">
        <f t="shared" si="187"/>
        <v>0</v>
      </c>
      <c r="AP169" s="523">
        <f t="shared" si="143"/>
        <v>0</v>
      </c>
      <c r="AQ169" s="524"/>
      <c r="AR169" s="524"/>
    </row>
    <row r="170" spans="1:44" s="83" customFormat="1" hidden="1" outlineLevel="1">
      <c r="A170" s="526" t="s">
        <v>410</v>
      </c>
      <c r="B170" s="536" t="s">
        <v>395</v>
      </c>
      <c r="C170" s="528">
        <f t="shared" si="145"/>
        <v>9.9999999999999982</v>
      </c>
      <c r="D170" s="546">
        <v>0</v>
      </c>
      <c r="E170" s="546">
        <v>0</v>
      </c>
      <c r="F170" s="546">
        <v>0</v>
      </c>
      <c r="G170" s="546">
        <f>G171</f>
        <v>9.9999999999999982</v>
      </c>
      <c r="H170" s="546">
        <f t="shared" ref="H170:AO170" si="193">H171</f>
        <v>0</v>
      </c>
      <c r="I170" s="546">
        <f t="shared" si="193"/>
        <v>0</v>
      </c>
      <c r="J170" s="546">
        <f t="shared" si="193"/>
        <v>0</v>
      </c>
      <c r="K170" s="546">
        <f t="shared" si="193"/>
        <v>0</v>
      </c>
      <c r="L170" s="546">
        <f t="shared" si="193"/>
        <v>0</v>
      </c>
      <c r="M170" s="546">
        <f t="shared" si="193"/>
        <v>0</v>
      </c>
      <c r="N170" s="546">
        <f t="shared" si="193"/>
        <v>0</v>
      </c>
      <c r="O170" s="546">
        <f t="shared" si="193"/>
        <v>0</v>
      </c>
      <c r="P170" s="543">
        <f t="shared" si="153"/>
        <v>0</v>
      </c>
      <c r="Q170" s="543">
        <f t="shared" si="154"/>
        <v>0</v>
      </c>
      <c r="R170" s="546">
        <f t="shared" si="193"/>
        <v>0</v>
      </c>
      <c r="S170" s="546">
        <f t="shared" si="193"/>
        <v>0</v>
      </c>
      <c r="T170" s="546">
        <f t="shared" si="193"/>
        <v>0</v>
      </c>
      <c r="U170" s="546">
        <f t="shared" si="193"/>
        <v>0</v>
      </c>
      <c r="V170" s="546">
        <f t="shared" si="193"/>
        <v>0</v>
      </c>
      <c r="W170" s="546">
        <f t="shared" si="193"/>
        <v>0</v>
      </c>
      <c r="X170" s="546">
        <f t="shared" si="193"/>
        <v>9.9999999999999982</v>
      </c>
      <c r="Y170" s="546">
        <f t="shared" si="193"/>
        <v>0</v>
      </c>
      <c r="Z170" s="546">
        <f t="shared" si="193"/>
        <v>0</v>
      </c>
      <c r="AA170" s="546">
        <f t="shared" si="193"/>
        <v>0</v>
      </c>
      <c r="AB170" s="546">
        <f t="shared" si="193"/>
        <v>9.9999999999999982</v>
      </c>
      <c r="AC170" s="546">
        <f t="shared" si="193"/>
        <v>0</v>
      </c>
      <c r="AD170" s="546">
        <f t="shared" si="193"/>
        <v>9.9999999999999982</v>
      </c>
      <c r="AE170" s="546">
        <f t="shared" si="193"/>
        <v>0</v>
      </c>
      <c r="AF170" s="546">
        <f t="shared" si="193"/>
        <v>0</v>
      </c>
      <c r="AG170" s="546">
        <f t="shared" si="193"/>
        <v>0</v>
      </c>
      <c r="AH170" s="546">
        <f t="shared" si="193"/>
        <v>0</v>
      </c>
      <c r="AI170" s="546">
        <f t="shared" si="193"/>
        <v>0</v>
      </c>
      <c r="AJ170" s="546">
        <f t="shared" si="193"/>
        <v>0</v>
      </c>
      <c r="AK170" s="546">
        <f t="shared" si="193"/>
        <v>0</v>
      </c>
      <c r="AL170" s="546">
        <f t="shared" si="193"/>
        <v>0</v>
      </c>
      <c r="AM170" s="546">
        <f t="shared" si="193"/>
        <v>0</v>
      </c>
      <c r="AN170" s="546">
        <f t="shared" si="193"/>
        <v>0</v>
      </c>
      <c r="AO170" s="546">
        <f t="shared" si="193"/>
        <v>0</v>
      </c>
      <c r="AP170" s="546">
        <f t="shared" si="143"/>
        <v>0</v>
      </c>
      <c r="AQ170" s="547"/>
      <c r="AR170" s="547"/>
    </row>
    <row r="171" spans="1:44" s="83" customFormat="1" hidden="1" outlineLevel="1">
      <c r="A171" s="521"/>
      <c r="B171" s="522" t="s">
        <v>197</v>
      </c>
      <c r="C171" s="528">
        <f t="shared" si="145"/>
        <v>9.9999999999999982</v>
      </c>
      <c r="D171" s="523">
        <v>0</v>
      </c>
      <c r="E171" s="523">
        <v>0</v>
      </c>
      <c r="F171" s="523">
        <v>0</v>
      </c>
      <c r="G171" s="523">
        <v>9.9999999999999982</v>
      </c>
      <c r="H171" s="523">
        <f t="shared" ref="H171" si="194">I171+L171</f>
        <v>0</v>
      </c>
      <c r="I171" s="523">
        <f t="shared" ref="I171" si="195">J171+K171</f>
        <v>0</v>
      </c>
      <c r="J171" s="523"/>
      <c r="K171" s="523">
        <v>0</v>
      </c>
      <c r="L171" s="523">
        <f t="shared" ref="L171" si="196">M171+N171</f>
        <v>0</v>
      </c>
      <c r="M171" s="523"/>
      <c r="N171" s="523"/>
      <c r="O171" s="523">
        <f t="shared" ref="O171" si="197">R171+U171</f>
        <v>0</v>
      </c>
      <c r="P171" s="543">
        <f t="shared" si="153"/>
        <v>0</v>
      </c>
      <c r="Q171" s="543">
        <f t="shared" si="154"/>
        <v>0</v>
      </c>
      <c r="R171" s="523"/>
      <c r="S171" s="523"/>
      <c r="T171" s="523"/>
      <c r="U171" s="523">
        <f>V171+W171</f>
        <v>0</v>
      </c>
      <c r="V171" s="523"/>
      <c r="W171" s="523"/>
      <c r="X171" s="523">
        <f t="shared" ref="X171" si="198">Y171+AB171+AE171+AH171</f>
        <v>9.9999999999999982</v>
      </c>
      <c r="Y171" s="523">
        <f t="shared" ref="Y171" si="199">Z171+AA171</f>
        <v>0</v>
      </c>
      <c r="Z171" s="523"/>
      <c r="AA171" s="523"/>
      <c r="AB171" s="523">
        <f t="shared" ref="AB171" si="200">AC171+AD171</f>
        <v>9.9999999999999982</v>
      </c>
      <c r="AC171" s="523"/>
      <c r="AD171" s="523">
        <v>9.9999999999999982</v>
      </c>
      <c r="AE171" s="523">
        <f t="shared" si="183"/>
        <v>0</v>
      </c>
      <c r="AF171" s="523"/>
      <c r="AG171" s="523"/>
      <c r="AH171" s="523">
        <f t="shared" si="184"/>
        <v>0</v>
      </c>
      <c r="AI171" s="523"/>
      <c r="AJ171" s="523"/>
      <c r="AK171" s="523">
        <f t="shared" ref="AK171:AK233" si="201">SUM(AL171:AO171)</f>
        <v>0</v>
      </c>
      <c r="AL171" s="523">
        <f t="shared" si="186"/>
        <v>0</v>
      </c>
      <c r="AM171" s="523">
        <f t="shared" si="186"/>
        <v>0</v>
      </c>
      <c r="AN171" s="523">
        <f t="shared" si="187"/>
        <v>0</v>
      </c>
      <c r="AO171" s="523">
        <f t="shared" si="187"/>
        <v>0</v>
      </c>
      <c r="AP171" s="523">
        <f t="shared" si="143"/>
        <v>0</v>
      </c>
      <c r="AQ171" s="524"/>
      <c r="AR171" s="524"/>
    </row>
    <row r="172" spans="1:44" s="83" customFormat="1" hidden="1" outlineLevel="1">
      <c r="A172" s="549" t="s">
        <v>411</v>
      </c>
      <c r="B172" s="522" t="s">
        <v>412</v>
      </c>
      <c r="C172" s="528">
        <f t="shared" si="145"/>
        <v>8.9</v>
      </c>
      <c r="D172" s="523">
        <v>0</v>
      </c>
      <c r="E172" s="523">
        <v>0</v>
      </c>
      <c r="F172" s="523">
        <v>0</v>
      </c>
      <c r="G172" s="523">
        <v>8.9</v>
      </c>
      <c r="H172" s="523">
        <f>H173</f>
        <v>0</v>
      </c>
      <c r="I172" s="523">
        <f t="shared" ref="I172:AJ172" si="202">I173</f>
        <v>0</v>
      </c>
      <c r="J172" s="523">
        <f t="shared" si="202"/>
        <v>0</v>
      </c>
      <c r="K172" s="523">
        <f t="shared" si="202"/>
        <v>0</v>
      </c>
      <c r="L172" s="523">
        <f t="shared" si="202"/>
        <v>0</v>
      </c>
      <c r="M172" s="523">
        <f t="shared" si="202"/>
        <v>0</v>
      </c>
      <c r="N172" s="523">
        <f t="shared" si="202"/>
        <v>0</v>
      </c>
      <c r="O172" s="523">
        <f t="shared" si="202"/>
        <v>0</v>
      </c>
      <c r="P172" s="543">
        <f t="shared" si="153"/>
        <v>0</v>
      </c>
      <c r="Q172" s="543">
        <f t="shared" si="154"/>
        <v>0</v>
      </c>
      <c r="R172" s="523">
        <f t="shared" si="202"/>
        <v>0</v>
      </c>
      <c r="S172" s="523">
        <f t="shared" si="202"/>
        <v>0</v>
      </c>
      <c r="T172" s="523">
        <f t="shared" si="202"/>
        <v>0</v>
      </c>
      <c r="U172" s="523">
        <f t="shared" si="202"/>
        <v>0</v>
      </c>
      <c r="V172" s="523">
        <f t="shared" si="202"/>
        <v>0</v>
      </c>
      <c r="W172" s="523">
        <f t="shared" si="202"/>
        <v>0</v>
      </c>
      <c r="X172" s="523">
        <f t="shared" si="202"/>
        <v>8.9</v>
      </c>
      <c r="Y172" s="523">
        <f t="shared" si="202"/>
        <v>0</v>
      </c>
      <c r="Z172" s="523">
        <f t="shared" si="202"/>
        <v>0</v>
      </c>
      <c r="AA172" s="523">
        <f t="shared" si="202"/>
        <v>0</v>
      </c>
      <c r="AB172" s="523">
        <f t="shared" si="202"/>
        <v>8.9</v>
      </c>
      <c r="AC172" s="523">
        <f t="shared" si="202"/>
        <v>0</v>
      </c>
      <c r="AD172" s="523">
        <f t="shared" si="202"/>
        <v>8.9</v>
      </c>
      <c r="AE172" s="523">
        <f t="shared" si="202"/>
        <v>0</v>
      </c>
      <c r="AF172" s="523">
        <f t="shared" si="202"/>
        <v>0</v>
      </c>
      <c r="AG172" s="523">
        <f t="shared" si="202"/>
        <v>0</v>
      </c>
      <c r="AH172" s="523">
        <f t="shared" si="202"/>
        <v>0</v>
      </c>
      <c r="AI172" s="523">
        <f t="shared" si="202"/>
        <v>0</v>
      </c>
      <c r="AJ172" s="523">
        <f t="shared" si="202"/>
        <v>0</v>
      </c>
      <c r="AK172" s="523">
        <f t="shared" si="201"/>
        <v>0</v>
      </c>
      <c r="AL172" s="523">
        <f t="shared" si="186"/>
        <v>0</v>
      </c>
      <c r="AM172" s="523">
        <f t="shared" si="186"/>
        <v>0</v>
      </c>
      <c r="AN172" s="523">
        <f t="shared" si="187"/>
        <v>0</v>
      </c>
      <c r="AO172" s="523">
        <f t="shared" si="187"/>
        <v>0</v>
      </c>
      <c r="AP172" s="523">
        <f t="shared" si="143"/>
        <v>0</v>
      </c>
      <c r="AQ172" s="524"/>
      <c r="AR172" s="524"/>
    </row>
    <row r="173" spans="1:44" s="83" customFormat="1" hidden="1" outlineLevel="1">
      <c r="A173" s="521"/>
      <c r="B173" s="522" t="s">
        <v>402</v>
      </c>
      <c r="C173" s="528">
        <f t="shared" si="145"/>
        <v>8.9</v>
      </c>
      <c r="D173" s="523">
        <v>0</v>
      </c>
      <c r="E173" s="523">
        <v>0</v>
      </c>
      <c r="F173" s="523">
        <v>0</v>
      </c>
      <c r="G173" s="548">
        <v>8.9</v>
      </c>
      <c r="H173" s="523">
        <f>I173+L173</f>
        <v>0</v>
      </c>
      <c r="I173" s="523"/>
      <c r="J173" s="523"/>
      <c r="K173" s="523"/>
      <c r="L173" s="523"/>
      <c r="M173" s="523"/>
      <c r="N173" s="523"/>
      <c r="O173" s="523"/>
      <c r="P173" s="543">
        <f t="shared" si="153"/>
        <v>0</v>
      </c>
      <c r="Q173" s="543">
        <f t="shared" si="154"/>
        <v>0</v>
      </c>
      <c r="R173" s="523"/>
      <c r="S173" s="523"/>
      <c r="T173" s="523"/>
      <c r="U173" s="523"/>
      <c r="V173" s="523"/>
      <c r="W173" s="523"/>
      <c r="X173" s="523">
        <f>Y173+AB173+AE173+AH173</f>
        <v>8.9</v>
      </c>
      <c r="Y173" s="523"/>
      <c r="Z173" s="523"/>
      <c r="AA173" s="523"/>
      <c r="AB173" s="523">
        <f>AC173+AD173</f>
        <v>8.9</v>
      </c>
      <c r="AC173" s="523"/>
      <c r="AD173" s="523">
        <v>8.9</v>
      </c>
      <c r="AE173" s="523"/>
      <c r="AF173" s="523"/>
      <c r="AG173" s="523"/>
      <c r="AH173" s="523">
        <f>AI173+AJ173</f>
        <v>0</v>
      </c>
      <c r="AI173" s="523"/>
      <c r="AJ173" s="523"/>
      <c r="AK173" s="523">
        <f t="shared" si="201"/>
        <v>0</v>
      </c>
      <c r="AL173" s="523">
        <f t="shared" si="186"/>
        <v>0</v>
      </c>
      <c r="AM173" s="523">
        <f t="shared" si="186"/>
        <v>0</v>
      </c>
      <c r="AN173" s="523">
        <f t="shared" si="187"/>
        <v>0</v>
      </c>
      <c r="AO173" s="548">
        <f t="shared" si="187"/>
        <v>0</v>
      </c>
      <c r="AP173" s="548">
        <f t="shared" si="143"/>
        <v>0</v>
      </c>
      <c r="AQ173" s="550"/>
      <c r="AR173" s="550"/>
    </row>
    <row r="174" spans="1:44" s="83" customFormat="1" hidden="1" outlineLevel="1">
      <c r="A174" s="549" t="s">
        <v>413</v>
      </c>
      <c r="B174" s="522" t="s">
        <v>398</v>
      </c>
      <c r="C174" s="528">
        <f t="shared" si="145"/>
        <v>514.79300000000001</v>
      </c>
      <c r="D174" s="523">
        <v>463.72299999999996</v>
      </c>
      <c r="E174" s="523">
        <v>51.07</v>
      </c>
      <c r="F174" s="523">
        <v>0</v>
      </c>
      <c r="G174" s="523">
        <v>0</v>
      </c>
      <c r="H174" s="523">
        <f>H175</f>
        <v>0</v>
      </c>
      <c r="I174" s="523">
        <f t="shared" ref="I174:AJ174" si="203">I175</f>
        <v>0</v>
      </c>
      <c r="J174" s="523">
        <f t="shared" si="203"/>
        <v>0</v>
      </c>
      <c r="K174" s="523">
        <f t="shared" si="203"/>
        <v>0</v>
      </c>
      <c r="L174" s="523">
        <f t="shared" si="203"/>
        <v>0</v>
      </c>
      <c r="M174" s="523">
        <f t="shared" si="203"/>
        <v>0</v>
      </c>
      <c r="N174" s="523">
        <f t="shared" si="203"/>
        <v>0</v>
      </c>
      <c r="O174" s="523">
        <f t="shared" si="203"/>
        <v>0</v>
      </c>
      <c r="P174" s="543">
        <f t="shared" si="153"/>
        <v>0</v>
      </c>
      <c r="Q174" s="543">
        <f t="shared" si="154"/>
        <v>0</v>
      </c>
      <c r="R174" s="523">
        <f t="shared" si="203"/>
        <v>0</v>
      </c>
      <c r="S174" s="523">
        <f t="shared" si="203"/>
        <v>0</v>
      </c>
      <c r="T174" s="523">
        <f t="shared" si="203"/>
        <v>0</v>
      </c>
      <c r="U174" s="523">
        <f t="shared" si="203"/>
        <v>0</v>
      </c>
      <c r="V174" s="523">
        <f t="shared" si="203"/>
        <v>0</v>
      </c>
      <c r="W174" s="523">
        <f t="shared" si="203"/>
        <v>0</v>
      </c>
      <c r="X174" s="523">
        <f t="shared" si="203"/>
        <v>514.79300000000001</v>
      </c>
      <c r="Y174" s="523">
        <f t="shared" si="203"/>
        <v>514.79300000000001</v>
      </c>
      <c r="Z174" s="523">
        <f t="shared" si="203"/>
        <v>463.72299999999996</v>
      </c>
      <c r="AA174" s="523">
        <f t="shared" si="203"/>
        <v>51.07</v>
      </c>
      <c r="AB174" s="523">
        <f t="shared" si="203"/>
        <v>0</v>
      </c>
      <c r="AC174" s="523">
        <f t="shared" si="203"/>
        <v>0</v>
      </c>
      <c r="AD174" s="523">
        <f t="shared" si="203"/>
        <v>0</v>
      </c>
      <c r="AE174" s="523">
        <f t="shared" si="203"/>
        <v>0</v>
      </c>
      <c r="AF174" s="523">
        <f t="shared" si="203"/>
        <v>0</v>
      </c>
      <c r="AG174" s="523">
        <f t="shared" si="203"/>
        <v>0</v>
      </c>
      <c r="AH174" s="523">
        <f t="shared" si="203"/>
        <v>0</v>
      </c>
      <c r="AI174" s="523">
        <f t="shared" si="203"/>
        <v>0</v>
      </c>
      <c r="AJ174" s="523">
        <f t="shared" si="203"/>
        <v>0</v>
      </c>
      <c r="AK174" s="523">
        <f t="shared" si="201"/>
        <v>0</v>
      </c>
      <c r="AL174" s="523">
        <f t="shared" si="186"/>
        <v>0</v>
      </c>
      <c r="AM174" s="523">
        <f t="shared" si="186"/>
        <v>0</v>
      </c>
      <c r="AN174" s="523">
        <f t="shared" si="187"/>
        <v>0</v>
      </c>
      <c r="AO174" s="523">
        <f t="shared" si="187"/>
        <v>0</v>
      </c>
      <c r="AP174" s="523">
        <f t="shared" si="143"/>
        <v>0</v>
      </c>
      <c r="AQ174" s="524"/>
      <c r="AR174" s="524"/>
    </row>
    <row r="175" spans="1:44" s="83" customFormat="1" ht="31.2" hidden="1" outlineLevel="1">
      <c r="A175" s="549"/>
      <c r="B175" s="522" t="s">
        <v>414</v>
      </c>
      <c r="C175" s="528">
        <f t="shared" si="145"/>
        <v>514.79300000000001</v>
      </c>
      <c r="D175" s="523">
        <v>463.72299999999996</v>
      </c>
      <c r="E175" s="523">
        <v>51.07</v>
      </c>
      <c r="F175" s="523">
        <v>0</v>
      </c>
      <c r="G175" s="523">
        <v>0</v>
      </c>
      <c r="H175" s="523"/>
      <c r="I175" s="523"/>
      <c r="J175" s="523"/>
      <c r="K175" s="523"/>
      <c r="L175" s="523"/>
      <c r="M175" s="523"/>
      <c r="N175" s="523"/>
      <c r="O175" s="523"/>
      <c r="P175" s="543">
        <f t="shared" si="153"/>
        <v>0</v>
      </c>
      <c r="Q175" s="543">
        <f t="shared" si="154"/>
        <v>0</v>
      </c>
      <c r="R175" s="523"/>
      <c r="S175" s="523"/>
      <c r="T175" s="523"/>
      <c r="U175" s="523"/>
      <c r="V175" s="523"/>
      <c r="W175" s="523"/>
      <c r="X175" s="523">
        <f>Y175+AB175</f>
        <v>514.79300000000001</v>
      </c>
      <c r="Y175" s="523">
        <f>Z175+AA175</f>
        <v>514.79300000000001</v>
      </c>
      <c r="Z175" s="523">
        <v>463.72299999999996</v>
      </c>
      <c r="AA175" s="523">
        <v>51.07</v>
      </c>
      <c r="AB175" s="523"/>
      <c r="AC175" s="523"/>
      <c r="AD175" s="523"/>
      <c r="AE175" s="523"/>
      <c r="AF175" s="523"/>
      <c r="AG175" s="523"/>
      <c r="AH175" s="523"/>
      <c r="AI175" s="523"/>
      <c r="AJ175" s="523"/>
      <c r="AK175" s="523">
        <f t="shared" si="201"/>
        <v>0</v>
      </c>
      <c r="AL175" s="523">
        <f t="shared" si="186"/>
        <v>0</v>
      </c>
      <c r="AM175" s="523">
        <f t="shared" si="186"/>
        <v>0</v>
      </c>
      <c r="AN175" s="523">
        <f t="shared" si="187"/>
        <v>0</v>
      </c>
      <c r="AO175" s="523">
        <f t="shared" si="187"/>
        <v>0</v>
      </c>
      <c r="AP175" s="523">
        <f t="shared" si="143"/>
        <v>0</v>
      </c>
      <c r="AQ175" s="524"/>
      <c r="AR175" s="524"/>
    </row>
    <row r="176" spans="1:44" s="83" customFormat="1" ht="31.2" hidden="1" outlineLevel="1">
      <c r="A176" s="541">
        <v>4</v>
      </c>
      <c r="B176" s="542" t="s">
        <v>415</v>
      </c>
      <c r="C176" s="528">
        <f t="shared" ref="C176:C238" si="204">SUM(D176:G176)</f>
        <v>103.929</v>
      </c>
      <c r="D176" s="543">
        <v>0</v>
      </c>
      <c r="E176" s="543">
        <v>103.929</v>
      </c>
      <c r="F176" s="543">
        <v>0</v>
      </c>
      <c r="G176" s="543">
        <v>0</v>
      </c>
      <c r="H176" s="543">
        <f t="shared" ref="H176:AO176" si="205">SUM(H177:H177)</f>
        <v>0</v>
      </c>
      <c r="I176" s="543">
        <f t="shared" si="205"/>
        <v>0</v>
      </c>
      <c r="J176" s="543">
        <f t="shared" si="205"/>
        <v>0</v>
      </c>
      <c r="K176" s="543">
        <f t="shared" si="205"/>
        <v>0</v>
      </c>
      <c r="L176" s="543">
        <f t="shared" si="205"/>
        <v>0</v>
      </c>
      <c r="M176" s="543">
        <f t="shared" si="205"/>
        <v>0</v>
      </c>
      <c r="N176" s="543">
        <f t="shared" si="205"/>
        <v>0</v>
      </c>
      <c r="O176" s="543">
        <f t="shared" si="205"/>
        <v>0</v>
      </c>
      <c r="P176" s="543">
        <f t="shared" si="153"/>
        <v>0</v>
      </c>
      <c r="Q176" s="543">
        <f t="shared" si="154"/>
        <v>0</v>
      </c>
      <c r="R176" s="543">
        <f t="shared" si="205"/>
        <v>0</v>
      </c>
      <c r="S176" s="543">
        <f t="shared" si="205"/>
        <v>0</v>
      </c>
      <c r="T176" s="543">
        <f t="shared" si="205"/>
        <v>0</v>
      </c>
      <c r="U176" s="543">
        <f t="shared" si="205"/>
        <v>0</v>
      </c>
      <c r="V176" s="543">
        <f t="shared" si="205"/>
        <v>0</v>
      </c>
      <c r="W176" s="543">
        <f t="shared" si="205"/>
        <v>0</v>
      </c>
      <c r="X176" s="543">
        <f t="shared" si="205"/>
        <v>103.929</v>
      </c>
      <c r="Y176" s="543">
        <f t="shared" si="205"/>
        <v>103.929</v>
      </c>
      <c r="Z176" s="543">
        <f t="shared" si="205"/>
        <v>0</v>
      </c>
      <c r="AA176" s="543">
        <f t="shared" si="205"/>
        <v>103.929</v>
      </c>
      <c r="AB176" s="543">
        <f t="shared" si="205"/>
        <v>0</v>
      </c>
      <c r="AC176" s="543">
        <f t="shared" si="205"/>
        <v>0</v>
      </c>
      <c r="AD176" s="543">
        <f t="shared" si="205"/>
        <v>0</v>
      </c>
      <c r="AE176" s="543">
        <f t="shared" si="205"/>
        <v>0</v>
      </c>
      <c r="AF176" s="543">
        <f t="shared" si="205"/>
        <v>0</v>
      </c>
      <c r="AG176" s="543">
        <f t="shared" si="205"/>
        <v>0</v>
      </c>
      <c r="AH176" s="543">
        <f t="shared" si="205"/>
        <v>0</v>
      </c>
      <c r="AI176" s="543">
        <f t="shared" si="205"/>
        <v>0</v>
      </c>
      <c r="AJ176" s="543">
        <f t="shared" si="205"/>
        <v>0</v>
      </c>
      <c r="AK176" s="543">
        <f t="shared" si="205"/>
        <v>0</v>
      </c>
      <c r="AL176" s="543">
        <f t="shared" si="205"/>
        <v>0</v>
      </c>
      <c r="AM176" s="543">
        <f t="shared" si="205"/>
        <v>0</v>
      </c>
      <c r="AN176" s="543">
        <f t="shared" si="205"/>
        <v>0</v>
      </c>
      <c r="AO176" s="543">
        <f t="shared" si="205"/>
        <v>0</v>
      </c>
      <c r="AP176" s="543">
        <f t="shared" si="143"/>
        <v>0</v>
      </c>
      <c r="AQ176" s="544"/>
      <c r="AR176" s="544"/>
    </row>
    <row r="177" spans="1:44" s="83" customFormat="1" hidden="1" outlineLevel="1">
      <c r="A177" s="521"/>
      <c r="B177" s="522" t="s">
        <v>416</v>
      </c>
      <c r="C177" s="528">
        <f t="shared" si="204"/>
        <v>103.929</v>
      </c>
      <c r="D177" s="523">
        <v>0</v>
      </c>
      <c r="E177" s="523">
        <v>103.929</v>
      </c>
      <c r="F177" s="523">
        <v>0</v>
      </c>
      <c r="G177" s="523">
        <v>0</v>
      </c>
      <c r="H177" s="523"/>
      <c r="I177" s="523"/>
      <c r="J177" s="523"/>
      <c r="K177" s="523"/>
      <c r="L177" s="523"/>
      <c r="M177" s="523"/>
      <c r="N177" s="523"/>
      <c r="O177" s="523"/>
      <c r="P177" s="543">
        <f t="shared" si="153"/>
        <v>0</v>
      </c>
      <c r="Q177" s="543">
        <f t="shared" si="154"/>
        <v>0</v>
      </c>
      <c r="R177" s="523"/>
      <c r="S177" s="523"/>
      <c r="T177" s="523"/>
      <c r="U177" s="523"/>
      <c r="V177" s="523"/>
      <c r="W177" s="523"/>
      <c r="X177" s="523">
        <f>Y177+AB177</f>
        <v>103.929</v>
      </c>
      <c r="Y177" s="523">
        <f>Z177+AA177</f>
        <v>103.929</v>
      </c>
      <c r="Z177" s="523"/>
      <c r="AA177" s="523">
        <v>103.929</v>
      </c>
      <c r="AB177" s="523"/>
      <c r="AC177" s="523"/>
      <c r="AD177" s="523"/>
      <c r="AE177" s="523"/>
      <c r="AF177" s="523"/>
      <c r="AG177" s="523"/>
      <c r="AH177" s="523"/>
      <c r="AI177" s="523"/>
      <c r="AJ177" s="523"/>
      <c r="AK177" s="523">
        <f t="shared" si="201"/>
        <v>0</v>
      </c>
      <c r="AL177" s="523">
        <f t="shared" ref="AL177:AM226" si="206">D177+J177-S177-Z177-AF177</f>
        <v>0</v>
      </c>
      <c r="AM177" s="523">
        <f t="shared" si="206"/>
        <v>0</v>
      </c>
      <c r="AN177" s="523">
        <f t="shared" ref="AN177:AO230" si="207">F177+M177-V177-AC177-AI177</f>
        <v>0</v>
      </c>
      <c r="AO177" s="523">
        <f t="shared" si="207"/>
        <v>0</v>
      </c>
      <c r="AP177" s="523">
        <f t="shared" si="143"/>
        <v>0</v>
      </c>
      <c r="AQ177" s="524"/>
      <c r="AR177" s="524"/>
    </row>
    <row r="178" spans="1:44" s="84" customFormat="1" collapsed="1">
      <c r="A178" s="551" t="s">
        <v>29</v>
      </c>
      <c r="B178" s="540" t="s">
        <v>417</v>
      </c>
      <c r="C178" s="531">
        <f t="shared" si="204"/>
        <v>12219.199775999999</v>
      </c>
      <c r="D178" s="534">
        <v>11639.199775999999</v>
      </c>
      <c r="E178" s="534">
        <v>500</v>
      </c>
      <c r="F178" s="534">
        <v>0</v>
      </c>
      <c r="G178" s="534">
        <v>80</v>
      </c>
      <c r="H178" s="534">
        <f t="shared" ref="H178:AJ178" si="208">SUM(H179:H182)</f>
        <v>0</v>
      </c>
      <c r="I178" s="534">
        <f t="shared" si="208"/>
        <v>0</v>
      </c>
      <c r="J178" s="534">
        <f t="shared" si="208"/>
        <v>0</v>
      </c>
      <c r="K178" s="534">
        <f t="shared" si="208"/>
        <v>0</v>
      </c>
      <c r="L178" s="534">
        <f t="shared" si="208"/>
        <v>0</v>
      </c>
      <c r="M178" s="534">
        <f t="shared" si="208"/>
        <v>0</v>
      </c>
      <c r="N178" s="534">
        <f t="shared" si="208"/>
        <v>0</v>
      </c>
      <c r="O178" s="534">
        <f t="shared" si="208"/>
        <v>11571.443890999999</v>
      </c>
      <c r="P178" s="543">
        <f t="shared" si="153"/>
        <v>11571.443890999999</v>
      </c>
      <c r="Q178" s="543">
        <f t="shared" si="154"/>
        <v>0</v>
      </c>
      <c r="R178" s="534">
        <f t="shared" si="208"/>
        <v>11571.443890999999</v>
      </c>
      <c r="S178" s="534">
        <f t="shared" si="208"/>
        <v>11571.443890999999</v>
      </c>
      <c r="T178" s="534">
        <f t="shared" si="208"/>
        <v>0</v>
      </c>
      <c r="U178" s="534">
        <f t="shared" si="208"/>
        <v>0</v>
      </c>
      <c r="V178" s="534">
        <f t="shared" si="208"/>
        <v>0</v>
      </c>
      <c r="W178" s="534">
        <f t="shared" si="208"/>
        <v>0</v>
      </c>
      <c r="X178" s="534">
        <f t="shared" si="208"/>
        <v>580</v>
      </c>
      <c r="Y178" s="534">
        <f t="shared" si="208"/>
        <v>500</v>
      </c>
      <c r="Z178" s="534">
        <f t="shared" si="208"/>
        <v>0</v>
      </c>
      <c r="AA178" s="534">
        <f t="shared" si="208"/>
        <v>500</v>
      </c>
      <c r="AB178" s="534">
        <f t="shared" si="208"/>
        <v>80</v>
      </c>
      <c r="AC178" s="534">
        <f t="shared" si="208"/>
        <v>0</v>
      </c>
      <c r="AD178" s="534">
        <f t="shared" si="208"/>
        <v>80</v>
      </c>
      <c r="AE178" s="534">
        <f t="shared" si="208"/>
        <v>0</v>
      </c>
      <c r="AF178" s="534">
        <f t="shared" si="208"/>
        <v>0</v>
      </c>
      <c r="AG178" s="534">
        <f t="shared" si="208"/>
        <v>0</v>
      </c>
      <c r="AH178" s="534">
        <f t="shared" si="208"/>
        <v>0</v>
      </c>
      <c r="AI178" s="534">
        <f t="shared" si="208"/>
        <v>0</v>
      </c>
      <c r="AJ178" s="534">
        <f t="shared" si="208"/>
        <v>0</v>
      </c>
      <c r="AK178" s="534">
        <f t="shared" si="201"/>
        <v>67.75588500000049</v>
      </c>
      <c r="AL178" s="534">
        <f t="shared" si="206"/>
        <v>67.75588500000049</v>
      </c>
      <c r="AM178" s="534">
        <f t="shared" si="206"/>
        <v>0</v>
      </c>
      <c r="AN178" s="534">
        <f t="shared" si="207"/>
        <v>0</v>
      </c>
      <c r="AO178" s="534">
        <f t="shared" si="207"/>
        <v>0</v>
      </c>
      <c r="AP178" s="534">
        <f t="shared" si="143"/>
        <v>0</v>
      </c>
      <c r="AQ178" s="537"/>
      <c r="AR178" s="537"/>
    </row>
    <row r="179" spans="1:44" s="83" customFormat="1" hidden="1" outlineLevel="1">
      <c r="A179" s="521"/>
      <c r="B179" s="522" t="s">
        <v>178</v>
      </c>
      <c r="C179" s="528">
        <f t="shared" si="204"/>
        <v>500</v>
      </c>
      <c r="D179" s="523">
        <v>0</v>
      </c>
      <c r="E179" s="523">
        <v>500</v>
      </c>
      <c r="F179" s="523">
        <v>0</v>
      </c>
      <c r="G179" s="523">
        <v>0</v>
      </c>
      <c r="H179" s="523">
        <f>I179+L179</f>
        <v>0</v>
      </c>
      <c r="I179" s="523">
        <f>J179+K179</f>
        <v>0</v>
      </c>
      <c r="J179" s="523"/>
      <c r="K179" s="523"/>
      <c r="L179" s="523"/>
      <c r="M179" s="523"/>
      <c r="N179" s="523"/>
      <c r="O179" s="523">
        <f t="shared" ref="O179:O182" si="209">R179+U179</f>
        <v>0</v>
      </c>
      <c r="P179" s="543">
        <f t="shared" si="153"/>
        <v>0</v>
      </c>
      <c r="Q179" s="543">
        <f t="shared" si="154"/>
        <v>0</v>
      </c>
      <c r="R179" s="523">
        <f t="shared" ref="R179:R182" si="210">S179+T179</f>
        <v>0</v>
      </c>
      <c r="S179" s="523"/>
      <c r="T179" s="523"/>
      <c r="U179" s="523">
        <f t="shared" ref="U179:U182" si="211">V179+W179</f>
        <v>0</v>
      </c>
      <c r="V179" s="523"/>
      <c r="W179" s="523"/>
      <c r="X179" s="523">
        <f>Y179+AB179</f>
        <v>500</v>
      </c>
      <c r="Y179" s="523">
        <f>Z179+AA179</f>
        <v>500</v>
      </c>
      <c r="Z179" s="523"/>
      <c r="AA179" s="523">
        <v>500</v>
      </c>
      <c r="AB179" s="523"/>
      <c r="AC179" s="523"/>
      <c r="AD179" s="523"/>
      <c r="AE179" s="523"/>
      <c r="AF179" s="523"/>
      <c r="AG179" s="523"/>
      <c r="AH179" s="523"/>
      <c r="AI179" s="523"/>
      <c r="AJ179" s="523"/>
      <c r="AK179" s="523">
        <f t="shared" si="201"/>
        <v>0</v>
      </c>
      <c r="AL179" s="523">
        <f t="shared" si="206"/>
        <v>0</v>
      </c>
      <c r="AM179" s="523">
        <f t="shared" si="206"/>
        <v>0</v>
      </c>
      <c r="AN179" s="523">
        <f t="shared" si="207"/>
        <v>0</v>
      </c>
      <c r="AO179" s="523">
        <f t="shared" si="207"/>
        <v>0</v>
      </c>
      <c r="AP179" s="523">
        <f t="shared" si="143"/>
        <v>0</v>
      </c>
      <c r="AQ179" s="524"/>
      <c r="AR179" s="524"/>
    </row>
    <row r="180" spans="1:44" s="83" customFormat="1" hidden="1" outlineLevel="1">
      <c r="A180" s="521"/>
      <c r="B180" s="522" t="s">
        <v>188</v>
      </c>
      <c r="C180" s="528">
        <f t="shared" si="204"/>
        <v>32.888195999999994</v>
      </c>
      <c r="D180" s="523">
        <v>32.888195999999994</v>
      </c>
      <c r="E180" s="523">
        <v>0</v>
      </c>
      <c r="F180" s="523">
        <v>0</v>
      </c>
      <c r="G180" s="523">
        <v>0</v>
      </c>
      <c r="H180" s="523">
        <f>I180+L180</f>
        <v>0</v>
      </c>
      <c r="I180" s="523">
        <f>J180+K180</f>
        <v>0</v>
      </c>
      <c r="J180" s="523"/>
      <c r="K180" s="523">
        <v>0</v>
      </c>
      <c r="L180" s="523">
        <f>M180+N180</f>
        <v>0</v>
      </c>
      <c r="M180" s="523"/>
      <c r="N180" s="523"/>
      <c r="O180" s="523">
        <f t="shared" si="209"/>
        <v>0</v>
      </c>
      <c r="P180" s="543">
        <f t="shared" si="153"/>
        <v>0</v>
      </c>
      <c r="Q180" s="543">
        <f t="shared" si="154"/>
        <v>0</v>
      </c>
      <c r="R180" s="523">
        <f t="shared" si="210"/>
        <v>0</v>
      </c>
      <c r="S180" s="523"/>
      <c r="T180" s="523"/>
      <c r="U180" s="523">
        <f t="shared" si="211"/>
        <v>0</v>
      </c>
      <c r="V180" s="523"/>
      <c r="W180" s="523"/>
      <c r="X180" s="523"/>
      <c r="Y180" s="523"/>
      <c r="Z180" s="523"/>
      <c r="AA180" s="523"/>
      <c r="AB180" s="523"/>
      <c r="AC180" s="523"/>
      <c r="AD180" s="523"/>
      <c r="AE180" s="523"/>
      <c r="AF180" s="523"/>
      <c r="AG180" s="523"/>
      <c r="AH180" s="523"/>
      <c r="AI180" s="523"/>
      <c r="AJ180" s="523"/>
      <c r="AK180" s="523">
        <f t="shared" si="201"/>
        <v>32.888195999999994</v>
      </c>
      <c r="AL180" s="523">
        <f t="shared" si="206"/>
        <v>32.888195999999994</v>
      </c>
      <c r="AM180" s="523">
        <f t="shared" si="206"/>
        <v>0</v>
      </c>
      <c r="AN180" s="523">
        <f t="shared" si="207"/>
        <v>0</v>
      </c>
      <c r="AO180" s="523">
        <f t="shared" si="207"/>
        <v>0</v>
      </c>
      <c r="AP180" s="523">
        <f t="shared" si="143"/>
        <v>0</v>
      </c>
      <c r="AQ180" s="524"/>
      <c r="AR180" s="524"/>
    </row>
    <row r="181" spans="1:44" s="83" customFormat="1" hidden="1" outlineLevel="1">
      <c r="A181" s="521"/>
      <c r="B181" s="522" t="s">
        <v>200</v>
      </c>
      <c r="C181" s="528">
        <f t="shared" si="204"/>
        <v>10606.31158</v>
      </c>
      <c r="D181" s="523">
        <v>10606.31158</v>
      </c>
      <c r="E181" s="523">
        <v>0</v>
      </c>
      <c r="F181" s="523">
        <v>0</v>
      </c>
      <c r="G181" s="523">
        <v>0</v>
      </c>
      <c r="H181" s="523">
        <f t="shared" ref="H181:H182" si="212">I181+L181</f>
        <v>0</v>
      </c>
      <c r="I181" s="523">
        <f t="shared" ref="I181:I182" si="213">J181+K181</f>
        <v>0</v>
      </c>
      <c r="J181" s="523"/>
      <c r="K181" s="523">
        <v>0</v>
      </c>
      <c r="L181" s="523">
        <f t="shared" ref="L181:L182" si="214">M181+N181</f>
        <v>0</v>
      </c>
      <c r="M181" s="523"/>
      <c r="N181" s="523"/>
      <c r="O181" s="523">
        <f t="shared" si="209"/>
        <v>10572.928891</v>
      </c>
      <c r="P181" s="543">
        <f t="shared" si="153"/>
        <v>10572.928891</v>
      </c>
      <c r="Q181" s="543">
        <f t="shared" si="154"/>
        <v>0</v>
      </c>
      <c r="R181" s="523">
        <f t="shared" si="210"/>
        <v>10572.928891</v>
      </c>
      <c r="S181" s="523">
        <v>10572.928891</v>
      </c>
      <c r="T181" s="523"/>
      <c r="U181" s="523">
        <f t="shared" si="211"/>
        <v>0</v>
      </c>
      <c r="V181" s="523"/>
      <c r="W181" s="523"/>
      <c r="X181" s="523"/>
      <c r="Y181" s="523"/>
      <c r="Z181" s="523"/>
      <c r="AA181" s="523"/>
      <c r="AB181" s="523"/>
      <c r="AC181" s="523"/>
      <c r="AD181" s="523"/>
      <c r="AE181" s="523"/>
      <c r="AF181" s="523"/>
      <c r="AG181" s="523"/>
      <c r="AH181" s="523"/>
      <c r="AI181" s="523"/>
      <c r="AJ181" s="523"/>
      <c r="AK181" s="523">
        <f t="shared" si="201"/>
        <v>33.382689000000028</v>
      </c>
      <c r="AL181" s="523">
        <f t="shared" si="206"/>
        <v>33.382689000000028</v>
      </c>
      <c r="AM181" s="523">
        <f t="shared" si="206"/>
        <v>0</v>
      </c>
      <c r="AN181" s="523">
        <f t="shared" si="207"/>
        <v>0</v>
      </c>
      <c r="AO181" s="523">
        <f t="shared" si="207"/>
        <v>0</v>
      </c>
      <c r="AP181" s="523">
        <f t="shared" si="143"/>
        <v>0</v>
      </c>
      <c r="AQ181" s="524"/>
      <c r="AR181" s="524"/>
    </row>
    <row r="182" spans="1:44" s="83" customFormat="1" hidden="1" outlineLevel="1">
      <c r="A182" s="521"/>
      <c r="B182" s="522" t="s">
        <v>197</v>
      </c>
      <c r="C182" s="528">
        <f t="shared" si="204"/>
        <v>1080</v>
      </c>
      <c r="D182" s="523">
        <v>1000</v>
      </c>
      <c r="E182" s="523">
        <v>0</v>
      </c>
      <c r="F182" s="523">
        <v>0</v>
      </c>
      <c r="G182" s="523">
        <v>80</v>
      </c>
      <c r="H182" s="523">
        <f t="shared" si="212"/>
        <v>0</v>
      </c>
      <c r="I182" s="523">
        <f t="shared" si="213"/>
        <v>0</v>
      </c>
      <c r="J182" s="523"/>
      <c r="K182" s="523">
        <v>0</v>
      </c>
      <c r="L182" s="523">
        <f t="shared" si="214"/>
        <v>0</v>
      </c>
      <c r="M182" s="523"/>
      <c r="N182" s="523"/>
      <c r="O182" s="523">
        <f t="shared" si="209"/>
        <v>998.51499999999999</v>
      </c>
      <c r="P182" s="543">
        <f t="shared" si="153"/>
        <v>998.51499999999999</v>
      </c>
      <c r="Q182" s="543">
        <f t="shared" si="154"/>
        <v>0</v>
      </c>
      <c r="R182" s="523">
        <f t="shared" si="210"/>
        <v>998.51499999999999</v>
      </c>
      <c r="S182" s="523">
        <v>998.51499999999999</v>
      </c>
      <c r="T182" s="523"/>
      <c r="U182" s="523">
        <f t="shared" si="211"/>
        <v>0</v>
      </c>
      <c r="V182" s="523"/>
      <c r="W182" s="523"/>
      <c r="X182" s="523">
        <f>Y182+AB182</f>
        <v>80</v>
      </c>
      <c r="Y182" s="523">
        <f>Z182+AA182</f>
        <v>0</v>
      </c>
      <c r="Z182" s="523"/>
      <c r="AA182" s="523"/>
      <c r="AB182" s="523">
        <f>AC182+AD182</f>
        <v>80</v>
      </c>
      <c r="AC182" s="523"/>
      <c r="AD182" s="523">
        <v>80</v>
      </c>
      <c r="AE182" s="523"/>
      <c r="AF182" s="523"/>
      <c r="AG182" s="523"/>
      <c r="AH182" s="523"/>
      <c r="AI182" s="523"/>
      <c r="AJ182" s="523"/>
      <c r="AK182" s="523">
        <f t="shared" si="201"/>
        <v>1.4850000000000136</v>
      </c>
      <c r="AL182" s="523">
        <f t="shared" si="206"/>
        <v>1.4850000000000136</v>
      </c>
      <c r="AM182" s="523">
        <f t="shared" si="206"/>
        <v>0</v>
      </c>
      <c r="AN182" s="523">
        <f t="shared" si="207"/>
        <v>0</v>
      </c>
      <c r="AO182" s="523">
        <f t="shared" si="207"/>
        <v>0</v>
      </c>
      <c r="AP182" s="523">
        <f t="shared" si="143"/>
        <v>0</v>
      </c>
      <c r="AQ182" s="524"/>
      <c r="AR182" s="524"/>
    </row>
    <row r="183" spans="1:44" s="84" customFormat="1" ht="31.2" collapsed="1">
      <c r="A183" s="517" t="s">
        <v>8</v>
      </c>
      <c r="B183" s="552" t="s">
        <v>418</v>
      </c>
      <c r="C183" s="534">
        <f t="shared" ref="C183:AO183" si="215">C184+C225</f>
        <v>187851.02558500005</v>
      </c>
      <c r="D183" s="534">
        <f t="shared" si="215"/>
        <v>187851.02558500005</v>
      </c>
      <c r="E183" s="534">
        <f t="shared" si="215"/>
        <v>0</v>
      </c>
      <c r="F183" s="534">
        <f t="shared" si="215"/>
        <v>0</v>
      </c>
      <c r="G183" s="534">
        <f t="shared" si="215"/>
        <v>0</v>
      </c>
      <c r="H183" s="534">
        <f t="shared" si="215"/>
        <v>1282416</v>
      </c>
      <c r="I183" s="534">
        <f t="shared" si="215"/>
        <v>1255683</v>
      </c>
      <c r="J183" s="534">
        <f t="shared" si="215"/>
        <v>1255683</v>
      </c>
      <c r="K183" s="534">
        <f t="shared" si="215"/>
        <v>0</v>
      </c>
      <c r="L183" s="534">
        <f t="shared" si="215"/>
        <v>26733</v>
      </c>
      <c r="M183" s="534">
        <f t="shared" si="215"/>
        <v>26733</v>
      </c>
      <c r="N183" s="534">
        <f t="shared" si="215"/>
        <v>0</v>
      </c>
      <c r="O183" s="537">
        <f t="shared" si="215"/>
        <v>649068.96748400002</v>
      </c>
      <c r="P183" s="520">
        <f t="shared" si="153"/>
        <v>649068.96748400002</v>
      </c>
      <c r="Q183" s="520">
        <f t="shared" si="154"/>
        <v>0</v>
      </c>
      <c r="R183" s="534">
        <f t="shared" si="215"/>
        <v>622498.96748400002</v>
      </c>
      <c r="S183" s="534">
        <f>S184+S225</f>
        <v>622498.96748400002</v>
      </c>
      <c r="T183" s="534">
        <f t="shared" si="215"/>
        <v>0</v>
      </c>
      <c r="U183" s="534">
        <f t="shared" si="215"/>
        <v>26570</v>
      </c>
      <c r="V183" s="534">
        <f t="shared" si="215"/>
        <v>26570</v>
      </c>
      <c r="W183" s="534">
        <f t="shared" si="215"/>
        <v>0</v>
      </c>
      <c r="X183" s="534">
        <f t="shared" si="215"/>
        <v>1778.5945590000001</v>
      </c>
      <c r="Y183" s="534">
        <f t="shared" si="215"/>
        <v>1778.5945590000001</v>
      </c>
      <c r="Z183" s="534">
        <f t="shared" si="215"/>
        <v>1778.5945590000001</v>
      </c>
      <c r="AA183" s="534">
        <f t="shared" si="215"/>
        <v>0</v>
      </c>
      <c r="AB183" s="534">
        <f t="shared" si="215"/>
        <v>0</v>
      </c>
      <c r="AC183" s="534">
        <f t="shared" si="215"/>
        <v>0</v>
      </c>
      <c r="AD183" s="534">
        <f t="shared" si="215"/>
        <v>0</v>
      </c>
      <c r="AE183" s="534">
        <f t="shared" si="215"/>
        <v>0</v>
      </c>
      <c r="AF183" s="534">
        <f t="shared" si="215"/>
        <v>0</v>
      </c>
      <c r="AG183" s="534">
        <f t="shared" si="215"/>
        <v>0</v>
      </c>
      <c r="AH183" s="534">
        <f t="shared" si="215"/>
        <v>0</v>
      </c>
      <c r="AI183" s="534">
        <f t="shared" si="215"/>
        <v>0</v>
      </c>
      <c r="AJ183" s="534">
        <f t="shared" si="215"/>
        <v>0</v>
      </c>
      <c r="AK183" s="534">
        <f t="shared" si="215"/>
        <v>684125.45354200003</v>
      </c>
      <c r="AL183" s="534">
        <f t="shared" si="215"/>
        <v>683962.45354200003</v>
      </c>
      <c r="AM183" s="534">
        <f t="shared" si="215"/>
        <v>0</v>
      </c>
      <c r="AN183" s="534">
        <f t="shared" si="215"/>
        <v>163</v>
      </c>
      <c r="AO183" s="534">
        <f t="shared" si="215"/>
        <v>0</v>
      </c>
      <c r="AP183" s="534">
        <f t="shared" si="143"/>
        <v>135294.00999999989</v>
      </c>
      <c r="AQ183" s="537"/>
      <c r="AR183" s="537"/>
    </row>
    <row r="184" spans="1:44" s="84" customFormat="1">
      <c r="A184" s="517" t="s">
        <v>419</v>
      </c>
      <c r="B184" s="553" t="s">
        <v>365</v>
      </c>
      <c r="C184" s="519">
        <f t="shared" ref="C184:AO184" si="216">C185+C220</f>
        <v>76001.371304000029</v>
      </c>
      <c r="D184" s="519">
        <f t="shared" si="216"/>
        <v>76001.371304000029</v>
      </c>
      <c r="E184" s="519">
        <f t="shared" si="216"/>
        <v>0</v>
      </c>
      <c r="F184" s="519">
        <f t="shared" si="216"/>
        <v>0</v>
      </c>
      <c r="G184" s="519">
        <f t="shared" si="216"/>
        <v>0</v>
      </c>
      <c r="H184" s="519">
        <f>H185+H220</f>
        <v>1262488</v>
      </c>
      <c r="I184" s="519">
        <f t="shared" si="216"/>
        <v>1235755</v>
      </c>
      <c r="J184" s="519">
        <f t="shared" si="216"/>
        <v>1235755</v>
      </c>
      <c r="K184" s="519">
        <f t="shared" si="216"/>
        <v>0</v>
      </c>
      <c r="L184" s="519">
        <f t="shared" si="216"/>
        <v>26733</v>
      </c>
      <c r="M184" s="519">
        <f t="shared" si="216"/>
        <v>26733</v>
      </c>
      <c r="N184" s="519">
        <f t="shared" si="216"/>
        <v>0</v>
      </c>
      <c r="O184" s="519">
        <f t="shared" si="216"/>
        <v>555529.83630700002</v>
      </c>
      <c r="P184" s="519">
        <f t="shared" si="153"/>
        <v>555529.83630700002</v>
      </c>
      <c r="Q184" s="519">
        <f t="shared" si="154"/>
        <v>0</v>
      </c>
      <c r="R184" s="519">
        <f t="shared" si="216"/>
        <v>528959.83630700002</v>
      </c>
      <c r="S184" s="519">
        <f t="shared" si="216"/>
        <v>528959.83630700002</v>
      </c>
      <c r="T184" s="519">
        <f t="shared" si="216"/>
        <v>0</v>
      </c>
      <c r="U184" s="519">
        <f t="shared" si="216"/>
        <v>26570</v>
      </c>
      <c r="V184" s="519">
        <f t="shared" si="216"/>
        <v>26570</v>
      </c>
      <c r="W184" s="519">
        <f t="shared" si="216"/>
        <v>0</v>
      </c>
      <c r="X184" s="519">
        <f t="shared" si="216"/>
        <v>933.05055900000002</v>
      </c>
      <c r="Y184" s="519">
        <f t="shared" si="216"/>
        <v>933.05055900000002</v>
      </c>
      <c r="Z184" s="519">
        <f t="shared" si="216"/>
        <v>933.05055900000002</v>
      </c>
      <c r="AA184" s="519">
        <f t="shared" si="216"/>
        <v>0</v>
      </c>
      <c r="AB184" s="519">
        <f t="shared" si="216"/>
        <v>0</v>
      </c>
      <c r="AC184" s="519">
        <f t="shared" si="216"/>
        <v>0</v>
      </c>
      <c r="AD184" s="519">
        <f t="shared" si="216"/>
        <v>0</v>
      </c>
      <c r="AE184" s="519">
        <f t="shared" si="216"/>
        <v>0</v>
      </c>
      <c r="AF184" s="519">
        <f t="shared" si="216"/>
        <v>0</v>
      </c>
      <c r="AG184" s="519">
        <f t="shared" si="216"/>
        <v>0</v>
      </c>
      <c r="AH184" s="519">
        <f t="shared" si="216"/>
        <v>0</v>
      </c>
      <c r="AI184" s="519">
        <f t="shared" si="216"/>
        <v>0</v>
      </c>
      <c r="AJ184" s="519">
        <f t="shared" si="216"/>
        <v>0</v>
      </c>
      <c r="AK184" s="519">
        <f t="shared" si="216"/>
        <v>646732.474438</v>
      </c>
      <c r="AL184" s="519">
        <f t="shared" si="216"/>
        <v>646569.474438</v>
      </c>
      <c r="AM184" s="519">
        <f t="shared" si="216"/>
        <v>0</v>
      </c>
      <c r="AN184" s="519">
        <f t="shared" si="216"/>
        <v>163</v>
      </c>
      <c r="AO184" s="519">
        <f t="shared" si="216"/>
        <v>0</v>
      </c>
      <c r="AP184" s="519">
        <f t="shared" si="143"/>
        <v>135294.01</v>
      </c>
      <c r="AQ184" s="520"/>
      <c r="AR184" s="520"/>
    </row>
    <row r="185" spans="1:44" s="84" customFormat="1">
      <c r="A185" s="517" t="s">
        <v>420</v>
      </c>
      <c r="B185" s="553" t="s">
        <v>421</v>
      </c>
      <c r="C185" s="519">
        <f>SUM(C186:C207)</f>
        <v>75778.682304000031</v>
      </c>
      <c r="D185" s="519">
        <f>SUM(D186:D207)</f>
        <v>75778.682304000031</v>
      </c>
      <c r="E185" s="519">
        <f t="shared" ref="E185:G185" si="217">SUM(E186:E207)</f>
        <v>0</v>
      </c>
      <c r="F185" s="519">
        <f t="shared" si="217"/>
        <v>0</v>
      </c>
      <c r="G185" s="519">
        <f t="shared" si="217"/>
        <v>0</v>
      </c>
      <c r="H185" s="519">
        <f t="shared" ref="H185:I185" si="218">SUM(H186:H209)</f>
        <v>904378</v>
      </c>
      <c r="I185" s="519">
        <f t="shared" si="218"/>
        <v>877645</v>
      </c>
      <c r="J185" s="519">
        <f>SUM(J186:J209)</f>
        <v>877645</v>
      </c>
      <c r="K185" s="519">
        <f t="shared" ref="K185:AO185" si="219">SUM(K186:K209)</f>
        <v>0</v>
      </c>
      <c r="L185" s="519">
        <f t="shared" si="219"/>
        <v>26733</v>
      </c>
      <c r="M185" s="519">
        <f t="shared" si="219"/>
        <v>26733</v>
      </c>
      <c r="N185" s="519">
        <f t="shared" si="219"/>
        <v>0</v>
      </c>
      <c r="O185" s="519">
        <f>SUM(O186:O209)</f>
        <v>332713.84630700003</v>
      </c>
      <c r="P185" s="519">
        <f t="shared" si="153"/>
        <v>332713.84630700003</v>
      </c>
      <c r="Q185" s="519">
        <f t="shared" si="154"/>
        <v>0</v>
      </c>
      <c r="R185" s="519">
        <f>SUM(R186:R209)</f>
        <v>306143.84630700003</v>
      </c>
      <c r="S185" s="519">
        <f t="shared" si="219"/>
        <v>306143.84630700003</v>
      </c>
      <c r="T185" s="519">
        <f t="shared" si="219"/>
        <v>0</v>
      </c>
      <c r="U185" s="519">
        <f t="shared" si="219"/>
        <v>26570</v>
      </c>
      <c r="V185" s="519">
        <f t="shared" si="219"/>
        <v>26570</v>
      </c>
      <c r="W185" s="519">
        <f t="shared" si="219"/>
        <v>0</v>
      </c>
      <c r="X185" s="519">
        <f t="shared" si="219"/>
        <v>710.36155899999994</v>
      </c>
      <c r="Y185" s="519">
        <f t="shared" si="219"/>
        <v>710.36155899999994</v>
      </c>
      <c r="Z185" s="519">
        <f t="shared" si="219"/>
        <v>710.36155899999994</v>
      </c>
      <c r="AA185" s="519">
        <f t="shared" si="219"/>
        <v>0</v>
      </c>
      <c r="AB185" s="519">
        <f t="shared" si="219"/>
        <v>0</v>
      </c>
      <c r="AC185" s="519">
        <f t="shared" si="219"/>
        <v>0</v>
      </c>
      <c r="AD185" s="519">
        <f t="shared" si="219"/>
        <v>0</v>
      </c>
      <c r="AE185" s="519">
        <f t="shared" si="219"/>
        <v>0</v>
      </c>
      <c r="AF185" s="519">
        <f t="shared" si="219"/>
        <v>0</v>
      </c>
      <c r="AG185" s="519">
        <f t="shared" si="219"/>
        <v>0</v>
      </c>
      <c r="AH185" s="519">
        <f t="shared" si="219"/>
        <v>0</v>
      </c>
      <c r="AI185" s="519">
        <f t="shared" si="219"/>
        <v>0</v>
      </c>
      <c r="AJ185" s="519">
        <f t="shared" si="219"/>
        <v>0</v>
      </c>
      <c r="AK185" s="519">
        <f t="shared" si="219"/>
        <v>646732.474438</v>
      </c>
      <c r="AL185" s="519">
        <f t="shared" si="219"/>
        <v>646569.474438</v>
      </c>
      <c r="AM185" s="519">
        <f t="shared" si="219"/>
        <v>0</v>
      </c>
      <c r="AN185" s="519">
        <f t="shared" si="219"/>
        <v>163</v>
      </c>
      <c r="AO185" s="519">
        <f t="shared" si="219"/>
        <v>0</v>
      </c>
      <c r="AP185" s="519">
        <f t="shared" si="143"/>
        <v>0</v>
      </c>
      <c r="AQ185" s="520"/>
      <c r="AR185" s="520"/>
    </row>
    <row r="186" spans="1:44" s="84" customFormat="1" ht="31.2" hidden="1" outlineLevel="1">
      <c r="A186" s="541" t="s">
        <v>211</v>
      </c>
      <c r="B186" s="763" t="s">
        <v>422</v>
      </c>
      <c r="C186" s="528">
        <f t="shared" si="204"/>
        <v>10350.367903000022</v>
      </c>
      <c r="D186" s="764">
        <v>10350.367903000022</v>
      </c>
      <c r="E186" s="764">
        <v>0</v>
      </c>
      <c r="F186" s="764">
        <v>0</v>
      </c>
      <c r="G186" s="764">
        <v>0</v>
      </c>
      <c r="H186" s="764">
        <f t="shared" ref="H186:H208" si="220">I186+L186</f>
        <v>152813</v>
      </c>
      <c r="I186" s="764">
        <f>J186+K186</f>
        <v>152813</v>
      </c>
      <c r="J186" s="764">
        <v>152813</v>
      </c>
      <c r="K186" s="764"/>
      <c r="L186" s="764"/>
      <c r="M186" s="764"/>
      <c r="N186" s="764"/>
      <c r="O186" s="764">
        <f t="shared" ref="O186:O208" si="221">R186+U186</f>
        <v>160591.00545600001</v>
      </c>
      <c r="P186" s="543">
        <f t="shared" si="153"/>
        <v>160591.00545600001</v>
      </c>
      <c r="Q186" s="543">
        <f t="shared" si="154"/>
        <v>0</v>
      </c>
      <c r="R186" s="764">
        <f>S186+T186</f>
        <v>160591.00545600001</v>
      </c>
      <c r="S186" s="764">
        <v>160591.00545600001</v>
      </c>
      <c r="T186" s="764"/>
      <c r="U186" s="764"/>
      <c r="V186" s="764"/>
      <c r="W186" s="764"/>
      <c r="X186" s="764">
        <f t="shared" ref="X186:X207" si="222">Y186+AB186+AE186+AH186</f>
        <v>276.17255899999998</v>
      </c>
      <c r="Y186" s="764">
        <f t="shared" ref="Y186:Y205" si="223">Z186+AA186</f>
        <v>276.17255899999998</v>
      </c>
      <c r="Z186" s="764">
        <v>276.17255899999998</v>
      </c>
      <c r="AA186" s="764"/>
      <c r="AB186" s="764">
        <f t="shared" ref="AB186:AB205" si="224">AC186+AD186</f>
        <v>0</v>
      </c>
      <c r="AC186" s="764"/>
      <c r="AD186" s="764"/>
      <c r="AE186" s="764">
        <f t="shared" ref="AE186:AE207" si="225">AF186+AG186</f>
        <v>0</v>
      </c>
      <c r="AF186" s="764"/>
      <c r="AG186" s="764"/>
      <c r="AH186" s="764">
        <f t="shared" ref="AH186:AH207" si="226">AI186+AJ186</f>
        <v>0</v>
      </c>
      <c r="AI186" s="764"/>
      <c r="AJ186" s="764"/>
      <c r="AK186" s="764">
        <f t="shared" si="201"/>
        <v>2296.1898880000213</v>
      </c>
      <c r="AL186" s="764">
        <f t="shared" si="206"/>
        <v>2296.1898880000213</v>
      </c>
      <c r="AM186" s="764">
        <f t="shared" si="206"/>
        <v>0</v>
      </c>
      <c r="AN186" s="764">
        <f t="shared" si="207"/>
        <v>0</v>
      </c>
      <c r="AO186" s="764">
        <f t="shared" si="207"/>
        <v>0</v>
      </c>
      <c r="AP186" s="764">
        <f t="shared" si="143"/>
        <v>0</v>
      </c>
      <c r="AQ186" s="765"/>
      <c r="AR186" s="765"/>
    </row>
    <row r="187" spans="1:44" s="84" customFormat="1" ht="31.2" hidden="1" outlineLevel="1">
      <c r="A187" s="541">
        <v>2</v>
      </c>
      <c r="B187" s="763" t="s">
        <v>423</v>
      </c>
      <c r="C187" s="528">
        <f t="shared" si="204"/>
        <v>16379.988005000003</v>
      </c>
      <c r="D187" s="764">
        <v>16379.988005000003</v>
      </c>
      <c r="E187" s="764">
        <v>0</v>
      </c>
      <c r="F187" s="764">
        <v>0</v>
      </c>
      <c r="G187" s="764">
        <v>0</v>
      </c>
      <c r="H187" s="764">
        <f t="shared" si="220"/>
        <v>50000</v>
      </c>
      <c r="I187" s="764">
        <f>J187+K187</f>
        <v>50000</v>
      </c>
      <c r="J187" s="764">
        <v>50000</v>
      </c>
      <c r="K187" s="764"/>
      <c r="L187" s="764"/>
      <c r="M187" s="764"/>
      <c r="N187" s="764"/>
      <c r="O187" s="764">
        <f t="shared" si="221"/>
        <v>50000</v>
      </c>
      <c r="P187" s="543">
        <f t="shared" si="153"/>
        <v>50000</v>
      </c>
      <c r="Q187" s="543">
        <f t="shared" si="154"/>
        <v>0</v>
      </c>
      <c r="R187" s="764">
        <f t="shared" ref="R187:R208" si="227">S187+T187</f>
        <v>50000</v>
      </c>
      <c r="S187" s="764">
        <v>50000</v>
      </c>
      <c r="T187" s="764"/>
      <c r="U187" s="764"/>
      <c r="V187" s="764"/>
      <c r="W187" s="764"/>
      <c r="X187" s="764">
        <f t="shared" si="222"/>
        <v>0.192</v>
      </c>
      <c r="Y187" s="764">
        <f t="shared" si="223"/>
        <v>0.192</v>
      </c>
      <c r="Z187" s="764">
        <v>0.192</v>
      </c>
      <c r="AA187" s="764"/>
      <c r="AB187" s="764">
        <f t="shared" si="224"/>
        <v>0</v>
      </c>
      <c r="AC187" s="764"/>
      <c r="AD187" s="764"/>
      <c r="AE187" s="764">
        <f t="shared" si="225"/>
        <v>0</v>
      </c>
      <c r="AF187" s="764"/>
      <c r="AG187" s="764"/>
      <c r="AH187" s="764">
        <f t="shared" si="226"/>
        <v>0</v>
      </c>
      <c r="AI187" s="764"/>
      <c r="AJ187" s="764"/>
      <c r="AK187" s="764">
        <f t="shared" si="201"/>
        <v>16379.796005000007</v>
      </c>
      <c r="AL187" s="764">
        <f t="shared" si="206"/>
        <v>16379.796005000007</v>
      </c>
      <c r="AM187" s="764">
        <f t="shared" si="206"/>
        <v>0</v>
      </c>
      <c r="AN187" s="764">
        <f t="shared" si="207"/>
        <v>0</v>
      </c>
      <c r="AO187" s="764">
        <f t="shared" si="207"/>
        <v>0</v>
      </c>
      <c r="AP187" s="764">
        <f t="shared" si="143"/>
        <v>0</v>
      </c>
      <c r="AQ187" s="765"/>
      <c r="AR187" s="765"/>
    </row>
    <row r="188" spans="1:44" s="84" customFormat="1" ht="31.2" hidden="1" outlineLevel="1">
      <c r="A188" s="541">
        <v>3</v>
      </c>
      <c r="B188" s="763" t="s">
        <v>424</v>
      </c>
      <c r="C188" s="528">
        <f t="shared" si="204"/>
        <v>0</v>
      </c>
      <c r="D188" s="764">
        <v>0</v>
      </c>
      <c r="E188" s="764">
        <v>0</v>
      </c>
      <c r="F188" s="764">
        <v>0</v>
      </c>
      <c r="G188" s="764">
        <v>0</v>
      </c>
      <c r="H188" s="764">
        <f t="shared" si="220"/>
        <v>0</v>
      </c>
      <c r="I188" s="764">
        <f t="shared" ref="I188:I208" si="228">J188+K188</f>
        <v>0</v>
      </c>
      <c r="J188" s="764"/>
      <c r="K188" s="764"/>
      <c r="L188" s="764"/>
      <c r="M188" s="764"/>
      <c r="N188" s="764"/>
      <c r="O188" s="764">
        <f t="shared" si="221"/>
        <v>0</v>
      </c>
      <c r="P188" s="543">
        <f t="shared" si="153"/>
        <v>0</v>
      </c>
      <c r="Q188" s="543">
        <f t="shared" si="154"/>
        <v>0</v>
      </c>
      <c r="R188" s="764">
        <f t="shared" si="227"/>
        <v>0</v>
      </c>
      <c r="S188" s="764"/>
      <c r="T188" s="764"/>
      <c r="U188" s="764"/>
      <c r="V188" s="764"/>
      <c r="W188" s="764"/>
      <c r="X188" s="764">
        <f t="shared" si="222"/>
        <v>0</v>
      </c>
      <c r="Y188" s="764">
        <f t="shared" si="223"/>
        <v>0</v>
      </c>
      <c r="Z188" s="764"/>
      <c r="AA188" s="764"/>
      <c r="AB188" s="764">
        <f t="shared" si="224"/>
        <v>0</v>
      </c>
      <c r="AC188" s="764"/>
      <c r="AD188" s="764"/>
      <c r="AE188" s="764">
        <f t="shared" si="225"/>
        <v>0</v>
      </c>
      <c r="AF188" s="764"/>
      <c r="AG188" s="764"/>
      <c r="AH188" s="764">
        <f t="shared" si="226"/>
        <v>0</v>
      </c>
      <c r="AI188" s="764"/>
      <c r="AJ188" s="764"/>
      <c r="AK188" s="764">
        <f t="shared" si="201"/>
        <v>0</v>
      </c>
      <c r="AL188" s="764">
        <f t="shared" si="206"/>
        <v>0</v>
      </c>
      <c r="AM188" s="764">
        <f t="shared" si="206"/>
        <v>0</v>
      </c>
      <c r="AN188" s="764">
        <f t="shared" si="207"/>
        <v>0</v>
      </c>
      <c r="AO188" s="764">
        <f t="shared" si="207"/>
        <v>0</v>
      </c>
      <c r="AP188" s="764">
        <f t="shared" si="143"/>
        <v>0</v>
      </c>
      <c r="AQ188" s="765"/>
      <c r="AR188" s="765"/>
    </row>
    <row r="189" spans="1:44" s="84" customFormat="1" hidden="1" outlineLevel="1">
      <c r="A189" s="541">
        <v>4</v>
      </c>
      <c r="B189" s="763" t="s">
        <v>425</v>
      </c>
      <c r="C189" s="528">
        <f t="shared" si="204"/>
        <v>0</v>
      </c>
      <c r="D189" s="764">
        <v>0</v>
      </c>
      <c r="E189" s="764">
        <v>0</v>
      </c>
      <c r="F189" s="764">
        <v>0</v>
      </c>
      <c r="G189" s="764">
        <v>0</v>
      </c>
      <c r="H189" s="764">
        <f t="shared" si="220"/>
        <v>0</v>
      </c>
      <c r="I189" s="764">
        <f t="shared" si="228"/>
        <v>0</v>
      </c>
      <c r="J189" s="764"/>
      <c r="K189" s="764"/>
      <c r="L189" s="764"/>
      <c r="M189" s="764"/>
      <c r="N189" s="764"/>
      <c r="O189" s="764">
        <f t="shared" si="221"/>
        <v>0</v>
      </c>
      <c r="P189" s="543">
        <f t="shared" si="153"/>
        <v>0</v>
      </c>
      <c r="Q189" s="543">
        <f t="shared" si="154"/>
        <v>0</v>
      </c>
      <c r="R189" s="764">
        <f t="shared" si="227"/>
        <v>0</v>
      </c>
      <c r="S189" s="764"/>
      <c r="T189" s="764"/>
      <c r="U189" s="764"/>
      <c r="V189" s="764"/>
      <c r="W189" s="764"/>
      <c r="X189" s="764">
        <f t="shared" si="222"/>
        <v>0</v>
      </c>
      <c r="Y189" s="764">
        <f t="shared" si="223"/>
        <v>0</v>
      </c>
      <c r="Z189" s="764"/>
      <c r="AA189" s="764"/>
      <c r="AB189" s="764">
        <f t="shared" si="224"/>
        <v>0</v>
      </c>
      <c r="AC189" s="764"/>
      <c r="AD189" s="764"/>
      <c r="AE189" s="764">
        <f t="shared" si="225"/>
        <v>0</v>
      </c>
      <c r="AF189" s="764"/>
      <c r="AG189" s="764"/>
      <c r="AH189" s="764">
        <f t="shared" si="226"/>
        <v>0</v>
      </c>
      <c r="AI189" s="764"/>
      <c r="AJ189" s="764"/>
      <c r="AK189" s="764">
        <f t="shared" si="201"/>
        <v>0</v>
      </c>
      <c r="AL189" s="764">
        <f t="shared" si="206"/>
        <v>0</v>
      </c>
      <c r="AM189" s="764">
        <f t="shared" si="206"/>
        <v>0</v>
      </c>
      <c r="AN189" s="764">
        <f t="shared" si="207"/>
        <v>0</v>
      </c>
      <c r="AO189" s="764">
        <f t="shared" si="207"/>
        <v>0</v>
      </c>
      <c r="AP189" s="764">
        <f t="shared" si="143"/>
        <v>0</v>
      </c>
      <c r="AQ189" s="765"/>
      <c r="AR189" s="765"/>
    </row>
    <row r="190" spans="1:44" s="84" customFormat="1" hidden="1" outlineLevel="1">
      <c r="A190" s="541">
        <v>5</v>
      </c>
      <c r="B190" s="763" t="s">
        <v>426</v>
      </c>
      <c r="C190" s="528">
        <f t="shared" si="204"/>
        <v>0</v>
      </c>
      <c r="D190" s="764">
        <v>0</v>
      </c>
      <c r="E190" s="764">
        <v>0</v>
      </c>
      <c r="F190" s="764">
        <v>0</v>
      </c>
      <c r="G190" s="764">
        <v>0</v>
      </c>
      <c r="H190" s="764">
        <f t="shared" si="220"/>
        <v>2300</v>
      </c>
      <c r="I190" s="764">
        <f t="shared" si="228"/>
        <v>2300</v>
      </c>
      <c r="J190" s="764">
        <v>2300</v>
      </c>
      <c r="K190" s="764"/>
      <c r="L190" s="764"/>
      <c r="M190" s="764"/>
      <c r="N190" s="764"/>
      <c r="O190" s="764">
        <f t="shared" si="221"/>
        <v>1970.2950000000001</v>
      </c>
      <c r="P190" s="543">
        <f t="shared" si="153"/>
        <v>1970.2950000000001</v>
      </c>
      <c r="Q190" s="543">
        <f t="shared" si="154"/>
        <v>0</v>
      </c>
      <c r="R190" s="764">
        <f t="shared" si="227"/>
        <v>1970.2950000000001</v>
      </c>
      <c r="S190" s="764">
        <v>1970.2950000000001</v>
      </c>
      <c r="T190" s="764"/>
      <c r="U190" s="764"/>
      <c r="V190" s="764"/>
      <c r="W190" s="764"/>
      <c r="X190" s="764">
        <f t="shared" si="222"/>
        <v>0</v>
      </c>
      <c r="Y190" s="764">
        <f t="shared" si="223"/>
        <v>0</v>
      </c>
      <c r="Z190" s="764"/>
      <c r="AA190" s="764"/>
      <c r="AB190" s="764">
        <f t="shared" si="224"/>
        <v>0</v>
      </c>
      <c r="AC190" s="764"/>
      <c r="AD190" s="764"/>
      <c r="AE190" s="764">
        <f t="shared" si="225"/>
        <v>0</v>
      </c>
      <c r="AF190" s="764"/>
      <c r="AG190" s="764"/>
      <c r="AH190" s="764">
        <f t="shared" si="226"/>
        <v>0</v>
      </c>
      <c r="AI190" s="764"/>
      <c r="AJ190" s="764"/>
      <c r="AK190" s="764">
        <f t="shared" si="201"/>
        <v>329.70499999999993</v>
      </c>
      <c r="AL190" s="764">
        <f t="shared" si="206"/>
        <v>329.70499999999993</v>
      </c>
      <c r="AM190" s="764">
        <f t="shared" si="206"/>
        <v>0</v>
      </c>
      <c r="AN190" s="764">
        <f t="shared" si="207"/>
        <v>0</v>
      </c>
      <c r="AO190" s="764">
        <f t="shared" si="207"/>
        <v>0</v>
      </c>
      <c r="AP190" s="764">
        <f t="shared" si="143"/>
        <v>0</v>
      </c>
      <c r="AQ190" s="765"/>
      <c r="AR190" s="765"/>
    </row>
    <row r="191" spans="1:44" s="84" customFormat="1" ht="31.2" hidden="1" outlineLevel="1">
      <c r="A191" s="541">
        <v>6</v>
      </c>
      <c r="B191" s="763" t="s">
        <v>427</v>
      </c>
      <c r="C191" s="528">
        <f t="shared" si="204"/>
        <v>0</v>
      </c>
      <c r="D191" s="764">
        <v>0</v>
      </c>
      <c r="E191" s="764">
        <v>0</v>
      </c>
      <c r="F191" s="764">
        <v>0</v>
      </c>
      <c r="G191" s="764">
        <v>0</v>
      </c>
      <c r="H191" s="764">
        <f t="shared" si="220"/>
        <v>0</v>
      </c>
      <c r="I191" s="764">
        <f t="shared" si="228"/>
        <v>0</v>
      </c>
      <c r="J191" s="764"/>
      <c r="K191" s="764"/>
      <c r="L191" s="764"/>
      <c r="M191" s="764"/>
      <c r="N191" s="764"/>
      <c r="O191" s="764">
        <f t="shared" si="221"/>
        <v>0</v>
      </c>
      <c r="P191" s="543">
        <f t="shared" si="153"/>
        <v>0</v>
      </c>
      <c r="Q191" s="543">
        <f t="shared" si="154"/>
        <v>0</v>
      </c>
      <c r="R191" s="764">
        <f t="shared" si="227"/>
        <v>0</v>
      </c>
      <c r="S191" s="764"/>
      <c r="T191" s="764"/>
      <c r="U191" s="764"/>
      <c r="V191" s="764"/>
      <c r="W191" s="764"/>
      <c r="X191" s="764">
        <f t="shared" si="222"/>
        <v>0</v>
      </c>
      <c r="Y191" s="764">
        <f t="shared" si="223"/>
        <v>0</v>
      </c>
      <c r="Z191" s="764"/>
      <c r="AA191" s="764"/>
      <c r="AB191" s="764">
        <f t="shared" si="224"/>
        <v>0</v>
      </c>
      <c r="AC191" s="764"/>
      <c r="AD191" s="764"/>
      <c r="AE191" s="764">
        <f t="shared" si="225"/>
        <v>0</v>
      </c>
      <c r="AF191" s="764"/>
      <c r="AG191" s="764"/>
      <c r="AH191" s="764">
        <f t="shared" si="226"/>
        <v>0</v>
      </c>
      <c r="AI191" s="764"/>
      <c r="AJ191" s="764"/>
      <c r="AK191" s="764">
        <f t="shared" si="201"/>
        <v>0</v>
      </c>
      <c r="AL191" s="764">
        <f t="shared" si="206"/>
        <v>0</v>
      </c>
      <c r="AM191" s="764">
        <f t="shared" si="206"/>
        <v>0</v>
      </c>
      <c r="AN191" s="764">
        <f t="shared" si="207"/>
        <v>0</v>
      </c>
      <c r="AO191" s="764">
        <f t="shared" si="207"/>
        <v>0</v>
      </c>
      <c r="AP191" s="764">
        <f t="shared" si="143"/>
        <v>0</v>
      </c>
      <c r="AQ191" s="765"/>
      <c r="AR191" s="765"/>
    </row>
    <row r="192" spans="1:44" s="84" customFormat="1" hidden="1" outlineLevel="1">
      <c r="A192" s="541">
        <v>7</v>
      </c>
      <c r="B192" s="763" t="s">
        <v>428</v>
      </c>
      <c r="C192" s="528">
        <f t="shared" si="204"/>
        <v>0</v>
      </c>
      <c r="D192" s="764">
        <v>0</v>
      </c>
      <c r="E192" s="764">
        <v>0</v>
      </c>
      <c r="F192" s="764">
        <v>0</v>
      </c>
      <c r="G192" s="764">
        <v>0</v>
      </c>
      <c r="H192" s="764">
        <f t="shared" si="220"/>
        <v>0</v>
      </c>
      <c r="I192" s="764">
        <f t="shared" si="228"/>
        <v>0</v>
      </c>
      <c r="J192" s="764"/>
      <c r="K192" s="764"/>
      <c r="L192" s="764"/>
      <c r="M192" s="764"/>
      <c r="N192" s="764"/>
      <c r="O192" s="764">
        <f t="shared" si="221"/>
        <v>0</v>
      </c>
      <c r="P192" s="543">
        <f t="shared" si="153"/>
        <v>0</v>
      </c>
      <c r="Q192" s="543">
        <f t="shared" si="154"/>
        <v>0</v>
      </c>
      <c r="R192" s="764">
        <f t="shared" si="227"/>
        <v>0</v>
      </c>
      <c r="S192" s="764"/>
      <c r="T192" s="764"/>
      <c r="U192" s="764"/>
      <c r="V192" s="764"/>
      <c r="W192" s="764"/>
      <c r="X192" s="764">
        <f t="shared" si="222"/>
        <v>0</v>
      </c>
      <c r="Y192" s="764">
        <f t="shared" si="223"/>
        <v>0</v>
      </c>
      <c r="Z192" s="764"/>
      <c r="AA192" s="764"/>
      <c r="AB192" s="764">
        <f t="shared" si="224"/>
        <v>0</v>
      </c>
      <c r="AC192" s="764"/>
      <c r="AD192" s="764"/>
      <c r="AE192" s="764">
        <f t="shared" si="225"/>
        <v>0</v>
      </c>
      <c r="AF192" s="764"/>
      <c r="AG192" s="764"/>
      <c r="AH192" s="764">
        <f t="shared" si="226"/>
        <v>0</v>
      </c>
      <c r="AI192" s="764"/>
      <c r="AJ192" s="764"/>
      <c r="AK192" s="764">
        <f t="shared" si="201"/>
        <v>0</v>
      </c>
      <c r="AL192" s="764">
        <f t="shared" si="206"/>
        <v>0</v>
      </c>
      <c r="AM192" s="764">
        <f t="shared" si="206"/>
        <v>0</v>
      </c>
      <c r="AN192" s="764">
        <f t="shared" si="207"/>
        <v>0</v>
      </c>
      <c r="AO192" s="764">
        <f t="shared" si="207"/>
        <v>0</v>
      </c>
      <c r="AP192" s="764">
        <f t="shared" si="143"/>
        <v>0</v>
      </c>
      <c r="AQ192" s="765"/>
      <c r="AR192" s="765"/>
    </row>
    <row r="193" spans="1:44" s="84" customFormat="1" hidden="1" outlineLevel="1">
      <c r="A193" s="541">
        <v>8</v>
      </c>
      <c r="B193" s="763" t="s">
        <v>429</v>
      </c>
      <c r="C193" s="528">
        <f t="shared" si="204"/>
        <v>149.99199999999996</v>
      </c>
      <c r="D193" s="764">
        <v>149.99199999999996</v>
      </c>
      <c r="E193" s="764">
        <v>0</v>
      </c>
      <c r="F193" s="764">
        <v>0</v>
      </c>
      <c r="G193" s="764">
        <v>0</v>
      </c>
      <c r="H193" s="764">
        <f t="shared" si="220"/>
        <v>0</v>
      </c>
      <c r="I193" s="764">
        <f t="shared" si="228"/>
        <v>0</v>
      </c>
      <c r="J193" s="764"/>
      <c r="K193" s="764"/>
      <c r="L193" s="764"/>
      <c r="M193" s="764"/>
      <c r="N193" s="764"/>
      <c r="O193" s="764">
        <f t="shared" si="221"/>
        <v>0</v>
      </c>
      <c r="P193" s="543">
        <f t="shared" si="153"/>
        <v>0</v>
      </c>
      <c r="Q193" s="543">
        <f t="shared" si="154"/>
        <v>0</v>
      </c>
      <c r="R193" s="764">
        <f t="shared" si="227"/>
        <v>0</v>
      </c>
      <c r="S193" s="764"/>
      <c r="T193" s="764"/>
      <c r="U193" s="764"/>
      <c r="V193" s="764"/>
      <c r="W193" s="764"/>
      <c r="X193" s="764">
        <f t="shared" si="222"/>
        <v>0</v>
      </c>
      <c r="Y193" s="764">
        <f t="shared" si="223"/>
        <v>0</v>
      </c>
      <c r="Z193" s="764"/>
      <c r="AA193" s="764"/>
      <c r="AB193" s="764">
        <f t="shared" si="224"/>
        <v>0</v>
      </c>
      <c r="AC193" s="764"/>
      <c r="AD193" s="764"/>
      <c r="AE193" s="764">
        <f t="shared" si="225"/>
        <v>0</v>
      </c>
      <c r="AF193" s="764"/>
      <c r="AG193" s="764"/>
      <c r="AH193" s="764">
        <f t="shared" si="226"/>
        <v>0</v>
      </c>
      <c r="AI193" s="764"/>
      <c r="AJ193" s="764"/>
      <c r="AK193" s="764">
        <f t="shared" si="201"/>
        <v>149.99199999999996</v>
      </c>
      <c r="AL193" s="764">
        <f t="shared" si="206"/>
        <v>149.99199999999996</v>
      </c>
      <c r="AM193" s="764">
        <f t="shared" si="206"/>
        <v>0</v>
      </c>
      <c r="AN193" s="764">
        <f t="shared" si="207"/>
        <v>0</v>
      </c>
      <c r="AO193" s="764">
        <f t="shared" si="207"/>
        <v>0</v>
      </c>
      <c r="AP193" s="764">
        <f t="shared" si="143"/>
        <v>0</v>
      </c>
      <c r="AQ193" s="765"/>
      <c r="AR193" s="765"/>
    </row>
    <row r="194" spans="1:44" s="84" customFormat="1" hidden="1" outlineLevel="1">
      <c r="A194" s="541">
        <v>9</v>
      </c>
      <c r="B194" s="763" t="s">
        <v>430</v>
      </c>
      <c r="C194" s="528">
        <f t="shared" si="204"/>
        <v>1263.8785390000003</v>
      </c>
      <c r="D194" s="764">
        <v>1263.8785390000003</v>
      </c>
      <c r="E194" s="764">
        <v>0</v>
      </c>
      <c r="F194" s="764">
        <v>0</v>
      </c>
      <c r="G194" s="764">
        <v>0</v>
      </c>
      <c r="H194" s="764">
        <f t="shared" si="220"/>
        <v>0</v>
      </c>
      <c r="I194" s="764">
        <f t="shared" si="228"/>
        <v>0</v>
      </c>
      <c r="J194" s="764"/>
      <c r="K194" s="764"/>
      <c r="L194" s="764"/>
      <c r="M194" s="764"/>
      <c r="N194" s="764"/>
      <c r="O194" s="764">
        <f t="shared" si="221"/>
        <v>0</v>
      </c>
      <c r="P194" s="543">
        <f t="shared" si="153"/>
        <v>0</v>
      </c>
      <c r="Q194" s="543">
        <f t="shared" si="154"/>
        <v>0</v>
      </c>
      <c r="R194" s="764">
        <f t="shared" si="227"/>
        <v>0</v>
      </c>
      <c r="S194" s="764"/>
      <c r="T194" s="764"/>
      <c r="U194" s="764"/>
      <c r="V194" s="764"/>
      <c r="W194" s="764"/>
      <c r="X194" s="764">
        <f t="shared" si="222"/>
        <v>0</v>
      </c>
      <c r="Y194" s="764">
        <f t="shared" si="223"/>
        <v>0</v>
      </c>
      <c r="Z194" s="764"/>
      <c r="AA194" s="764"/>
      <c r="AB194" s="764">
        <f t="shared" si="224"/>
        <v>0</v>
      </c>
      <c r="AC194" s="764"/>
      <c r="AD194" s="764"/>
      <c r="AE194" s="764">
        <f t="shared" si="225"/>
        <v>0</v>
      </c>
      <c r="AF194" s="764"/>
      <c r="AG194" s="764"/>
      <c r="AH194" s="764">
        <f t="shared" si="226"/>
        <v>0</v>
      </c>
      <c r="AI194" s="764"/>
      <c r="AJ194" s="764"/>
      <c r="AK194" s="764">
        <f t="shared" si="201"/>
        <v>1263.8785390000003</v>
      </c>
      <c r="AL194" s="764">
        <f t="shared" si="206"/>
        <v>1263.8785390000003</v>
      </c>
      <c r="AM194" s="764">
        <f t="shared" si="206"/>
        <v>0</v>
      </c>
      <c r="AN194" s="764">
        <f t="shared" si="207"/>
        <v>0</v>
      </c>
      <c r="AO194" s="764">
        <f t="shared" si="207"/>
        <v>0</v>
      </c>
      <c r="AP194" s="764">
        <f t="shared" si="143"/>
        <v>0</v>
      </c>
      <c r="AQ194" s="765"/>
      <c r="AR194" s="765"/>
    </row>
    <row r="195" spans="1:44" s="84" customFormat="1" ht="31.2" hidden="1" outlineLevel="1">
      <c r="A195" s="541">
        <v>10</v>
      </c>
      <c r="B195" s="763" t="s">
        <v>431</v>
      </c>
      <c r="C195" s="528">
        <f t="shared" si="204"/>
        <v>2.8370059999997466</v>
      </c>
      <c r="D195" s="764">
        <v>2.8370059999997466</v>
      </c>
      <c r="E195" s="764">
        <v>0</v>
      </c>
      <c r="F195" s="764">
        <v>0</v>
      </c>
      <c r="G195" s="764">
        <v>0</v>
      </c>
      <c r="H195" s="764">
        <f t="shared" si="220"/>
        <v>34887</v>
      </c>
      <c r="I195" s="764">
        <f t="shared" si="228"/>
        <v>34887</v>
      </c>
      <c r="J195" s="764">
        <v>34887</v>
      </c>
      <c r="K195" s="764"/>
      <c r="L195" s="764"/>
      <c r="M195" s="764"/>
      <c r="N195" s="764"/>
      <c r="O195" s="764">
        <f t="shared" si="221"/>
        <v>34769.975722000003</v>
      </c>
      <c r="P195" s="543">
        <f t="shared" si="153"/>
        <v>34769.975722000003</v>
      </c>
      <c r="Q195" s="543">
        <f t="shared" si="154"/>
        <v>0</v>
      </c>
      <c r="R195" s="764">
        <f t="shared" si="227"/>
        <v>34769.975722000003</v>
      </c>
      <c r="S195" s="764">
        <v>34769.975722000003</v>
      </c>
      <c r="T195" s="764"/>
      <c r="U195" s="764"/>
      <c r="V195" s="764"/>
      <c r="W195" s="764"/>
      <c r="X195" s="764">
        <f t="shared" si="222"/>
        <v>119.496</v>
      </c>
      <c r="Y195" s="764">
        <f t="shared" si="223"/>
        <v>119.496</v>
      </c>
      <c r="Z195" s="764">
        <v>119.496</v>
      </c>
      <c r="AA195" s="764"/>
      <c r="AB195" s="764">
        <f t="shared" si="224"/>
        <v>0</v>
      </c>
      <c r="AC195" s="764"/>
      <c r="AD195" s="764"/>
      <c r="AE195" s="764">
        <f t="shared" si="225"/>
        <v>0</v>
      </c>
      <c r="AF195" s="764"/>
      <c r="AG195" s="764"/>
      <c r="AH195" s="764">
        <f t="shared" si="226"/>
        <v>0</v>
      </c>
      <c r="AI195" s="764"/>
      <c r="AJ195" s="764"/>
      <c r="AK195" s="764">
        <f t="shared" si="201"/>
        <v>0.36528399999870942</v>
      </c>
      <c r="AL195" s="764">
        <f t="shared" si="206"/>
        <v>0.36528399999870942</v>
      </c>
      <c r="AM195" s="764">
        <f t="shared" si="206"/>
        <v>0</v>
      </c>
      <c r="AN195" s="764">
        <f t="shared" si="207"/>
        <v>0</v>
      </c>
      <c r="AO195" s="764">
        <f t="shared" si="207"/>
        <v>0</v>
      </c>
      <c r="AP195" s="764">
        <f t="shared" si="143"/>
        <v>0</v>
      </c>
      <c r="AQ195" s="765"/>
      <c r="AR195" s="765"/>
    </row>
    <row r="196" spans="1:44" s="84" customFormat="1" hidden="1" outlineLevel="1">
      <c r="A196" s="541">
        <v>11</v>
      </c>
      <c r="B196" s="763" t="s">
        <v>432</v>
      </c>
      <c r="C196" s="528">
        <f t="shared" si="204"/>
        <v>0</v>
      </c>
      <c r="D196" s="764">
        <v>0</v>
      </c>
      <c r="E196" s="764">
        <v>0</v>
      </c>
      <c r="F196" s="764">
        <v>0</v>
      </c>
      <c r="G196" s="764">
        <v>0</v>
      </c>
      <c r="H196" s="764">
        <f t="shared" si="220"/>
        <v>10000</v>
      </c>
      <c r="I196" s="764">
        <f t="shared" si="228"/>
        <v>10000</v>
      </c>
      <c r="J196" s="764">
        <v>10000</v>
      </c>
      <c r="K196" s="764"/>
      <c r="L196" s="764"/>
      <c r="M196" s="764"/>
      <c r="N196" s="764"/>
      <c r="O196" s="764">
        <f t="shared" si="221"/>
        <v>10000</v>
      </c>
      <c r="P196" s="543">
        <f t="shared" si="153"/>
        <v>10000</v>
      </c>
      <c r="Q196" s="543">
        <f t="shared" si="154"/>
        <v>0</v>
      </c>
      <c r="R196" s="764">
        <f t="shared" si="227"/>
        <v>10000</v>
      </c>
      <c r="S196" s="764">
        <v>10000</v>
      </c>
      <c r="T196" s="764"/>
      <c r="U196" s="764"/>
      <c r="V196" s="764"/>
      <c r="W196" s="764"/>
      <c r="X196" s="764">
        <f t="shared" si="222"/>
        <v>0</v>
      </c>
      <c r="Y196" s="764">
        <f t="shared" si="223"/>
        <v>0</v>
      </c>
      <c r="Z196" s="764"/>
      <c r="AA196" s="764"/>
      <c r="AB196" s="764">
        <f t="shared" si="224"/>
        <v>0</v>
      </c>
      <c r="AC196" s="764"/>
      <c r="AD196" s="764"/>
      <c r="AE196" s="764">
        <f t="shared" si="225"/>
        <v>0</v>
      </c>
      <c r="AF196" s="764"/>
      <c r="AG196" s="764"/>
      <c r="AH196" s="764">
        <f t="shared" si="226"/>
        <v>0</v>
      </c>
      <c r="AI196" s="764"/>
      <c r="AJ196" s="764"/>
      <c r="AK196" s="764">
        <f t="shared" si="201"/>
        <v>0</v>
      </c>
      <c r="AL196" s="764">
        <f t="shared" si="206"/>
        <v>0</v>
      </c>
      <c r="AM196" s="764">
        <f t="shared" si="206"/>
        <v>0</v>
      </c>
      <c r="AN196" s="764">
        <f t="shared" si="207"/>
        <v>0</v>
      </c>
      <c r="AO196" s="764">
        <f t="shared" si="207"/>
        <v>0</v>
      </c>
      <c r="AP196" s="764">
        <f t="shared" si="143"/>
        <v>0</v>
      </c>
      <c r="AQ196" s="765"/>
      <c r="AR196" s="765"/>
    </row>
    <row r="197" spans="1:44" s="84" customFormat="1" hidden="1" outlineLevel="1">
      <c r="A197" s="541">
        <v>12</v>
      </c>
      <c r="B197" s="763" t="s">
        <v>433</v>
      </c>
      <c r="C197" s="528">
        <f t="shared" si="204"/>
        <v>220</v>
      </c>
      <c r="D197" s="764">
        <v>220</v>
      </c>
      <c r="E197" s="764">
        <v>0</v>
      </c>
      <c r="F197" s="764">
        <v>0</v>
      </c>
      <c r="G197" s="764">
        <v>0</v>
      </c>
      <c r="H197" s="764">
        <f t="shared" si="220"/>
        <v>0</v>
      </c>
      <c r="I197" s="764">
        <f t="shared" si="228"/>
        <v>0</v>
      </c>
      <c r="J197" s="764"/>
      <c r="K197" s="764"/>
      <c r="L197" s="764"/>
      <c r="M197" s="764"/>
      <c r="N197" s="764"/>
      <c r="O197" s="764">
        <f t="shared" si="221"/>
        <v>0</v>
      </c>
      <c r="P197" s="543">
        <f t="shared" si="153"/>
        <v>0</v>
      </c>
      <c r="Q197" s="543">
        <f t="shared" si="154"/>
        <v>0</v>
      </c>
      <c r="R197" s="764">
        <f t="shared" si="227"/>
        <v>0</v>
      </c>
      <c r="S197" s="764">
        <v>0</v>
      </c>
      <c r="T197" s="764"/>
      <c r="U197" s="764"/>
      <c r="V197" s="764"/>
      <c r="W197" s="764"/>
      <c r="X197" s="764">
        <f t="shared" si="222"/>
        <v>0</v>
      </c>
      <c r="Y197" s="764">
        <f t="shared" si="223"/>
        <v>0</v>
      </c>
      <c r="Z197" s="764"/>
      <c r="AA197" s="764"/>
      <c r="AB197" s="764">
        <f t="shared" si="224"/>
        <v>0</v>
      </c>
      <c r="AC197" s="764"/>
      <c r="AD197" s="764"/>
      <c r="AE197" s="764">
        <f t="shared" si="225"/>
        <v>0</v>
      </c>
      <c r="AF197" s="764"/>
      <c r="AG197" s="764"/>
      <c r="AH197" s="764">
        <f t="shared" si="226"/>
        <v>0</v>
      </c>
      <c r="AI197" s="764"/>
      <c r="AJ197" s="764"/>
      <c r="AK197" s="764">
        <f t="shared" si="201"/>
        <v>220</v>
      </c>
      <c r="AL197" s="764">
        <f t="shared" si="206"/>
        <v>220</v>
      </c>
      <c r="AM197" s="764">
        <f t="shared" si="206"/>
        <v>0</v>
      </c>
      <c r="AN197" s="764">
        <f t="shared" si="207"/>
        <v>0</v>
      </c>
      <c r="AO197" s="764">
        <f t="shared" si="207"/>
        <v>0</v>
      </c>
      <c r="AP197" s="764">
        <f t="shared" si="143"/>
        <v>0</v>
      </c>
      <c r="AQ197" s="765"/>
      <c r="AR197" s="765"/>
    </row>
    <row r="198" spans="1:44" s="84" customFormat="1" hidden="1" outlineLevel="1">
      <c r="A198" s="541">
        <v>13</v>
      </c>
      <c r="B198" s="763" t="s">
        <v>434</v>
      </c>
      <c r="C198" s="528">
        <f t="shared" si="204"/>
        <v>297.52256899999975</v>
      </c>
      <c r="D198" s="764">
        <v>297.52256899999975</v>
      </c>
      <c r="E198" s="764">
        <v>0</v>
      </c>
      <c r="F198" s="764">
        <v>0</v>
      </c>
      <c r="G198" s="764">
        <v>0</v>
      </c>
      <c r="H198" s="764">
        <f t="shared" si="220"/>
        <v>0</v>
      </c>
      <c r="I198" s="764">
        <f t="shared" si="228"/>
        <v>0</v>
      </c>
      <c r="J198" s="764"/>
      <c r="K198" s="764"/>
      <c r="L198" s="764"/>
      <c r="M198" s="764"/>
      <c r="N198" s="764"/>
      <c r="O198" s="764">
        <f t="shared" si="221"/>
        <v>170.40199999999999</v>
      </c>
      <c r="P198" s="543">
        <f t="shared" si="153"/>
        <v>170.40199999999999</v>
      </c>
      <c r="Q198" s="543">
        <f t="shared" si="154"/>
        <v>0</v>
      </c>
      <c r="R198" s="764">
        <f t="shared" si="227"/>
        <v>170.40199999999999</v>
      </c>
      <c r="S198" s="764">
        <v>170.40199999999999</v>
      </c>
      <c r="T198" s="764"/>
      <c r="U198" s="764"/>
      <c r="V198" s="764"/>
      <c r="W198" s="764"/>
      <c r="X198" s="764">
        <f t="shared" si="222"/>
        <v>0</v>
      </c>
      <c r="Y198" s="764">
        <f t="shared" si="223"/>
        <v>0</v>
      </c>
      <c r="Z198" s="764"/>
      <c r="AA198" s="764"/>
      <c r="AB198" s="764">
        <f t="shared" si="224"/>
        <v>0</v>
      </c>
      <c r="AC198" s="764"/>
      <c r="AD198" s="764"/>
      <c r="AE198" s="764">
        <f t="shared" si="225"/>
        <v>0</v>
      </c>
      <c r="AF198" s="764"/>
      <c r="AG198" s="764"/>
      <c r="AH198" s="764">
        <f t="shared" si="226"/>
        <v>0</v>
      </c>
      <c r="AI198" s="764"/>
      <c r="AJ198" s="764"/>
      <c r="AK198" s="764">
        <f t="shared" si="201"/>
        <v>127.12056899999976</v>
      </c>
      <c r="AL198" s="764">
        <f t="shared" si="206"/>
        <v>127.12056899999976</v>
      </c>
      <c r="AM198" s="764">
        <f t="shared" si="206"/>
        <v>0</v>
      </c>
      <c r="AN198" s="764">
        <f t="shared" si="207"/>
        <v>0</v>
      </c>
      <c r="AO198" s="764">
        <f t="shared" si="207"/>
        <v>0</v>
      </c>
      <c r="AP198" s="764">
        <f t="shared" si="143"/>
        <v>0</v>
      </c>
      <c r="AQ198" s="765"/>
      <c r="AR198" s="765"/>
    </row>
    <row r="199" spans="1:44" s="84" customFormat="1" hidden="1" outlineLevel="1">
      <c r="A199" s="541">
        <v>14</v>
      </c>
      <c r="B199" s="763" t="s">
        <v>435</v>
      </c>
      <c r="C199" s="528">
        <f t="shared" si="204"/>
        <v>0</v>
      </c>
      <c r="D199" s="764">
        <v>0</v>
      </c>
      <c r="E199" s="764">
        <v>0</v>
      </c>
      <c r="F199" s="764">
        <v>0</v>
      </c>
      <c r="G199" s="764">
        <v>0</v>
      </c>
      <c r="H199" s="764">
        <f t="shared" si="220"/>
        <v>0</v>
      </c>
      <c r="I199" s="764">
        <f t="shared" si="228"/>
        <v>0</v>
      </c>
      <c r="J199" s="764"/>
      <c r="K199" s="764"/>
      <c r="L199" s="764"/>
      <c r="M199" s="764"/>
      <c r="N199" s="764"/>
      <c r="O199" s="764">
        <f t="shared" si="221"/>
        <v>0</v>
      </c>
      <c r="P199" s="543">
        <f t="shared" si="153"/>
        <v>0</v>
      </c>
      <c r="Q199" s="543">
        <f t="shared" si="154"/>
        <v>0</v>
      </c>
      <c r="R199" s="764">
        <f t="shared" si="227"/>
        <v>0</v>
      </c>
      <c r="S199" s="764"/>
      <c r="T199" s="764"/>
      <c r="U199" s="764"/>
      <c r="V199" s="764"/>
      <c r="W199" s="764"/>
      <c r="X199" s="764">
        <f t="shared" si="222"/>
        <v>0</v>
      </c>
      <c r="Y199" s="764">
        <f t="shared" si="223"/>
        <v>0</v>
      </c>
      <c r="Z199" s="764"/>
      <c r="AA199" s="764"/>
      <c r="AB199" s="764">
        <f t="shared" si="224"/>
        <v>0</v>
      </c>
      <c r="AC199" s="764"/>
      <c r="AD199" s="764"/>
      <c r="AE199" s="764">
        <f t="shared" si="225"/>
        <v>0</v>
      </c>
      <c r="AF199" s="764"/>
      <c r="AG199" s="764"/>
      <c r="AH199" s="764">
        <f t="shared" si="226"/>
        <v>0</v>
      </c>
      <c r="AI199" s="764"/>
      <c r="AJ199" s="764"/>
      <c r="AK199" s="764">
        <f t="shared" si="201"/>
        <v>0</v>
      </c>
      <c r="AL199" s="764">
        <f t="shared" si="206"/>
        <v>0</v>
      </c>
      <c r="AM199" s="764">
        <f t="shared" si="206"/>
        <v>0</v>
      </c>
      <c r="AN199" s="764">
        <f t="shared" si="207"/>
        <v>0</v>
      </c>
      <c r="AO199" s="764">
        <f t="shared" si="207"/>
        <v>0</v>
      </c>
      <c r="AP199" s="764">
        <f t="shared" si="143"/>
        <v>0</v>
      </c>
      <c r="AQ199" s="765"/>
      <c r="AR199" s="765"/>
    </row>
    <row r="200" spans="1:44" s="84" customFormat="1" hidden="1" outlineLevel="1">
      <c r="A200" s="541">
        <v>15</v>
      </c>
      <c r="B200" s="763" t="s">
        <v>436</v>
      </c>
      <c r="C200" s="528">
        <f t="shared" si="204"/>
        <v>482.2652820000003</v>
      </c>
      <c r="D200" s="764">
        <v>482.2652820000003</v>
      </c>
      <c r="E200" s="764">
        <v>0</v>
      </c>
      <c r="F200" s="764">
        <v>0</v>
      </c>
      <c r="G200" s="764">
        <v>0</v>
      </c>
      <c r="H200" s="764">
        <f t="shared" si="220"/>
        <v>28000</v>
      </c>
      <c r="I200" s="764">
        <f t="shared" si="228"/>
        <v>28000</v>
      </c>
      <c r="J200" s="764">
        <v>28000</v>
      </c>
      <c r="K200" s="764"/>
      <c r="L200" s="764"/>
      <c r="M200" s="764"/>
      <c r="N200" s="764"/>
      <c r="O200" s="764">
        <f t="shared" si="221"/>
        <v>28167.762179000001</v>
      </c>
      <c r="P200" s="543">
        <f t="shared" si="153"/>
        <v>28167.762179000001</v>
      </c>
      <c r="Q200" s="543">
        <f t="shared" si="154"/>
        <v>0</v>
      </c>
      <c r="R200" s="764">
        <f t="shared" si="227"/>
        <v>28167.762179000001</v>
      </c>
      <c r="S200" s="764">
        <v>28167.762179000001</v>
      </c>
      <c r="T200" s="764"/>
      <c r="U200" s="764"/>
      <c r="V200" s="764"/>
      <c r="W200" s="764"/>
      <c r="X200" s="764">
        <f t="shared" si="222"/>
        <v>314.50099999999998</v>
      </c>
      <c r="Y200" s="764">
        <f t="shared" si="223"/>
        <v>314.50099999999998</v>
      </c>
      <c r="Z200" s="764">
        <v>314.50099999999998</v>
      </c>
      <c r="AA200" s="764"/>
      <c r="AB200" s="764">
        <f t="shared" si="224"/>
        <v>0</v>
      </c>
      <c r="AC200" s="764"/>
      <c r="AD200" s="764"/>
      <c r="AE200" s="764">
        <f t="shared" si="225"/>
        <v>0</v>
      </c>
      <c r="AF200" s="764"/>
      <c r="AG200" s="764"/>
      <c r="AH200" s="764">
        <f t="shared" si="226"/>
        <v>0</v>
      </c>
      <c r="AI200" s="764"/>
      <c r="AJ200" s="764"/>
      <c r="AK200" s="764">
        <f t="shared" si="201"/>
        <v>2.1029999991242221E-3</v>
      </c>
      <c r="AL200" s="764">
        <f t="shared" si="206"/>
        <v>2.1029999991242221E-3</v>
      </c>
      <c r="AM200" s="764">
        <f t="shared" si="206"/>
        <v>0</v>
      </c>
      <c r="AN200" s="764">
        <f t="shared" si="207"/>
        <v>0</v>
      </c>
      <c r="AO200" s="764">
        <f t="shared" si="207"/>
        <v>0</v>
      </c>
      <c r="AP200" s="764">
        <f t="shared" si="143"/>
        <v>0</v>
      </c>
      <c r="AQ200" s="765"/>
      <c r="AR200" s="765"/>
    </row>
    <row r="201" spans="1:44" s="84" customFormat="1" hidden="1" outlineLevel="1">
      <c r="A201" s="541">
        <v>16</v>
      </c>
      <c r="B201" s="763" t="s">
        <v>437</v>
      </c>
      <c r="C201" s="528">
        <f t="shared" si="204"/>
        <v>1451.6869999999999</v>
      </c>
      <c r="D201" s="764">
        <v>1451.6869999999999</v>
      </c>
      <c r="E201" s="764">
        <v>0</v>
      </c>
      <c r="F201" s="764">
        <v>0</v>
      </c>
      <c r="G201" s="764">
        <v>0</v>
      </c>
      <c r="H201" s="764">
        <f t="shared" si="220"/>
        <v>2000</v>
      </c>
      <c r="I201" s="764">
        <f t="shared" si="228"/>
        <v>2000</v>
      </c>
      <c r="J201" s="764">
        <v>2000</v>
      </c>
      <c r="K201" s="764"/>
      <c r="L201" s="764"/>
      <c r="M201" s="764"/>
      <c r="N201" s="764"/>
      <c r="O201" s="764">
        <f t="shared" si="221"/>
        <v>3391.9689499999999</v>
      </c>
      <c r="P201" s="543">
        <f t="shared" si="153"/>
        <v>3391.9689499999999</v>
      </c>
      <c r="Q201" s="543">
        <f t="shared" si="154"/>
        <v>0</v>
      </c>
      <c r="R201" s="764">
        <f t="shared" si="227"/>
        <v>3391.9689499999999</v>
      </c>
      <c r="S201" s="764">
        <v>3391.9689499999999</v>
      </c>
      <c r="T201" s="764"/>
      <c r="U201" s="764"/>
      <c r="V201" s="764"/>
      <c r="W201" s="764"/>
      <c r="X201" s="764">
        <f t="shared" si="222"/>
        <v>0</v>
      </c>
      <c r="Y201" s="764">
        <f t="shared" si="223"/>
        <v>0</v>
      </c>
      <c r="Z201" s="764"/>
      <c r="AA201" s="764"/>
      <c r="AB201" s="764">
        <f t="shared" si="224"/>
        <v>0</v>
      </c>
      <c r="AC201" s="764"/>
      <c r="AD201" s="764"/>
      <c r="AE201" s="764">
        <f t="shared" si="225"/>
        <v>0</v>
      </c>
      <c r="AF201" s="764"/>
      <c r="AG201" s="764"/>
      <c r="AH201" s="764">
        <f t="shared" si="226"/>
        <v>0</v>
      </c>
      <c r="AI201" s="764"/>
      <c r="AJ201" s="764"/>
      <c r="AK201" s="764">
        <f t="shared" si="201"/>
        <v>59.718049999999948</v>
      </c>
      <c r="AL201" s="764">
        <f t="shared" si="206"/>
        <v>59.718049999999948</v>
      </c>
      <c r="AM201" s="764">
        <f t="shared" si="206"/>
        <v>0</v>
      </c>
      <c r="AN201" s="764">
        <f t="shared" si="207"/>
        <v>0</v>
      </c>
      <c r="AO201" s="764">
        <f t="shared" si="207"/>
        <v>0</v>
      </c>
      <c r="AP201" s="764">
        <f t="shared" si="143"/>
        <v>0</v>
      </c>
      <c r="AQ201" s="765"/>
      <c r="AR201" s="765"/>
    </row>
    <row r="202" spans="1:44" s="84" customFormat="1" hidden="1" outlineLevel="1">
      <c r="A202" s="541">
        <v>17</v>
      </c>
      <c r="B202" s="763" t="s">
        <v>438</v>
      </c>
      <c r="C202" s="528">
        <f t="shared" si="204"/>
        <v>0</v>
      </c>
      <c r="D202" s="764">
        <v>0</v>
      </c>
      <c r="E202" s="764">
        <v>0</v>
      </c>
      <c r="F202" s="764">
        <v>0</v>
      </c>
      <c r="G202" s="764">
        <v>0</v>
      </c>
      <c r="H202" s="764">
        <f t="shared" si="220"/>
        <v>0</v>
      </c>
      <c r="I202" s="764">
        <f t="shared" si="228"/>
        <v>0</v>
      </c>
      <c r="J202" s="764">
        <v>0</v>
      </c>
      <c r="K202" s="764"/>
      <c r="L202" s="764"/>
      <c r="M202" s="764"/>
      <c r="N202" s="764"/>
      <c r="O202" s="764">
        <f t="shared" si="221"/>
        <v>0</v>
      </c>
      <c r="P202" s="543">
        <f t="shared" si="153"/>
        <v>0</v>
      </c>
      <c r="Q202" s="543">
        <f t="shared" si="154"/>
        <v>0</v>
      </c>
      <c r="R202" s="764">
        <f t="shared" si="227"/>
        <v>0</v>
      </c>
      <c r="S202" s="764"/>
      <c r="T202" s="764"/>
      <c r="U202" s="764"/>
      <c r="V202" s="764"/>
      <c r="W202" s="764"/>
      <c r="X202" s="764">
        <f t="shared" si="222"/>
        <v>0</v>
      </c>
      <c r="Y202" s="764">
        <f t="shared" si="223"/>
        <v>0</v>
      </c>
      <c r="Z202" s="764"/>
      <c r="AA202" s="764"/>
      <c r="AB202" s="764">
        <f t="shared" si="224"/>
        <v>0</v>
      </c>
      <c r="AC202" s="764"/>
      <c r="AD202" s="764"/>
      <c r="AE202" s="764">
        <f t="shared" si="225"/>
        <v>0</v>
      </c>
      <c r="AF202" s="764"/>
      <c r="AG202" s="764"/>
      <c r="AH202" s="764">
        <f t="shared" si="226"/>
        <v>0</v>
      </c>
      <c r="AI202" s="764"/>
      <c r="AJ202" s="764"/>
      <c r="AK202" s="764">
        <f t="shared" si="201"/>
        <v>0</v>
      </c>
      <c r="AL202" s="764">
        <f t="shared" si="206"/>
        <v>0</v>
      </c>
      <c r="AM202" s="764">
        <f t="shared" si="206"/>
        <v>0</v>
      </c>
      <c r="AN202" s="764">
        <f t="shared" si="207"/>
        <v>0</v>
      </c>
      <c r="AO202" s="764">
        <f t="shared" si="207"/>
        <v>0</v>
      </c>
      <c r="AP202" s="764">
        <f t="shared" si="143"/>
        <v>0</v>
      </c>
      <c r="AQ202" s="765"/>
      <c r="AR202" s="765"/>
    </row>
    <row r="203" spans="1:44" s="84" customFormat="1" hidden="1" outlineLevel="1">
      <c r="A203" s="541">
        <v>18</v>
      </c>
      <c r="B203" s="763" t="s">
        <v>439</v>
      </c>
      <c r="C203" s="528">
        <f t="shared" si="204"/>
        <v>37.5</v>
      </c>
      <c r="D203" s="764">
        <v>37.5</v>
      </c>
      <c r="E203" s="764">
        <v>0</v>
      </c>
      <c r="F203" s="764">
        <v>0</v>
      </c>
      <c r="G203" s="764">
        <v>0</v>
      </c>
      <c r="H203" s="764">
        <f t="shared" si="220"/>
        <v>0</v>
      </c>
      <c r="I203" s="764">
        <f t="shared" si="228"/>
        <v>0</v>
      </c>
      <c r="J203" s="764">
        <v>0</v>
      </c>
      <c r="K203" s="764"/>
      <c r="L203" s="764"/>
      <c r="M203" s="764"/>
      <c r="N203" s="764"/>
      <c r="O203" s="764">
        <f t="shared" si="221"/>
        <v>0</v>
      </c>
      <c r="P203" s="543">
        <f t="shared" si="153"/>
        <v>0</v>
      </c>
      <c r="Q203" s="543">
        <f t="shared" si="154"/>
        <v>0</v>
      </c>
      <c r="R203" s="764">
        <f t="shared" si="227"/>
        <v>0</v>
      </c>
      <c r="S203" s="764">
        <v>0</v>
      </c>
      <c r="T203" s="764"/>
      <c r="U203" s="764"/>
      <c r="V203" s="764"/>
      <c r="W203" s="764"/>
      <c r="X203" s="764">
        <f t="shared" si="222"/>
        <v>0</v>
      </c>
      <c r="Y203" s="764">
        <f t="shared" si="223"/>
        <v>0</v>
      </c>
      <c r="Z203" s="764"/>
      <c r="AA203" s="764"/>
      <c r="AB203" s="764">
        <f t="shared" si="224"/>
        <v>0</v>
      </c>
      <c r="AC203" s="764"/>
      <c r="AD203" s="764"/>
      <c r="AE203" s="764">
        <f t="shared" si="225"/>
        <v>0</v>
      </c>
      <c r="AF203" s="764"/>
      <c r="AG203" s="764"/>
      <c r="AH203" s="764">
        <f t="shared" si="226"/>
        <v>0</v>
      </c>
      <c r="AI203" s="764"/>
      <c r="AJ203" s="764"/>
      <c r="AK203" s="764">
        <f t="shared" si="201"/>
        <v>37.5</v>
      </c>
      <c r="AL203" s="764">
        <f t="shared" si="206"/>
        <v>37.5</v>
      </c>
      <c r="AM203" s="764">
        <f t="shared" si="206"/>
        <v>0</v>
      </c>
      <c r="AN203" s="764">
        <f t="shared" si="207"/>
        <v>0</v>
      </c>
      <c r="AO203" s="764">
        <f t="shared" si="207"/>
        <v>0</v>
      </c>
      <c r="AP203" s="764">
        <f t="shared" ref="AP203:AP255" si="229">C203+H203-O203-X203-AK203</f>
        <v>0</v>
      </c>
      <c r="AQ203" s="765"/>
      <c r="AR203" s="765"/>
    </row>
    <row r="204" spans="1:44" s="84" customFormat="1" ht="31.2" hidden="1" outlineLevel="1">
      <c r="A204" s="541">
        <v>19</v>
      </c>
      <c r="B204" s="763" t="s">
        <v>440</v>
      </c>
      <c r="C204" s="528">
        <f t="shared" si="204"/>
        <v>2587.8010000000004</v>
      </c>
      <c r="D204" s="764">
        <v>2587.8010000000004</v>
      </c>
      <c r="E204" s="764">
        <v>0</v>
      </c>
      <c r="F204" s="764">
        <v>0</v>
      </c>
      <c r="G204" s="764">
        <v>0</v>
      </c>
      <c r="H204" s="764">
        <f t="shared" si="220"/>
        <v>0</v>
      </c>
      <c r="I204" s="764">
        <f t="shared" si="228"/>
        <v>0</v>
      </c>
      <c r="J204" s="764">
        <v>0</v>
      </c>
      <c r="K204" s="764"/>
      <c r="L204" s="764"/>
      <c r="M204" s="764"/>
      <c r="N204" s="764"/>
      <c r="O204" s="764">
        <f t="shared" si="221"/>
        <v>1630.539</v>
      </c>
      <c r="P204" s="543">
        <f t="shared" si="153"/>
        <v>1630.539</v>
      </c>
      <c r="Q204" s="543">
        <f t="shared" si="154"/>
        <v>0</v>
      </c>
      <c r="R204" s="764">
        <f t="shared" si="227"/>
        <v>1630.539</v>
      </c>
      <c r="S204" s="764">
        <v>1630.539</v>
      </c>
      <c r="T204" s="764"/>
      <c r="U204" s="764"/>
      <c r="V204" s="764"/>
      <c r="W204" s="764"/>
      <c r="X204" s="764">
        <f t="shared" si="222"/>
        <v>0</v>
      </c>
      <c r="Y204" s="764">
        <f t="shared" si="223"/>
        <v>0</v>
      </c>
      <c r="Z204" s="764"/>
      <c r="AA204" s="764"/>
      <c r="AB204" s="764">
        <f t="shared" si="224"/>
        <v>0</v>
      </c>
      <c r="AC204" s="764"/>
      <c r="AD204" s="764"/>
      <c r="AE204" s="764">
        <f t="shared" si="225"/>
        <v>0</v>
      </c>
      <c r="AF204" s="764"/>
      <c r="AG204" s="764"/>
      <c r="AH204" s="764">
        <f t="shared" si="226"/>
        <v>0</v>
      </c>
      <c r="AI204" s="764"/>
      <c r="AJ204" s="764"/>
      <c r="AK204" s="764">
        <f t="shared" si="201"/>
        <v>957.2620000000004</v>
      </c>
      <c r="AL204" s="764">
        <f t="shared" si="206"/>
        <v>957.2620000000004</v>
      </c>
      <c r="AM204" s="764">
        <f t="shared" si="206"/>
        <v>0</v>
      </c>
      <c r="AN204" s="764">
        <f t="shared" si="207"/>
        <v>0</v>
      </c>
      <c r="AO204" s="764">
        <f t="shared" si="207"/>
        <v>0</v>
      </c>
      <c r="AP204" s="764">
        <f t="shared" si="229"/>
        <v>0</v>
      </c>
      <c r="AQ204" s="765"/>
      <c r="AR204" s="765"/>
    </row>
    <row r="205" spans="1:44" s="84" customFormat="1" hidden="1" outlineLevel="1">
      <c r="A205" s="541">
        <v>20</v>
      </c>
      <c r="B205" s="763" t="s">
        <v>441</v>
      </c>
      <c r="C205" s="528">
        <f t="shared" si="204"/>
        <v>42159.958999999995</v>
      </c>
      <c r="D205" s="764">
        <v>42159.958999999995</v>
      </c>
      <c r="E205" s="764">
        <v>0</v>
      </c>
      <c r="F205" s="764">
        <v>0</v>
      </c>
      <c r="G205" s="764">
        <v>0</v>
      </c>
      <c r="H205" s="764">
        <f t="shared" si="220"/>
        <v>0</v>
      </c>
      <c r="I205" s="764">
        <f t="shared" si="228"/>
        <v>0</v>
      </c>
      <c r="J205" s="764"/>
      <c r="K205" s="764"/>
      <c r="L205" s="764"/>
      <c r="M205" s="764"/>
      <c r="N205" s="764"/>
      <c r="O205" s="764">
        <f t="shared" si="221"/>
        <v>0</v>
      </c>
      <c r="P205" s="543">
        <f t="shared" si="153"/>
        <v>0</v>
      </c>
      <c r="Q205" s="543">
        <f t="shared" si="154"/>
        <v>0</v>
      </c>
      <c r="R205" s="764">
        <f t="shared" si="227"/>
        <v>0</v>
      </c>
      <c r="S205" s="764"/>
      <c r="T205" s="764"/>
      <c r="U205" s="764"/>
      <c r="V205" s="764"/>
      <c r="W205" s="764"/>
      <c r="X205" s="764">
        <f t="shared" si="222"/>
        <v>0</v>
      </c>
      <c r="Y205" s="764">
        <f t="shared" si="223"/>
        <v>0</v>
      </c>
      <c r="Z205" s="764"/>
      <c r="AA205" s="764"/>
      <c r="AB205" s="764">
        <f t="shared" si="224"/>
        <v>0</v>
      </c>
      <c r="AC205" s="764"/>
      <c r="AD205" s="764"/>
      <c r="AE205" s="764">
        <f t="shared" si="225"/>
        <v>0</v>
      </c>
      <c r="AF205" s="764"/>
      <c r="AG205" s="764"/>
      <c r="AH205" s="764">
        <f t="shared" si="226"/>
        <v>0</v>
      </c>
      <c r="AI205" s="764"/>
      <c r="AJ205" s="764"/>
      <c r="AK205" s="764">
        <f t="shared" si="201"/>
        <v>42159.958999999995</v>
      </c>
      <c r="AL205" s="764">
        <f t="shared" si="206"/>
        <v>42159.958999999995</v>
      </c>
      <c r="AM205" s="764">
        <f t="shared" si="206"/>
        <v>0</v>
      </c>
      <c r="AN205" s="764">
        <f t="shared" si="207"/>
        <v>0</v>
      </c>
      <c r="AO205" s="764">
        <f t="shared" si="207"/>
        <v>0</v>
      </c>
      <c r="AP205" s="764">
        <f t="shared" si="229"/>
        <v>0</v>
      </c>
      <c r="AQ205" s="765"/>
      <c r="AR205" s="765"/>
    </row>
    <row r="206" spans="1:44" s="84" customFormat="1" hidden="1" outlineLevel="1">
      <c r="A206" s="541">
        <v>21</v>
      </c>
      <c r="B206" s="763" t="s">
        <v>442</v>
      </c>
      <c r="C206" s="528">
        <f t="shared" si="204"/>
        <v>0</v>
      </c>
      <c r="D206" s="764">
        <v>0</v>
      </c>
      <c r="E206" s="764">
        <v>0</v>
      </c>
      <c r="F206" s="764">
        <v>0</v>
      </c>
      <c r="G206" s="764">
        <v>0</v>
      </c>
      <c r="H206" s="764">
        <f t="shared" si="220"/>
        <v>0</v>
      </c>
      <c r="I206" s="764">
        <f t="shared" si="228"/>
        <v>0</v>
      </c>
      <c r="J206" s="764"/>
      <c r="K206" s="764"/>
      <c r="L206" s="764"/>
      <c r="M206" s="764"/>
      <c r="N206" s="764"/>
      <c r="O206" s="764">
        <f t="shared" si="221"/>
        <v>0</v>
      </c>
      <c r="P206" s="543">
        <f t="shared" si="153"/>
        <v>0</v>
      </c>
      <c r="Q206" s="543">
        <f t="shared" si="154"/>
        <v>0</v>
      </c>
      <c r="R206" s="764">
        <f t="shared" si="227"/>
        <v>0</v>
      </c>
      <c r="S206" s="764"/>
      <c r="T206" s="764"/>
      <c r="U206" s="764"/>
      <c r="V206" s="764"/>
      <c r="W206" s="764"/>
      <c r="X206" s="764">
        <f t="shared" si="222"/>
        <v>0</v>
      </c>
      <c r="Y206" s="764">
        <f>Z206+AA206</f>
        <v>0</v>
      </c>
      <c r="Z206" s="764"/>
      <c r="AA206" s="764"/>
      <c r="AB206" s="764">
        <f>AC206+AD206</f>
        <v>0</v>
      </c>
      <c r="AC206" s="764"/>
      <c r="AD206" s="764"/>
      <c r="AE206" s="764">
        <f t="shared" si="225"/>
        <v>0</v>
      </c>
      <c r="AF206" s="764"/>
      <c r="AG206" s="764"/>
      <c r="AH206" s="764">
        <f t="shared" si="226"/>
        <v>0</v>
      </c>
      <c r="AI206" s="764"/>
      <c r="AJ206" s="764"/>
      <c r="AK206" s="764">
        <f t="shared" si="201"/>
        <v>0</v>
      </c>
      <c r="AL206" s="764">
        <f t="shared" si="206"/>
        <v>0</v>
      </c>
      <c r="AM206" s="764">
        <f t="shared" si="206"/>
        <v>0</v>
      </c>
      <c r="AN206" s="764">
        <f t="shared" si="207"/>
        <v>0</v>
      </c>
      <c r="AO206" s="764">
        <f t="shared" si="207"/>
        <v>0</v>
      </c>
      <c r="AP206" s="764">
        <f t="shared" si="229"/>
        <v>0</v>
      </c>
      <c r="AQ206" s="765"/>
      <c r="AR206" s="765"/>
    </row>
    <row r="207" spans="1:44" s="84" customFormat="1" ht="31.2" hidden="1" outlineLevel="1">
      <c r="A207" s="541">
        <v>22</v>
      </c>
      <c r="B207" s="763" t="s">
        <v>443</v>
      </c>
      <c r="C207" s="528">
        <f t="shared" si="204"/>
        <v>394.88400000000001</v>
      </c>
      <c r="D207" s="764">
        <v>394.88400000000001</v>
      </c>
      <c r="E207" s="764">
        <v>0</v>
      </c>
      <c r="F207" s="764">
        <v>0</v>
      </c>
      <c r="G207" s="764">
        <v>0</v>
      </c>
      <c r="H207" s="764">
        <f t="shared" si="220"/>
        <v>0</v>
      </c>
      <c r="I207" s="764">
        <f t="shared" si="228"/>
        <v>0</v>
      </c>
      <c r="J207" s="764"/>
      <c r="K207" s="764"/>
      <c r="L207" s="764"/>
      <c r="M207" s="764"/>
      <c r="N207" s="764"/>
      <c r="O207" s="764">
        <f t="shared" si="221"/>
        <v>0</v>
      </c>
      <c r="P207" s="543">
        <f t="shared" ref="P207:P270" si="230">S207+V207</f>
        <v>0</v>
      </c>
      <c r="Q207" s="543">
        <f t="shared" ref="Q207:Q270" si="231">T207+W207</f>
        <v>0</v>
      </c>
      <c r="R207" s="764">
        <f t="shared" si="227"/>
        <v>0</v>
      </c>
      <c r="S207" s="764"/>
      <c r="T207" s="764"/>
      <c r="U207" s="764"/>
      <c r="V207" s="764"/>
      <c r="W207" s="764"/>
      <c r="X207" s="764">
        <f t="shared" si="222"/>
        <v>0</v>
      </c>
      <c r="Y207" s="764">
        <f>Z207+AA207</f>
        <v>0</v>
      </c>
      <c r="Z207" s="764"/>
      <c r="AA207" s="764"/>
      <c r="AB207" s="764">
        <f>AC207+AD207</f>
        <v>0</v>
      </c>
      <c r="AC207" s="764"/>
      <c r="AD207" s="764"/>
      <c r="AE207" s="764">
        <f t="shared" si="225"/>
        <v>0</v>
      </c>
      <c r="AF207" s="764"/>
      <c r="AG207" s="764"/>
      <c r="AH207" s="764">
        <f t="shared" si="226"/>
        <v>0</v>
      </c>
      <c r="AI207" s="764"/>
      <c r="AJ207" s="764"/>
      <c r="AK207" s="764">
        <f t="shared" si="201"/>
        <v>394.88400000000001</v>
      </c>
      <c r="AL207" s="764">
        <f t="shared" si="206"/>
        <v>394.88400000000001</v>
      </c>
      <c r="AM207" s="764">
        <f t="shared" si="206"/>
        <v>0</v>
      </c>
      <c r="AN207" s="764">
        <f t="shared" si="207"/>
        <v>0</v>
      </c>
      <c r="AO207" s="764">
        <f t="shared" si="207"/>
        <v>0</v>
      </c>
      <c r="AP207" s="764">
        <f t="shared" si="229"/>
        <v>0</v>
      </c>
      <c r="AQ207" s="765"/>
      <c r="AR207" s="765"/>
    </row>
    <row r="208" spans="1:44" s="84" customFormat="1" hidden="1" outlineLevel="1">
      <c r="A208" s="541">
        <v>23</v>
      </c>
      <c r="B208" s="763" t="s">
        <v>2151</v>
      </c>
      <c r="C208" s="528"/>
      <c r="D208" s="764"/>
      <c r="E208" s="764"/>
      <c r="F208" s="764"/>
      <c r="G208" s="764"/>
      <c r="H208" s="764">
        <f t="shared" si="220"/>
        <v>597645</v>
      </c>
      <c r="I208" s="764">
        <f t="shared" si="228"/>
        <v>597645</v>
      </c>
      <c r="J208" s="764">
        <v>597645</v>
      </c>
      <c r="K208" s="764"/>
      <c r="L208" s="764"/>
      <c r="M208" s="764"/>
      <c r="N208" s="764"/>
      <c r="O208" s="764">
        <f t="shared" si="221"/>
        <v>15451.897999999999</v>
      </c>
      <c r="P208" s="543">
        <f t="shared" si="230"/>
        <v>15451.897999999999</v>
      </c>
      <c r="Q208" s="543">
        <f t="shared" si="231"/>
        <v>0</v>
      </c>
      <c r="R208" s="764">
        <f t="shared" si="227"/>
        <v>15451.897999999999</v>
      </c>
      <c r="S208" s="764">
        <v>15451.897999999999</v>
      </c>
      <c r="T208" s="764"/>
      <c r="U208" s="764"/>
      <c r="V208" s="764"/>
      <c r="W208" s="764"/>
      <c r="X208" s="764"/>
      <c r="Y208" s="764"/>
      <c r="Z208" s="764"/>
      <c r="AA208" s="764"/>
      <c r="AB208" s="764"/>
      <c r="AC208" s="764"/>
      <c r="AD208" s="764"/>
      <c r="AE208" s="764"/>
      <c r="AF208" s="764"/>
      <c r="AG208" s="764"/>
      <c r="AH208" s="764"/>
      <c r="AI208" s="764"/>
      <c r="AJ208" s="764"/>
      <c r="AK208" s="764">
        <f t="shared" si="201"/>
        <v>582193.10199999996</v>
      </c>
      <c r="AL208" s="764">
        <f t="shared" si="206"/>
        <v>582193.10199999996</v>
      </c>
      <c r="AM208" s="764">
        <f t="shared" si="206"/>
        <v>0</v>
      </c>
      <c r="AN208" s="764">
        <f t="shared" si="207"/>
        <v>0</v>
      </c>
      <c r="AO208" s="764">
        <f t="shared" si="207"/>
        <v>0</v>
      </c>
      <c r="AP208" s="764">
        <f t="shared" si="229"/>
        <v>0</v>
      </c>
      <c r="AQ208" s="765"/>
      <c r="AR208" s="765"/>
    </row>
    <row r="209" spans="1:44" s="84" customFormat="1" ht="31.2" hidden="1" outlineLevel="1">
      <c r="A209" s="541">
        <v>24</v>
      </c>
      <c r="B209" s="763" t="s">
        <v>2152</v>
      </c>
      <c r="C209" s="764">
        <f t="shared" ref="C209:L209" si="232">SUM(C210:C219)</f>
        <v>0</v>
      </c>
      <c r="D209" s="764">
        <f t="shared" si="232"/>
        <v>0</v>
      </c>
      <c r="E209" s="764">
        <f t="shared" si="232"/>
        <v>0</v>
      </c>
      <c r="F209" s="764">
        <f t="shared" si="232"/>
        <v>0</v>
      </c>
      <c r="G209" s="764">
        <f t="shared" si="232"/>
        <v>0</v>
      </c>
      <c r="H209" s="764">
        <f t="shared" si="232"/>
        <v>26733</v>
      </c>
      <c r="I209" s="764">
        <f t="shared" si="232"/>
        <v>0</v>
      </c>
      <c r="J209" s="764">
        <f t="shared" si="232"/>
        <v>0</v>
      </c>
      <c r="K209" s="764">
        <f t="shared" si="232"/>
        <v>0</v>
      </c>
      <c r="L209" s="764">
        <f t="shared" si="232"/>
        <v>26733</v>
      </c>
      <c r="M209" s="764">
        <f>SUM(M210:M219)</f>
        <v>26733</v>
      </c>
      <c r="N209" s="764">
        <f t="shared" ref="N209:AJ209" si="233">SUM(N210:N219)</f>
        <v>0</v>
      </c>
      <c r="O209" s="764">
        <f t="shared" si="233"/>
        <v>26570</v>
      </c>
      <c r="P209" s="543">
        <f t="shared" si="230"/>
        <v>26570</v>
      </c>
      <c r="Q209" s="543">
        <f t="shared" si="231"/>
        <v>0</v>
      </c>
      <c r="R209" s="764">
        <f t="shared" si="233"/>
        <v>0</v>
      </c>
      <c r="S209" s="764">
        <f t="shared" si="233"/>
        <v>0</v>
      </c>
      <c r="T209" s="764">
        <f t="shared" si="233"/>
        <v>0</v>
      </c>
      <c r="U209" s="764">
        <f t="shared" si="233"/>
        <v>26570</v>
      </c>
      <c r="V209" s="764">
        <f t="shared" si="233"/>
        <v>26570</v>
      </c>
      <c r="W209" s="764">
        <f t="shared" si="233"/>
        <v>0</v>
      </c>
      <c r="X209" s="764">
        <f t="shared" si="233"/>
        <v>0</v>
      </c>
      <c r="Y209" s="764">
        <f t="shared" si="233"/>
        <v>0</v>
      </c>
      <c r="Z209" s="764">
        <f t="shared" si="233"/>
        <v>0</v>
      </c>
      <c r="AA209" s="764">
        <f t="shared" si="233"/>
        <v>0</v>
      </c>
      <c r="AB209" s="764">
        <f t="shared" si="233"/>
        <v>0</v>
      </c>
      <c r="AC209" s="764">
        <f t="shared" si="233"/>
        <v>0</v>
      </c>
      <c r="AD209" s="764">
        <f t="shared" si="233"/>
        <v>0</v>
      </c>
      <c r="AE209" s="764">
        <f t="shared" si="233"/>
        <v>0</v>
      </c>
      <c r="AF209" s="764">
        <f t="shared" si="233"/>
        <v>0</v>
      </c>
      <c r="AG209" s="764">
        <f t="shared" si="233"/>
        <v>0</v>
      </c>
      <c r="AH209" s="764">
        <f t="shared" si="233"/>
        <v>0</v>
      </c>
      <c r="AI209" s="764">
        <f t="shared" si="233"/>
        <v>0</v>
      </c>
      <c r="AJ209" s="764">
        <f t="shared" si="233"/>
        <v>0</v>
      </c>
      <c r="AK209" s="764">
        <f t="shared" si="201"/>
        <v>163</v>
      </c>
      <c r="AL209" s="764">
        <f t="shared" si="206"/>
        <v>0</v>
      </c>
      <c r="AM209" s="764">
        <f t="shared" si="206"/>
        <v>0</v>
      </c>
      <c r="AN209" s="764">
        <f t="shared" si="207"/>
        <v>163</v>
      </c>
      <c r="AO209" s="764">
        <f t="shared" si="207"/>
        <v>0</v>
      </c>
      <c r="AP209" s="764">
        <f t="shared" si="229"/>
        <v>0</v>
      </c>
      <c r="AQ209" s="765"/>
      <c r="AR209" s="765"/>
    </row>
    <row r="210" spans="1:44" s="84" customFormat="1" hidden="1" outlineLevel="1">
      <c r="A210" s="541"/>
      <c r="B210" s="763" t="s">
        <v>188</v>
      </c>
      <c r="C210" s="528"/>
      <c r="D210" s="764"/>
      <c r="E210" s="764"/>
      <c r="F210" s="764"/>
      <c r="G210" s="764"/>
      <c r="H210" s="764">
        <f>I210+L210</f>
        <v>627</v>
      </c>
      <c r="I210" s="764">
        <f>J210+K210</f>
        <v>0</v>
      </c>
      <c r="J210" s="764"/>
      <c r="K210" s="764"/>
      <c r="L210" s="764">
        <f>M210+N210</f>
        <v>627</v>
      </c>
      <c r="M210" s="764">
        <v>627</v>
      </c>
      <c r="N210" s="764"/>
      <c r="O210" s="764">
        <f>R210+U210</f>
        <v>627</v>
      </c>
      <c r="P210" s="543">
        <f t="shared" si="230"/>
        <v>627</v>
      </c>
      <c r="Q210" s="543">
        <f t="shared" si="231"/>
        <v>0</v>
      </c>
      <c r="R210" s="764">
        <f>S210+T210</f>
        <v>0</v>
      </c>
      <c r="S210" s="764"/>
      <c r="T210" s="764"/>
      <c r="U210" s="764">
        <f>V210+W210</f>
        <v>627</v>
      </c>
      <c r="V210" s="764">
        <v>627</v>
      </c>
      <c r="W210" s="764"/>
      <c r="X210" s="764"/>
      <c r="Y210" s="764"/>
      <c r="Z210" s="764"/>
      <c r="AA210" s="764"/>
      <c r="AB210" s="764"/>
      <c r="AC210" s="764"/>
      <c r="AD210" s="764"/>
      <c r="AE210" s="764"/>
      <c r="AF210" s="764"/>
      <c r="AG210" s="764"/>
      <c r="AH210" s="764"/>
      <c r="AI210" s="764"/>
      <c r="AJ210" s="764"/>
      <c r="AK210" s="764">
        <f t="shared" si="201"/>
        <v>0</v>
      </c>
      <c r="AL210" s="764">
        <f t="shared" si="206"/>
        <v>0</v>
      </c>
      <c r="AM210" s="764">
        <f t="shared" si="206"/>
        <v>0</v>
      </c>
      <c r="AN210" s="764">
        <f t="shared" si="207"/>
        <v>0</v>
      </c>
      <c r="AO210" s="764">
        <f t="shared" si="207"/>
        <v>0</v>
      </c>
      <c r="AP210" s="764">
        <f t="shared" si="229"/>
        <v>0</v>
      </c>
      <c r="AQ210" s="765"/>
      <c r="AR210" s="765"/>
    </row>
    <row r="211" spans="1:44" s="84" customFormat="1" hidden="1" outlineLevel="1">
      <c r="A211" s="541"/>
      <c r="B211" s="763" t="s">
        <v>200</v>
      </c>
      <c r="C211" s="528"/>
      <c r="D211" s="764"/>
      <c r="E211" s="764"/>
      <c r="F211" s="764"/>
      <c r="G211" s="764"/>
      <c r="H211" s="764">
        <f t="shared" ref="H211:H219" si="234">I211+L211</f>
        <v>3667</v>
      </c>
      <c r="I211" s="764">
        <f t="shared" ref="I211:I219" si="235">J211+K211</f>
        <v>0</v>
      </c>
      <c r="J211" s="764"/>
      <c r="K211" s="764"/>
      <c r="L211" s="764">
        <f t="shared" ref="L211:L219" si="236">M211+N211</f>
        <v>3667</v>
      </c>
      <c r="M211" s="764">
        <v>3667</v>
      </c>
      <c r="N211" s="764"/>
      <c r="O211" s="764">
        <f>R211+U211</f>
        <v>3660</v>
      </c>
      <c r="P211" s="543">
        <f t="shared" si="230"/>
        <v>3660</v>
      </c>
      <c r="Q211" s="543">
        <f t="shared" si="231"/>
        <v>0</v>
      </c>
      <c r="R211" s="764">
        <f>S211+T211</f>
        <v>0</v>
      </c>
      <c r="S211" s="764"/>
      <c r="T211" s="764"/>
      <c r="U211" s="764">
        <f>V211+W211</f>
        <v>3660</v>
      </c>
      <c r="V211" s="764">
        <f>3380+280</f>
        <v>3660</v>
      </c>
      <c r="W211" s="764"/>
      <c r="X211" s="764"/>
      <c r="Y211" s="764"/>
      <c r="Z211" s="764"/>
      <c r="AA211" s="764"/>
      <c r="AB211" s="764"/>
      <c r="AC211" s="764"/>
      <c r="AD211" s="764"/>
      <c r="AE211" s="764"/>
      <c r="AF211" s="764"/>
      <c r="AG211" s="764"/>
      <c r="AH211" s="764"/>
      <c r="AI211" s="764"/>
      <c r="AJ211" s="764"/>
      <c r="AK211" s="764">
        <f t="shared" si="201"/>
        <v>7</v>
      </c>
      <c r="AL211" s="764">
        <f t="shared" si="206"/>
        <v>0</v>
      </c>
      <c r="AM211" s="764">
        <f t="shared" si="206"/>
        <v>0</v>
      </c>
      <c r="AN211" s="764">
        <f t="shared" si="207"/>
        <v>7</v>
      </c>
      <c r="AO211" s="764">
        <f t="shared" si="207"/>
        <v>0</v>
      </c>
      <c r="AP211" s="764">
        <f t="shared" si="229"/>
        <v>0</v>
      </c>
      <c r="AQ211" s="765"/>
      <c r="AR211" s="765"/>
    </row>
    <row r="212" spans="1:44" s="84" customFormat="1" hidden="1" outlineLevel="1">
      <c r="A212" s="541"/>
      <c r="B212" s="763" t="s">
        <v>197</v>
      </c>
      <c r="C212" s="528"/>
      <c r="D212" s="764"/>
      <c r="E212" s="764"/>
      <c r="F212" s="764"/>
      <c r="G212" s="764"/>
      <c r="H212" s="764">
        <f t="shared" si="234"/>
        <v>1107</v>
      </c>
      <c r="I212" s="764">
        <f t="shared" si="235"/>
        <v>0</v>
      </c>
      <c r="J212" s="764"/>
      <c r="K212" s="764"/>
      <c r="L212" s="764">
        <f t="shared" si="236"/>
        <v>1107</v>
      </c>
      <c r="M212" s="764">
        <v>1107</v>
      </c>
      <c r="N212" s="764"/>
      <c r="O212" s="764">
        <f t="shared" ref="O212:O219" si="237">R212+U212</f>
        <v>1107</v>
      </c>
      <c r="P212" s="543">
        <f t="shared" si="230"/>
        <v>1107</v>
      </c>
      <c r="Q212" s="543">
        <f t="shared" si="231"/>
        <v>0</v>
      </c>
      <c r="R212" s="764">
        <f t="shared" ref="R212:R219" si="238">S212+T212</f>
        <v>0</v>
      </c>
      <c r="S212" s="764"/>
      <c r="T212" s="764"/>
      <c r="U212" s="764">
        <f t="shared" ref="U212:U219" si="239">V212+W212</f>
        <v>1107</v>
      </c>
      <c r="V212" s="764">
        <v>1107</v>
      </c>
      <c r="W212" s="764"/>
      <c r="X212" s="764"/>
      <c r="Y212" s="764"/>
      <c r="Z212" s="764"/>
      <c r="AA212" s="764"/>
      <c r="AB212" s="764"/>
      <c r="AC212" s="764"/>
      <c r="AD212" s="764"/>
      <c r="AE212" s="764"/>
      <c r="AF212" s="764"/>
      <c r="AG212" s="764"/>
      <c r="AH212" s="764"/>
      <c r="AI212" s="764"/>
      <c r="AJ212" s="764"/>
      <c r="AK212" s="764">
        <f t="shared" si="201"/>
        <v>0</v>
      </c>
      <c r="AL212" s="764">
        <f t="shared" si="206"/>
        <v>0</v>
      </c>
      <c r="AM212" s="764">
        <f t="shared" si="206"/>
        <v>0</v>
      </c>
      <c r="AN212" s="764">
        <f t="shared" si="207"/>
        <v>0</v>
      </c>
      <c r="AO212" s="764">
        <f t="shared" si="207"/>
        <v>0</v>
      </c>
      <c r="AP212" s="764">
        <f t="shared" si="229"/>
        <v>0</v>
      </c>
      <c r="AQ212" s="765"/>
      <c r="AR212" s="765"/>
    </row>
    <row r="213" spans="1:44" s="84" customFormat="1" hidden="1" outlineLevel="1">
      <c r="A213" s="541"/>
      <c r="B213" s="763" t="s">
        <v>198</v>
      </c>
      <c r="C213" s="528"/>
      <c r="D213" s="764"/>
      <c r="E213" s="764"/>
      <c r="F213" s="764"/>
      <c r="G213" s="764"/>
      <c r="H213" s="764">
        <f t="shared" si="234"/>
        <v>1292</v>
      </c>
      <c r="I213" s="764">
        <f t="shared" si="235"/>
        <v>0</v>
      </c>
      <c r="J213" s="764"/>
      <c r="K213" s="764"/>
      <c r="L213" s="764">
        <f t="shared" si="236"/>
        <v>1292</v>
      </c>
      <c r="M213" s="764">
        <v>1292</v>
      </c>
      <c r="N213" s="764"/>
      <c r="O213" s="764">
        <f t="shared" si="237"/>
        <v>1292</v>
      </c>
      <c r="P213" s="543">
        <f t="shared" si="230"/>
        <v>1292</v>
      </c>
      <c r="Q213" s="543">
        <f t="shared" si="231"/>
        <v>0</v>
      </c>
      <c r="R213" s="764">
        <f t="shared" si="238"/>
        <v>0</v>
      </c>
      <c r="S213" s="764"/>
      <c r="T213" s="764"/>
      <c r="U213" s="764">
        <f t="shared" si="239"/>
        <v>1292</v>
      </c>
      <c r="V213" s="764">
        <v>1292</v>
      </c>
      <c r="W213" s="764"/>
      <c r="X213" s="764"/>
      <c r="Y213" s="764"/>
      <c r="Z213" s="764"/>
      <c r="AA213" s="764"/>
      <c r="AB213" s="764"/>
      <c r="AC213" s="764"/>
      <c r="AD213" s="764"/>
      <c r="AE213" s="764"/>
      <c r="AF213" s="764"/>
      <c r="AG213" s="764"/>
      <c r="AH213" s="764"/>
      <c r="AI213" s="764"/>
      <c r="AJ213" s="764"/>
      <c r="AK213" s="764">
        <f t="shared" si="201"/>
        <v>0</v>
      </c>
      <c r="AL213" s="764">
        <f t="shared" si="206"/>
        <v>0</v>
      </c>
      <c r="AM213" s="764">
        <f t="shared" si="206"/>
        <v>0</v>
      </c>
      <c r="AN213" s="764">
        <f t="shared" si="207"/>
        <v>0</v>
      </c>
      <c r="AO213" s="764">
        <f t="shared" si="207"/>
        <v>0</v>
      </c>
      <c r="AP213" s="764">
        <f t="shared" si="229"/>
        <v>0</v>
      </c>
      <c r="AQ213" s="765"/>
      <c r="AR213" s="765"/>
    </row>
    <row r="214" spans="1:44" s="84" customFormat="1" hidden="1" outlineLevel="1">
      <c r="A214" s="541"/>
      <c r="B214" s="763" t="s">
        <v>194</v>
      </c>
      <c r="C214" s="528"/>
      <c r="D214" s="764"/>
      <c r="E214" s="764"/>
      <c r="F214" s="764"/>
      <c r="G214" s="764"/>
      <c r="H214" s="764">
        <f t="shared" si="234"/>
        <v>7714</v>
      </c>
      <c r="I214" s="764">
        <f t="shared" si="235"/>
        <v>0</v>
      </c>
      <c r="J214" s="764"/>
      <c r="K214" s="764"/>
      <c r="L214" s="764">
        <f t="shared" si="236"/>
        <v>7714</v>
      </c>
      <c r="M214" s="764">
        <v>7714</v>
      </c>
      <c r="N214" s="764"/>
      <c r="O214" s="764">
        <f t="shared" si="237"/>
        <v>7714</v>
      </c>
      <c r="P214" s="543">
        <f t="shared" si="230"/>
        <v>7714</v>
      </c>
      <c r="Q214" s="543">
        <f t="shared" si="231"/>
        <v>0</v>
      </c>
      <c r="R214" s="764">
        <f t="shared" si="238"/>
        <v>0</v>
      </c>
      <c r="S214" s="764"/>
      <c r="T214" s="764"/>
      <c r="U214" s="764">
        <f t="shared" si="239"/>
        <v>7714</v>
      </c>
      <c r="V214" s="764">
        <f>7524+190</f>
        <v>7714</v>
      </c>
      <c r="W214" s="764"/>
      <c r="X214" s="764"/>
      <c r="Y214" s="764"/>
      <c r="Z214" s="764"/>
      <c r="AA214" s="764"/>
      <c r="AB214" s="764"/>
      <c r="AC214" s="764"/>
      <c r="AD214" s="764"/>
      <c r="AE214" s="764"/>
      <c r="AF214" s="764"/>
      <c r="AG214" s="764"/>
      <c r="AH214" s="764"/>
      <c r="AI214" s="764"/>
      <c r="AJ214" s="764"/>
      <c r="AK214" s="764">
        <f t="shared" si="201"/>
        <v>0</v>
      </c>
      <c r="AL214" s="764">
        <f t="shared" si="206"/>
        <v>0</v>
      </c>
      <c r="AM214" s="764">
        <f t="shared" si="206"/>
        <v>0</v>
      </c>
      <c r="AN214" s="764">
        <f t="shared" si="207"/>
        <v>0</v>
      </c>
      <c r="AO214" s="764">
        <f t="shared" si="207"/>
        <v>0</v>
      </c>
      <c r="AP214" s="764">
        <f t="shared" si="229"/>
        <v>0</v>
      </c>
      <c r="AQ214" s="765"/>
      <c r="AR214" s="765"/>
    </row>
    <row r="215" spans="1:44" s="84" customFormat="1" hidden="1" outlineLevel="1">
      <c r="A215" s="541"/>
      <c r="B215" s="763" t="s">
        <v>388</v>
      </c>
      <c r="C215" s="528"/>
      <c r="D215" s="764"/>
      <c r="E215" s="764"/>
      <c r="F215" s="764"/>
      <c r="G215" s="764"/>
      <c r="H215" s="764">
        <f t="shared" si="234"/>
        <v>3040</v>
      </c>
      <c r="I215" s="764">
        <f t="shared" si="235"/>
        <v>0</v>
      </c>
      <c r="J215" s="764"/>
      <c r="K215" s="764"/>
      <c r="L215" s="764">
        <f t="shared" si="236"/>
        <v>3040</v>
      </c>
      <c r="M215" s="764">
        <v>3040</v>
      </c>
      <c r="N215" s="764"/>
      <c r="O215" s="764">
        <f t="shared" si="237"/>
        <v>3040</v>
      </c>
      <c r="P215" s="543">
        <f t="shared" si="230"/>
        <v>3040</v>
      </c>
      <c r="Q215" s="543">
        <f t="shared" si="231"/>
        <v>0</v>
      </c>
      <c r="R215" s="764">
        <f t="shared" si="238"/>
        <v>0</v>
      </c>
      <c r="S215" s="764"/>
      <c r="T215" s="764"/>
      <c r="U215" s="764">
        <f t="shared" si="239"/>
        <v>3040</v>
      </c>
      <c r="V215" s="764">
        <v>3040</v>
      </c>
      <c r="W215" s="764"/>
      <c r="X215" s="764"/>
      <c r="Y215" s="764"/>
      <c r="Z215" s="764"/>
      <c r="AA215" s="764"/>
      <c r="AB215" s="764"/>
      <c r="AC215" s="764"/>
      <c r="AD215" s="764"/>
      <c r="AE215" s="764"/>
      <c r="AF215" s="764"/>
      <c r="AG215" s="764"/>
      <c r="AH215" s="764"/>
      <c r="AI215" s="764"/>
      <c r="AJ215" s="764"/>
      <c r="AK215" s="764">
        <f t="shared" si="201"/>
        <v>0</v>
      </c>
      <c r="AL215" s="764">
        <f t="shared" si="206"/>
        <v>0</v>
      </c>
      <c r="AM215" s="764">
        <f t="shared" si="206"/>
        <v>0</v>
      </c>
      <c r="AN215" s="764">
        <f t="shared" si="207"/>
        <v>0</v>
      </c>
      <c r="AO215" s="764">
        <f t="shared" si="207"/>
        <v>0</v>
      </c>
      <c r="AP215" s="764">
        <f t="shared" si="229"/>
        <v>0</v>
      </c>
      <c r="AQ215" s="765"/>
      <c r="AR215" s="765"/>
    </row>
    <row r="216" spans="1:44" s="84" customFormat="1" hidden="1" outlineLevel="1">
      <c r="A216" s="541"/>
      <c r="B216" s="763" t="s">
        <v>199</v>
      </c>
      <c r="C216" s="528"/>
      <c r="D216" s="764"/>
      <c r="E216" s="764"/>
      <c r="F216" s="764"/>
      <c r="G216" s="764"/>
      <c r="H216" s="764">
        <f t="shared" si="234"/>
        <v>19</v>
      </c>
      <c r="I216" s="764">
        <f t="shared" si="235"/>
        <v>0</v>
      </c>
      <c r="J216" s="764"/>
      <c r="K216" s="764"/>
      <c r="L216" s="764">
        <f t="shared" si="236"/>
        <v>19</v>
      </c>
      <c r="M216" s="764">
        <v>19</v>
      </c>
      <c r="N216" s="764"/>
      <c r="O216" s="764">
        <f t="shared" si="237"/>
        <v>19</v>
      </c>
      <c r="P216" s="543">
        <f t="shared" si="230"/>
        <v>19</v>
      </c>
      <c r="Q216" s="543">
        <f t="shared" si="231"/>
        <v>0</v>
      </c>
      <c r="R216" s="764">
        <f t="shared" si="238"/>
        <v>0</v>
      </c>
      <c r="S216" s="764"/>
      <c r="T216" s="764"/>
      <c r="U216" s="764">
        <f t="shared" si="239"/>
        <v>19</v>
      </c>
      <c r="V216" s="764">
        <v>19</v>
      </c>
      <c r="W216" s="764"/>
      <c r="X216" s="764"/>
      <c r="Y216" s="764"/>
      <c r="Z216" s="764"/>
      <c r="AA216" s="764"/>
      <c r="AB216" s="764"/>
      <c r="AC216" s="764"/>
      <c r="AD216" s="764"/>
      <c r="AE216" s="764"/>
      <c r="AF216" s="764"/>
      <c r="AG216" s="764"/>
      <c r="AH216" s="764"/>
      <c r="AI216" s="764"/>
      <c r="AJ216" s="764"/>
      <c r="AK216" s="764">
        <f t="shared" si="201"/>
        <v>0</v>
      </c>
      <c r="AL216" s="764">
        <f t="shared" si="206"/>
        <v>0</v>
      </c>
      <c r="AM216" s="764">
        <f t="shared" si="206"/>
        <v>0</v>
      </c>
      <c r="AN216" s="764">
        <f t="shared" si="207"/>
        <v>0</v>
      </c>
      <c r="AO216" s="764">
        <f t="shared" si="207"/>
        <v>0</v>
      </c>
      <c r="AP216" s="764">
        <f t="shared" si="229"/>
        <v>0</v>
      </c>
      <c r="AQ216" s="765"/>
      <c r="AR216" s="765"/>
    </row>
    <row r="217" spans="1:44" s="84" customFormat="1" hidden="1" outlineLevel="1">
      <c r="A217" s="541"/>
      <c r="B217" s="763" t="s">
        <v>196</v>
      </c>
      <c r="C217" s="528"/>
      <c r="D217" s="764"/>
      <c r="E217" s="764"/>
      <c r="F217" s="764"/>
      <c r="G217" s="764"/>
      <c r="H217" s="764">
        <f t="shared" si="234"/>
        <v>1500</v>
      </c>
      <c r="I217" s="764">
        <f t="shared" si="235"/>
        <v>0</v>
      </c>
      <c r="J217" s="764"/>
      <c r="K217" s="764"/>
      <c r="L217" s="764">
        <f t="shared" si="236"/>
        <v>1500</v>
      </c>
      <c r="M217" s="764">
        <v>1500</v>
      </c>
      <c r="N217" s="764"/>
      <c r="O217" s="764">
        <f t="shared" si="237"/>
        <v>1500</v>
      </c>
      <c r="P217" s="543">
        <f t="shared" si="230"/>
        <v>1500</v>
      </c>
      <c r="Q217" s="543">
        <f t="shared" si="231"/>
        <v>0</v>
      </c>
      <c r="R217" s="764">
        <f t="shared" si="238"/>
        <v>0</v>
      </c>
      <c r="S217" s="764"/>
      <c r="T217" s="764"/>
      <c r="U217" s="764">
        <f t="shared" si="239"/>
        <v>1500</v>
      </c>
      <c r="V217" s="764">
        <v>1500</v>
      </c>
      <c r="W217" s="764"/>
      <c r="X217" s="764"/>
      <c r="Y217" s="764"/>
      <c r="Z217" s="764"/>
      <c r="AA217" s="764"/>
      <c r="AB217" s="764"/>
      <c r="AC217" s="764"/>
      <c r="AD217" s="764"/>
      <c r="AE217" s="764"/>
      <c r="AF217" s="764"/>
      <c r="AG217" s="764"/>
      <c r="AH217" s="764"/>
      <c r="AI217" s="764"/>
      <c r="AJ217" s="764"/>
      <c r="AK217" s="764">
        <f t="shared" si="201"/>
        <v>0</v>
      </c>
      <c r="AL217" s="764">
        <f t="shared" si="206"/>
        <v>0</v>
      </c>
      <c r="AM217" s="764">
        <f t="shared" si="206"/>
        <v>0</v>
      </c>
      <c r="AN217" s="764">
        <f t="shared" si="207"/>
        <v>0</v>
      </c>
      <c r="AO217" s="764">
        <f t="shared" si="207"/>
        <v>0</v>
      </c>
      <c r="AP217" s="764">
        <f t="shared" si="229"/>
        <v>0</v>
      </c>
      <c r="AQ217" s="765"/>
      <c r="AR217" s="765"/>
    </row>
    <row r="218" spans="1:44" s="84" customFormat="1" hidden="1" outlineLevel="1">
      <c r="A218" s="541"/>
      <c r="B218" s="763" t="s">
        <v>193</v>
      </c>
      <c r="C218" s="528"/>
      <c r="D218" s="764"/>
      <c r="E218" s="764"/>
      <c r="F218" s="764"/>
      <c r="G218" s="764"/>
      <c r="H218" s="764">
        <f t="shared" si="234"/>
        <v>1767</v>
      </c>
      <c r="I218" s="764">
        <f t="shared" si="235"/>
        <v>0</v>
      </c>
      <c r="J218" s="764"/>
      <c r="K218" s="764"/>
      <c r="L218" s="764">
        <f t="shared" si="236"/>
        <v>1767</v>
      </c>
      <c r="M218" s="764">
        <v>1767</v>
      </c>
      <c r="N218" s="764"/>
      <c r="O218" s="764">
        <f t="shared" si="237"/>
        <v>1731</v>
      </c>
      <c r="P218" s="543">
        <f t="shared" si="230"/>
        <v>1731</v>
      </c>
      <c r="Q218" s="543">
        <f t="shared" si="231"/>
        <v>0</v>
      </c>
      <c r="R218" s="764">
        <f t="shared" si="238"/>
        <v>0</v>
      </c>
      <c r="S218" s="764"/>
      <c r="T218" s="764"/>
      <c r="U218" s="764">
        <f t="shared" si="239"/>
        <v>1731</v>
      </c>
      <c r="V218" s="764">
        <f>1691+40</f>
        <v>1731</v>
      </c>
      <c r="W218" s="764"/>
      <c r="X218" s="764"/>
      <c r="Y218" s="764"/>
      <c r="Z218" s="764"/>
      <c r="AA218" s="764"/>
      <c r="AB218" s="764"/>
      <c r="AC218" s="764"/>
      <c r="AD218" s="764"/>
      <c r="AE218" s="764"/>
      <c r="AF218" s="764"/>
      <c r="AG218" s="764"/>
      <c r="AH218" s="764"/>
      <c r="AI218" s="764"/>
      <c r="AJ218" s="764"/>
      <c r="AK218" s="764">
        <f t="shared" si="201"/>
        <v>36</v>
      </c>
      <c r="AL218" s="764">
        <f t="shared" si="206"/>
        <v>0</v>
      </c>
      <c r="AM218" s="764">
        <f t="shared" si="206"/>
        <v>0</v>
      </c>
      <c r="AN218" s="764">
        <f t="shared" si="207"/>
        <v>36</v>
      </c>
      <c r="AO218" s="764">
        <f t="shared" si="207"/>
        <v>0</v>
      </c>
      <c r="AP218" s="764">
        <f t="shared" si="229"/>
        <v>0</v>
      </c>
      <c r="AQ218" s="765"/>
      <c r="AR218" s="765"/>
    </row>
    <row r="219" spans="1:44" s="84" customFormat="1" hidden="1" outlineLevel="1">
      <c r="A219" s="541"/>
      <c r="B219" s="763" t="s">
        <v>192</v>
      </c>
      <c r="C219" s="528"/>
      <c r="D219" s="764"/>
      <c r="E219" s="764"/>
      <c r="F219" s="764"/>
      <c r="G219" s="764"/>
      <c r="H219" s="764">
        <f t="shared" si="234"/>
        <v>6000</v>
      </c>
      <c r="I219" s="764">
        <f t="shared" si="235"/>
        <v>0</v>
      </c>
      <c r="J219" s="764"/>
      <c r="K219" s="764"/>
      <c r="L219" s="764">
        <f t="shared" si="236"/>
        <v>6000</v>
      </c>
      <c r="M219" s="764">
        <v>6000</v>
      </c>
      <c r="N219" s="764"/>
      <c r="O219" s="764">
        <f t="shared" si="237"/>
        <v>5880</v>
      </c>
      <c r="P219" s="543">
        <f t="shared" si="230"/>
        <v>5880</v>
      </c>
      <c r="Q219" s="543">
        <f t="shared" si="231"/>
        <v>0</v>
      </c>
      <c r="R219" s="764">
        <f t="shared" si="238"/>
        <v>0</v>
      </c>
      <c r="S219" s="764"/>
      <c r="T219" s="764"/>
      <c r="U219" s="764">
        <f t="shared" si="239"/>
        <v>5880</v>
      </c>
      <c r="V219" s="764">
        <v>5880</v>
      </c>
      <c r="W219" s="764"/>
      <c r="X219" s="764"/>
      <c r="Y219" s="764"/>
      <c r="Z219" s="764"/>
      <c r="AA219" s="764"/>
      <c r="AB219" s="764"/>
      <c r="AC219" s="764"/>
      <c r="AD219" s="764"/>
      <c r="AE219" s="764"/>
      <c r="AF219" s="764"/>
      <c r="AG219" s="764"/>
      <c r="AH219" s="764"/>
      <c r="AI219" s="764"/>
      <c r="AJ219" s="764"/>
      <c r="AK219" s="764">
        <f t="shared" si="201"/>
        <v>120</v>
      </c>
      <c r="AL219" s="764">
        <f t="shared" si="206"/>
        <v>0</v>
      </c>
      <c r="AM219" s="764">
        <f t="shared" si="206"/>
        <v>0</v>
      </c>
      <c r="AN219" s="764">
        <f t="shared" si="207"/>
        <v>120</v>
      </c>
      <c r="AO219" s="764">
        <f t="shared" si="207"/>
        <v>0</v>
      </c>
      <c r="AP219" s="764">
        <f t="shared" si="229"/>
        <v>0</v>
      </c>
      <c r="AQ219" s="765"/>
      <c r="AR219" s="765"/>
    </row>
    <row r="220" spans="1:44" s="84" customFormat="1" collapsed="1">
      <c r="A220" s="517" t="s">
        <v>444</v>
      </c>
      <c r="B220" s="553" t="s">
        <v>445</v>
      </c>
      <c r="C220" s="519">
        <f>SUM(C221:C224)</f>
        <v>222.68900000000005</v>
      </c>
      <c r="D220" s="519">
        <f>SUM(D221:D224)</f>
        <v>222.68900000000005</v>
      </c>
      <c r="E220" s="519">
        <f t="shared" ref="E220:AO220" si="240">SUM(E221:E224)</f>
        <v>0</v>
      </c>
      <c r="F220" s="519">
        <f t="shared" si="240"/>
        <v>0</v>
      </c>
      <c r="G220" s="519">
        <f t="shared" si="240"/>
        <v>0</v>
      </c>
      <c r="H220" s="519">
        <f t="shared" si="240"/>
        <v>358110</v>
      </c>
      <c r="I220" s="519">
        <f t="shared" si="240"/>
        <v>358110</v>
      </c>
      <c r="J220" s="519">
        <f t="shared" si="240"/>
        <v>358110</v>
      </c>
      <c r="K220" s="519">
        <f t="shared" si="240"/>
        <v>0</v>
      </c>
      <c r="L220" s="519">
        <f t="shared" si="240"/>
        <v>0</v>
      </c>
      <c r="M220" s="519">
        <f t="shared" si="240"/>
        <v>0</v>
      </c>
      <c r="N220" s="519">
        <f t="shared" si="240"/>
        <v>0</v>
      </c>
      <c r="O220" s="519">
        <f t="shared" si="240"/>
        <v>222815.99000000002</v>
      </c>
      <c r="P220" s="543">
        <f t="shared" si="230"/>
        <v>222815.99000000002</v>
      </c>
      <c r="Q220" s="543">
        <f t="shared" si="231"/>
        <v>0</v>
      </c>
      <c r="R220" s="519">
        <f t="shared" si="240"/>
        <v>222815.99000000002</v>
      </c>
      <c r="S220" s="519">
        <f>SUM(S221:S224)</f>
        <v>222815.99000000002</v>
      </c>
      <c r="T220" s="519">
        <f t="shared" si="240"/>
        <v>0</v>
      </c>
      <c r="U220" s="519">
        <f t="shared" si="240"/>
        <v>0</v>
      </c>
      <c r="V220" s="519">
        <f t="shared" si="240"/>
        <v>0</v>
      </c>
      <c r="W220" s="519">
        <f t="shared" si="240"/>
        <v>0</v>
      </c>
      <c r="X220" s="519">
        <f t="shared" si="240"/>
        <v>222.68900000000005</v>
      </c>
      <c r="Y220" s="519">
        <f t="shared" si="240"/>
        <v>222.68900000000005</v>
      </c>
      <c r="Z220" s="519">
        <f t="shared" si="240"/>
        <v>222.68900000000005</v>
      </c>
      <c r="AA220" s="519">
        <f t="shared" si="240"/>
        <v>0</v>
      </c>
      <c r="AB220" s="519">
        <f t="shared" si="240"/>
        <v>0</v>
      </c>
      <c r="AC220" s="519">
        <f t="shared" si="240"/>
        <v>0</v>
      </c>
      <c r="AD220" s="519">
        <f t="shared" si="240"/>
        <v>0</v>
      </c>
      <c r="AE220" s="519">
        <f t="shared" si="240"/>
        <v>0</v>
      </c>
      <c r="AF220" s="519">
        <f t="shared" si="240"/>
        <v>0</v>
      </c>
      <c r="AG220" s="519">
        <f t="shared" si="240"/>
        <v>0</v>
      </c>
      <c r="AH220" s="519">
        <f t="shared" si="240"/>
        <v>0</v>
      </c>
      <c r="AI220" s="519">
        <f t="shared" si="240"/>
        <v>0</v>
      </c>
      <c r="AJ220" s="519">
        <f t="shared" si="240"/>
        <v>0</v>
      </c>
      <c r="AK220" s="519">
        <f t="shared" si="240"/>
        <v>0</v>
      </c>
      <c r="AL220" s="519">
        <f t="shared" si="240"/>
        <v>0</v>
      </c>
      <c r="AM220" s="519">
        <f t="shared" si="240"/>
        <v>0</v>
      </c>
      <c r="AN220" s="519">
        <f t="shared" si="240"/>
        <v>0</v>
      </c>
      <c r="AO220" s="519">
        <f t="shared" si="240"/>
        <v>0</v>
      </c>
      <c r="AP220" s="519">
        <f t="shared" si="229"/>
        <v>135294.00999999998</v>
      </c>
      <c r="AQ220" s="520"/>
      <c r="AR220" s="520"/>
    </row>
    <row r="221" spans="1:44" s="84" customFormat="1" ht="31.2" hidden="1" outlineLevel="1">
      <c r="A221" s="549" t="s">
        <v>211</v>
      </c>
      <c r="B221" s="766" t="s">
        <v>446</v>
      </c>
      <c r="C221" s="528">
        <f t="shared" si="204"/>
        <v>222.68900000000005</v>
      </c>
      <c r="D221" s="764">
        <v>222.68900000000005</v>
      </c>
      <c r="E221" s="764">
        <v>0</v>
      </c>
      <c r="F221" s="764">
        <v>0</v>
      </c>
      <c r="G221" s="764">
        <v>0</v>
      </c>
      <c r="H221" s="523">
        <f t="shared" ref="H221:H260" si="241">I221+L221</f>
        <v>0</v>
      </c>
      <c r="I221" s="523">
        <f t="shared" ref="I221:I222" si="242">J221+K221</f>
        <v>0</v>
      </c>
      <c r="J221" s="764"/>
      <c r="K221" s="764"/>
      <c r="L221" s="764"/>
      <c r="M221" s="764"/>
      <c r="N221" s="764"/>
      <c r="O221" s="523">
        <f t="shared" ref="O221:O222" si="243">R221+U221</f>
        <v>0</v>
      </c>
      <c r="P221" s="543">
        <f t="shared" si="230"/>
        <v>0</v>
      </c>
      <c r="Q221" s="543">
        <f t="shared" si="231"/>
        <v>0</v>
      </c>
      <c r="R221" s="523">
        <f t="shared" ref="R221:R222" si="244">S221+T221</f>
        <v>0</v>
      </c>
      <c r="S221" s="764"/>
      <c r="T221" s="764"/>
      <c r="U221" s="764"/>
      <c r="V221" s="764"/>
      <c r="W221" s="764"/>
      <c r="X221" s="764">
        <f>Y221+AB221+AE221+AH221</f>
        <v>222.68900000000005</v>
      </c>
      <c r="Y221" s="764">
        <f>Z221+AA221</f>
        <v>222.68900000000005</v>
      </c>
      <c r="Z221" s="764">
        <v>222.68900000000005</v>
      </c>
      <c r="AA221" s="764"/>
      <c r="AB221" s="764">
        <f>AC221+AD221</f>
        <v>0</v>
      </c>
      <c r="AC221" s="764"/>
      <c r="AD221" s="764"/>
      <c r="AE221" s="764">
        <f>AF221+AG221</f>
        <v>0</v>
      </c>
      <c r="AF221" s="764"/>
      <c r="AG221" s="764"/>
      <c r="AH221" s="764">
        <f>AI221+AJ221</f>
        <v>0</v>
      </c>
      <c r="AI221" s="764"/>
      <c r="AJ221" s="764"/>
      <c r="AK221" s="764">
        <f t="shared" si="201"/>
        <v>0</v>
      </c>
      <c r="AL221" s="764">
        <f t="shared" si="206"/>
        <v>0</v>
      </c>
      <c r="AM221" s="764">
        <f t="shared" si="206"/>
        <v>0</v>
      </c>
      <c r="AN221" s="764">
        <f t="shared" si="207"/>
        <v>0</v>
      </c>
      <c r="AO221" s="764">
        <f t="shared" si="207"/>
        <v>0</v>
      </c>
      <c r="AP221" s="764">
        <f t="shared" si="229"/>
        <v>0</v>
      </c>
      <c r="AQ221" s="765"/>
      <c r="AR221" s="765"/>
    </row>
    <row r="222" spans="1:44" s="84" customFormat="1" ht="31.2" hidden="1" outlineLevel="1">
      <c r="A222" s="549">
        <v>2</v>
      </c>
      <c r="B222" s="766" t="s">
        <v>454</v>
      </c>
      <c r="C222" s="528"/>
      <c r="D222" s="764"/>
      <c r="E222" s="764"/>
      <c r="F222" s="764"/>
      <c r="G222" s="764"/>
      <c r="H222" s="523">
        <f t="shared" si="241"/>
        <v>64500</v>
      </c>
      <c r="I222" s="523">
        <f t="shared" si="242"/>
        <v>64500</v>
      </c>
      <c r="J222" s="764">
        <v>64500</v>
      </c>
      <c r="K222" s="764"/>
      <c r="L222" s="764"/>
      <c r="M222" s="764"/>
      <c r="N222" s="764"/>
      <c r="O222" s="523">
        <f t="shared" si="243"/>
        <v>24905.83</v>
      </c>
      <c r="P222" s="543">
        <f t="shared" si="230"/>
        <v>24905.83</v>
      </c>
      <c r="Q222" s="543">
        <f t="shared" si="231"/>
        <v>0</v>
      </c>
      <c r="R222" s="523">
        <f t="shared" si="244"/>
        <v>24905.83</v>
      </c>
      <c r="S222" s="764">
        <v>24905.83</v>
      </c>
      <c r="T222" s="764"/>
      <c r="U222" s="764"/>
      <c r="V222" s="764"/>
      <c r="W222" s="764"/>
      <c r="X222" s="764"/>
      <c r="Y222" s="764"/>
      <c r="Z222" s="764"/>
      <c r="AA222" s="764"/>
      <c r="AB222" s="764"/>
      <c r="AC222" s="764"/>
      <c r="AD222" s="764"/>
      <c r="AE222" s="764"/>
      <c r="AF222" s="764"/>
      <c r="AG222" s="764"/>
      <c r="AH222" s="764"/>
      <c r="AI222" s="764"/>
      <c r="AJ222" s="764"/>
      <c r="AK222" s="764"/>
      <c r="AL222" s="764"/>
      <c r="AM222" s="764"/>
      <c r="AN222" s="764"/>
      <c r="AO222" s="764"/>
      <c r="AP222" s="764">
        <f t="shared" si="229"/>
        <v>39594.17</v>
      </c>
      <c r="AQ222" s="765"/>
      <c r="AR222" s="765"/>
    </row>
    <row r="223" spans="1:44" s="83" customFormat="1" ht="31.2" hidden="1" outlineLevel="1">
      <c r="A223" s="549">
        <v>3</v>
      </c>
      <c r="B223" s="766" t="s">
        <v>447</v>
      </c>
      <c r="C223" s="528">
        <f t="shared" si="204"/>
        <v>0</v>
      </c>
      <c r="D223" s="523"/>
      <c r="E223" s="523">
        <v>0</v>
      </c>
      <c r="F223" s="523">
        <v>0</v>
      </c>
      <c r="G223" s="523">
        <v>0</v>
      </c>
      <c r="H223" s="523">
        <f t="shared" si="241"/>
        <v>197794</v>
      </c>
      <c r="I223" s="523">
        <f>J223+K223</f>
        <v>197794</v>
      </c>
      <c r="J223" s="523">
        <v>197794</v>
      </c>
      <c r="K223" s="523"/>
      <c r="L223" s="523"/>
      <c r="M223" s="523"/>
      <c r="N223" s="523"/>
      <c r="O223" s="523">
        <f>R223+U223</f>
        <v>143105.01</v>
      </c>
      <c r="P223" s="543">
        <f t="shared" si="230"/>
        <v>143105.01</v>
      </c>
      <c r="Q223" s="543">
        <f t="shared" si="231"/>
        <v>0</v>
      </c>
      <c r="R223" s="523">
        <f>S223+T223</f>
        <v>143105.01</v>
      </c>
      <c r="S223" s="523">
        <f>143053.75+51.26</f>
        <v>143105.01</v>
      </c>
      <c r="T223" s="523"/>
      <c r="U223" s="523"/>
      <c r="V223" s="523"/>
      <c r="W223" s="523"/>
      <c r="X223" s="523">
        <f>Y223+AB223+AE223+AH223</f>
        <v>0</v>
      </c>
      <c r="Y223" s="523">
        <f>Z223+AA223</f>
        <v>0</v>
      </c>
      <c r="Z223" s="523"/>
      <c r="AA223" s="523"/>
      <c r="AB223" s="523">
        <f>AC223+AD223</f>
        <v>0</v>
      </c>
      <c r="AC223" s="523"/>
      <c r="AD223" s="523"/>
      <c r="AE223" s="523">
        <f>AF223+AG223</f>
        <v>0</v>
      </c>
      <c r="AF223" s="523"/>
      <c r="AG223" s="523"/>
      <c r="AH223" s="523">
        <f>AI223+AJ223</f>
        <v>0</v>
      </c>
      <c r="AI223" s="523"/>
      <c r="AJ223" s="523"/>
      <c r="AK223" s="523">
        <f t="shared" si="201"/>
        <v>0</v>
      </c>
      <c r="AL223" s="523"/>
      <c r="AM223" s="523">
        <f t="shared" si="206"/>
        <v>0</v>
      </c>
      <c r="AN223" s="523">
        <f t="shared" si="207"/>
        <v>0</v>
      </c>
      <c r="AO223" s="523">
        <f t="shared" si="207"/>
        <v>0</v>
      </c>
      <c r="AP223" s="523">
        <f t="shared" si="229"/>
        <v>54688.989999999991</v>
      </c>
      <c r="AQ223" s="524"/>
      <c r="AR223" s="524"/>
    </row>
    <row r="224" spans="1:44" s="83" customFormat="1" ht="31.2" hidden="1" outlineLevel="1">
      <c r="A224" s="549">
        <v>4</v>
      </c>
      <c r="B224" s="766" t="s">
        <v>448</v>
      </c>
      <c r="C224" s="528">
        <f t="shared" si="204"/>
        <v>0</v>
      </c>
      <c r="D224" s="523"/>
      <c r="E224" s="523">
        <v>0</v>
      </c>
      <c r="F224" s="523">
        <v>0</v>
      </c>
      <c r="G224" s="523">
        <v>0</v>
      </c>
      <c r="H224" s="523">
        <f t="shared" si="241"/>
        <v>95816</v>
      </c>
      <c r="I224" s="523">
        <f>J224+K224</f>
        <v>95816</v>
      </c>
      <c r="J224" s="523">
        <v>95816</v>
      </c>
      <c r="K224" s="523"/>
      <c r="L224" s="523"/>
      <c r="M224" s="523"/>
      <c r="N224" s="523"/>
      <c r="O224" s="523">
        <f>R224+U224</f>
        <v>54805.15</v>
      </c>
      <c r="P224" s="543">
        <f t="shared" si="230"/>
        <v>54805.15</v>
      </c>
      <c r="Q224" s="543">
        <f t="shared" si="231"/>
        <v>0</v>
      </c>
      <c r="R224" s="523">
        <f>S224+T224</f>
        <v>54805.15</v>
      </c>
      <c r="S224" s="523">
        <v>54805.15</v>
      </c>
      <c r="T224" s="523"/>
      <c r="U224" s="523"/>
      <c r="V224" s="523"/>
      <c r="W224" s="523"/>
      <c r="X224" s="523">
        <f>Y224+AB224+AE224+AH224</f>
        <v>0</v>
      </c>
      <c r="Y224" s="523">
        <f>Z224+AA224</f>
        <v>0</v>
      </c>
      <c r="Z224" s="523"/>
      <c r="AA224" s="523"/>
      <c r="AB224" s="523">
        <f>AC224+AD224</f>
        <v>0</v>
      </c>
      <c r="AC224" s="523"/>
      <c r="AD224" s="523"/>
      <c r="AE224" s="523">
        <f>AF224+AG224</f>
        <v>0</v>
      </c>
      <c r="AF224" s="523"/>
      <c r="AG224" s="523"/>
      <c r="AH224" s="523">
        <f>AI224+AJ224</f>
        <v>0</v>
      </c>
      <c r="AI224" s="523"/>
      <c r="AJ224" s="523"/>
      <c r="AK224" s="523">
        <f t="shared" ref="AK224" si="245">SUM(AL224:AO224)</f>
        <v>0</v>
      </c>
      <c r="AL224" s="523"/>
      <c r="AM224" s="523">
        <f t="shared" si="206"/>
        <v>0</v>
      </c>
      <c r="AN224" s="523">
        <f t="shared" si="207"/>
        <v>0</v>
      </c>
      <c r="AO224" s="523">
        <f t="shared" si="207"/>
        <v>0</v>
      </c>
      <c r="AP224" s="523">
        <f t="shared" si="229"/>
        <v>41010.85</v>
      </c>
      <c r="AQ224" s="524"/>
      <c r="AR224" s="524"/>
    </row>
    <row r="225" spans="1:44" s="84" customFormat="1" collapsed="1">
      <c r="A225" s="767" t="s">
        <v>449</v>
      </c>
      <c r="B225" s="540" t="s">
        <v>391</v>
      </c>
      <c r="C225" s="534">
        <f>SUM(C226:C233)</f>
        <v>111849.65428100002</v>
      </c>
      <c r="D225" s="534">
        <f>SUM(D226:D233)</f>
        <v>111849.65428100002</v>
      </c>
      <c r="E225" s="534">
        <f t="shared" ref="E225:I225" si="246">SUM(E226:E233)</f>
        <v>0</v>
      </c>
      <c r="F225" s="534">
        <f t="shared" si="246"/>
        <v>0</v>
      </c>
      <c r="G225" s="534">
        <f t="shared" si="246"/>
        <v>0</v>
      </c>
      <c r="H225" s="534">
        <f t="shared" si="246"/>
        <v>19928</v>
      </c>
      <c r="I225" s="534">
        <f t="shared" si="246"/>
        <v>19928</v>
      </c>
      <c r="J225" s="534">
        <f>SUM(J226:J233)</f>
        <v>19928</v>
      </c>
      <c r="K225" s="534">
        <f t="shared" ref="K225:AO225" si="247">SUM(K226:K233)</f>
        <v>0</v>
      </c>
      <c r="L225" s="534">
        <f t="shared" si="247"/>
        <v>0</v>
      </c>
      <c r="M225" s="534">
        <f t="shared" si="247"/>
        <v>0</v>
      </c>
      <c r="N225" s="534">
        <f t="shared" si="247"/>
        <v>0</v>
      </c>
      <c r="O225" s="534">
        <f t="shared" si="247"/>
        <v>93539.131176999988</v>
      </c>
      <c r="P225" s="543">
        <f t="shared" si="230"/>
        <v>93539.131176999988</v>
      </c>
      <c r="Q225" s="543">
        <f t="shared" si="231"/>
        <v>0</v>
      </c>
      <c r="R225" s="534">
        <f t="shared" si="247"/>
        <v>93539.131176999988</v>
      </c>
      <c r="S225" s="534">
        <f>SUM(S226:S233)</f>
        <v>93539.131176999988</v>
      </c>
      <c r="T225" s="534">
        <f t="shared" si="247"/>
        <v>0</v>
      </c>
      <c r="U225" s="534">
        <f t="shared" si="247"/>
        <v>0</v>
      </c>
      <c r="V225" s="534">
        <f t="shared" si="247"/>
        <v>0</v>
      </c>
      <c r="W225" s="534">
        <f t="shared" si="247"/>
        <v>0</v>
      </c>
      <c r="X225" s="534">
        <f t="shared" si="247"/>
        <v>845.54399999999998</v>
      </c>
      <c r="Y225" s="534">
        <f t="shared" si="247"/>
        <v>845.54399999999998</v>
      </c>
      <c r="Z225" s="534">
        <f t="shared" si="247"/>
        <v>845.54399999999998</v>
      </c>
      <c r="AA225" s="534">
        <f t="shared" si="247"/>
        <v>0</v>
      </c>
      <c r="AB225" s="534">
        <f t="shared" si="247"/>
        <v>0</v>
      </c>
      <c r="AC225" s="534">
        <f t="shared" si="247"/>
        <v>0</v>
      </c>
      <c r="AD225" s="534">
        <f t="shared" si="247"/>
        <v>0</v>
      </c>
      <c r="AE225" s="534">
        <f t="shared" si="247"/>
        <v>0</v>
      </c>
      <c r="AF225" s="534">
        <f t="shared" si="247"/>
        <v>0</v>
      </c>
      <c r="AG225" s="534">
        <f t="shared" si="247"/>
        <v>0</v>
      </c>
      <c r="AH225" s="534">
        <f t="shared" si="247"/>
        <v>0</v>
      </c>
      <c r="AI225" s="534">
        <f t="shared" si="247"/>
        <v>0</v>
      </c>
      <c r="AJ225" s="534">
        <f t="shared" si="247"/>
        <v>0</v>
      </c>
      <c r="AK225" s="534">
        <f t="shared" si="247"/>
        <v>37392.979104000013</v>
      </c>
      <c r="AL225" s="534">
        <f t="shared" si="247"/>
        <v>37392.979104000013</v>
      </c>
      <c r="AM225" s="534">
        <f t="shared" si="247"/>
        <v>0</v>
      </c>
      <c r="AN225" s="534">
        <f t="shared" si="247"/>
        <v>0</v>
      </c>
      <c r="AO225" s="534">
        <f t="shared" si="247"/>
        <v>0</v>
      </c>
      <c r="AP225" s="534">
        <f t="shared" si="229"/>
        <v>0</v>
      </c>
      <c r="AQ225" s="537"/>
      <c r="AR225" s="537"/>
    </row>
    <row r="226" spans="1:44" s="83" customFormat="1" ht="31.2" hidden="1" outlineLevel="1">
      <c r="A226" s="521">
        <v>1</v>
      </c>
      <c r="B226" s="522" t="s">
        <v>450</v>
      </c>
      <c r="C226" s="528">
        <f t="shared" si="204"/>
        <v>309.86100000000079</v>
      </c>
      <c r="D226" s="523">
        <v>309.86100000000079</v>
      </c>
      <c r="E226" s="523">
        <v>0</v>
      </c>
      <c r="F226" s="523">
        <v>0</v>
      </c>
      <c r="G226" s="523">
        <v>0</v>
      </c>
      <c r="H226" s="523">
        <f t="shared" ref="H226:H233" si="248">I226+L226</f>
        <v>16400</v>
      </c>
      <c r="I226" s="523">
        <f t="shared" ref="I226:I233" si="249">J226+K226</f>
        <v>16400</v>
      </c>
      <c r="J226" s="523">
        <v>16400</v>
      </c>
      <c r="K226" s="523"/>
      <c r="L226" s="523"/>
      <c r="M226" s="523"/>
      <c r="N226" s="523"/>
      <c r="O226" s="523">
        <f>R226+U226</f>
        <v>9160.1440000000002</v>
      </c>
      <c r="P226" s="543">
        <f t="shared" si="230"/>
        <v>9160.1440000000002</v>
      </c>
      <c r="Q226" s="543">
        <f t="shared" si="231"/>
        <v>0</v>
      </c>
      <c r="R226" s="523">
        <f>S226+T226</f>
        <v>9160.1440000000002</v>
      </c>
      <c r="S226" s="523">
        <v>9160.1440000000002</v>
      </c>
      <c r="T226" s="523"/>
      <c r="U226" s="523"/>
      <c r="V226" s="523"/>
      <c r="W226" s="523"/>
      <c r="X226" s="523"/>
      <c r="Y226" s="523"/>
      <c r="Z226" s="523"/>
      <c r="AA226" s="523"/>
      <c r="AB226" s="523"/>
      <c r="AC226" s="523"/>
      <c r="AD226" s="523"/>
      <c r="AE226" s="523"/>
      <c r="AF226" s="523"/>
      <c r="AG226" s="523"/>
      <c r="AH226" s="523"/>
      <c r="AI226" s="523"/>
      <c r="AJ226" s="523"/>
      <c r="AK226" s="523">
        <f t="shared" si="201"/>
        <v>7549.7170000000006</v>
      </c>
      <c r="AL226" s="523">
        <f t="shared" si="206"/>
        <v>7549.7170000000006</v>
      </c>
      <c r="AM226" s="523">
        <f t="shared" si="206"/>
        <v>0</v>
      </c>
      <c r="AN226" s="523">
        <f t="shared" si="207"/>
        <v>0</v>
      </c>
      <c r="AO226" s="523">
        <f t="shared" si="207"/>
        <v>0</v>
      </c>
      <c r="AP226" s="523">
        <f t="shared" si="229"/>
        <v>0</v>
      </c>
      <c r="AQ226" s="524"/>
      <c r="AR226" s="524"/>
    </row>
    <row r="227" spans="1:44" s="83" customFormat="1" ht="31.2" hidden="1" outlineLevel="1">
      <c r="A227" s="549">
        <v>2</v>
      </c>
      <c r="B227" s="522" t="s">
        <v>451</v>
      </c>
      <c r="C227" s="528">
        <f t="shared" si="204"/>
        <v>1974.1979999999999</v>
      </c>
      <c r="D227" s="523">
        <v>1974.1979999999999</v>
      </c>
      <c r="E227" s="523">
        <v>0</v>
      </c>
      <c r="F227" s="523">
        <v>0</v>
      </c>
      <c r="G227" s="523">
        <v>0</v>
      </c>
      <c r="H227" s="546">
        <f t="shared" si="248"/>
        <v>0</v>
      </c>
      <c r="I227" s="546">
        <f t="shared" si="249"/>
        <v>0</v>
      </c>
      <c r="J227" s="523"/>
      <c r="K227" s="523"/>
      <c r="L227" s="523"/>
      <c r="M227" s="523"/>
      <c r="N227" s="523"/>
      <c r="O227" s="523">
        <f t="shared" ref="O227:O233" si="250">R227+U227</f>
        <v>1939.2860000000001</v>
      </c>
      <c r="P227" s="543">
        <f t="shared" si="230"/>
        <v>1939.2860000000001</v>
      </c>
      <c r="Q227" s="543">
        <f t="shared" si="231"/>
        <v>0</v>
      </c>
      <c r="R227" s="523">
        <f t="shared" ref="R227:R233" si="251">S227+T227</f>
        <v>1939.2860000000001</v>
      </c>
      <c r="S227" s="523">
        <v>1939.2860000000001</v>
      </c>
      <c r="T227" s="523"/>
      <c r="U227" s="523"/>
      <c r="V227" s="523"/>
      <c r="W227" s="523"/>
      <c r="X227" s="523"/>
      <c r="Y227" s="523"/>
      <c r="Z227" s="523"/>
      <c r="AA227" s="523"/>
      <c r="AB227" s="523"/>
      <c r="AC227" s="523"/>
      <c r="AD227" s="523"/>
      <c r="AE227" s="523"/>
      <c r="AF227" s="523"/>
      <c r="AG227" s="523"/>
      <c r="AH227" s="523"/>
      <c r="AI227" s="523"/>
      <c r="AJ227" s="523"/>
      <c r="AK227" s="523">
        <f t="shared" si="201"/>
        <v>34.911999999999807</v>
      </c>
      <c r="AL227" s="523">
        <f t="shared" ref="AL227:AM233" si="252">D227+J227-S227-Z227-AF227</f>
        <v>34.911999999999807</v>
      </c>
      <c r="AM227" s="523">
        <f t="shared" si="252"/>
        <v>0</v>
      </c>
      <c r="AN227" s="523">
        <f t="shared" si="207"/>
        <v>0</v>
      </c>
      <c r="AO227" s="523">
        <f t="shared" si="207"/>
        <v>0</v>
      </c>
      <c r="AP227" s="523">
        <f t="shared" si="229"/>
        <v>0</v>
      </c>
      <c r="AQ227" s="524"/>
      <c r="AR227" s="524"/>
    </row>
    <row r="228" spans="1:44" s="83" customFormat="1" hidden="1" outlineLevel="1">
      <c r="A228" s="549">
        <v>3</v>
      </c>
      <c r="B228" s="522" t="s">
        <v>452</v>
      </c>
      <c r="C228" s="528">
        <f t="shared" si="204"/>
        <v>25000</v>
      </c>
      <c r="D228" s="523">
        <v>25000</v>
      </c>
      <c r="E228" s="523">
        <v>0</v>
      </c>
      <c r="F228" s="523">
        <v>0</v>
      </c>
      <c r="G228" s="523">
        <v>0</v>
      </c>
      <c r="H228" s="546">
        <f t="shared" si="248"/>
        <v>0</v>
      </c>
      <c r="I228" s="546">
        <f t="shared" si="249"/>
        <v>0</v>
      </c>
      <c r="J228" s="523"/>
      <c r="K228" s="523"/>
      <c r="L228" s="523"/>
      <c r="M228" s="523"/>
      <c r="N228" s="523"/>
      <c r="O228" s="523">
        <f t="shared" si="250"/>
        <v>24864.842407</v>
      </c>
      <c r="P228" s="543">
        <f t="shared" si="230"/>
        <v>24864.842407</v>
      </c>
      <c r="Q228" s="543">
        <f t="shared" si="231"/>
        <v>0</v>
      </c>
      <c r="R228" s="523">
        <f t="shared" si="251"/>
        <v>24864.842407</v>
      </c>
      <c r="S228" s="523">
        <v>24864.842407</v>
      </c>
      <c r="T228" s="523"/>
      <c r="U228" s="523"/>
      <c r="V228" s="523"/>
      <c r="W228" s="523"/>
      <c r="X228" s="523"/>
      <c r="Y228" s="523"/>
      <c r="Z228" s="523"/>
      <c r="AA228" s="523"/>
      <c r="AB228" s="523"/>
      <c r="AC228" s="523"/>
      <c r="AD228" s="523"/>
      <c r="AE228" s="523"/>
      <c r="AF228" s="523"/>
      <c r="AG228" s="523"/>
      <c r="AH228" s="523"/>
      <c r="AI228" s="523"/>
      <c r="AJ228" s="523"/>
      <c r="AK228" s="523">
        <f t="shared" si="201"/>
        <v>135.15759299999991</v>
      </c>
      <c r="AL228" s="523">
        <f t="shared" si="252"/>
        <v>135.15759299999991</v>
      </c>
      <c r="AM228" s="523">
        <f t="shared" si="252"/>
        <v>0</v>
      </c>
      <c r="AN228" s="523">
        <f t="shared" si="207"/>
        <v>0</v>
      </c>
      <c r="AO228" s="523">
        <f t="shared" si="207"/>
        <v>0</v>
      </c>
      <c r="AP228" s="523">
        <f t="shared" si="229"/>
        <v>0</v>
      </c>
      <c r="AQ228" s="524"/>
      <c r="AR228" s="524"/>
    </row>
    <row r="229" spans="1:44" s="83" customFormat="1" hidden="1" outlineLevel="1">
      <c r="A229" s="549">
        <v>4</v>
      </c>
      <c r="B229" s="522" t="s">
        <v>453</v>
      </c>
      <c r="C229" s="528">
        <f t="shared" si="204"/>
        <v>79662.320000000007</v>
      </c>
      <c r="D229" s="523">
        <v>79662.320000000007</v>
      </c>
      <c r="E229" s="523">
        <v>0</v>
      </c>
      <c r="F229" s="523">
        <v>0</v>
      </c>
      <c r="G229" s="523">
        <v>0</v>
      </c>
      <c r="H229" s="546">
        <f t="shared" si="248"/>
        <v>3528</v>
      </c>
      <c r="I229" s="546">
        <f t="shared" si="249"/>
        <v>3528</v>
      </c>
      <c r="J229" s="523">
        <v>3528</v>
      </c>
      <c r="K229" s="523"/>
      <c r="L229" s="523"/>
      <c r="M229" s="523"/>
      <c r="N229" s="523"/>
      <c r="O229" s="523">
        <f t="shared" si="250"/>
        <v>56191.851769999994</v>
      </c>
      <c r="P229" s="543">
        <f t="shared" si="230"/>
        <v>56191.851769999994</v>
      </c>
      <c r="Q229" s="543">
        <f t="shared" si="231"/>
        <v>0</v>
      </c>
      <c r="R229" s="523">
        <f t="shared" si="251"/>
        <v>56191.851769999994</v>
      </c>
      <c r="S229" s="523">
        <v>56191.851769999994</v>
      </c>
      <c r="T229" s="523"/>
      <c r="U229" s="523"/>
      <c r="V229" s="523"/>
      <c r="W229" s="523"/>
      <c r="X229" s="523"/>
      <c r="Y229" s="523"/>
      <c r="Z229" s="523"/>
      <c r="AA229" s="523"/>
      <c r="AB229" s="523"/>
      <c r="AC229" s="523"/>
      <c r="AD229" s="523"/>
      <c r="AE229" s="523"/>
      <c r="AF229" s="523"/>
      <c r="AG229" s="523"/>
      <c r="AH229" s="523"/>
      <c r="AI229" s="523"/>
      <c r="AJ229" s="523"/>
      <c r="AK229" s="523">
        <f t="shared" si="201"/>
        <v>26998.468230000013</v>
      </c>
      <c r="AL229" s="523">
        <f t="shared" si="252"/>
        <v>26998.468230000013</v>
      </c>
      <c r="AM229" s="523">
        <f t="shared" si="252"/>
        <v>0</v>
      </c>
      <c r="AN229" s="523">
        <f t="shared" si="207"/>
        <v>0</v>
      </c>
      <c r="AO229" s="523">
        <f t="shared" si="207"/>
        <v>0</v>
      </c>
      <c r="AP229" s="523">
        <f t="shared" si="229"/>
        <v>0</v>
      </c>
      <c r="AQ229" s="524"/>
      <c r="AR229" s="524"/>
    </row>
    <row r="230" spans="1:44" s="83" customFormat="1" ht="31.2" hidden="1" outlineLevel="1">
      <c r="A230" s="549">
        <v>5</v>
      </c>
      <c r="B230" s="522" t="s">
        <v>454</v>
      </c>
      <c r="C230" s="528">
        <f t="shared" si="204"/>
        <v>0</v>
      </c>
      <c r="D230" s="523"/>
      <c r="E230" s="523">
        <v>0</v>
      </c>
      <c r="F230" s="523">
        <v>0</v>
      </c>
      <c r="G230" s="523">
        <v>0</v>
      </c>
      <c r="H230" s="546">
        <f t="shared" si="248"/>
        <v>0</v>
      </c>
      <c r="I230" s="546">
        <f t="shared" si="249"/>
        <v>0</v>
      </c>
      <c r="J230" s="523"/>
      <c r="K230" s="523"/>
      <c r="L230" s="523"/>
      <c r="M230" s="523"/>
      <c r="N230" s="523"/>
      <c r="O230" s="523">
        <f t="shared" si="250"/>
        <v>0</v>
      </c>
      <c r="P230" s="543">
        <f t="shared" si="230"/>
        <v>0</v>
      </c>
      <c r="Q230" s="543">
        <f t="shared" si="231"/>
        <v>0</v>
      </c>
      <c r="R230" s="523">
        <f t="shared" si="251"/>
        <v>0</v>
      </c>
      <c r="S230" s="523"/>
      <c r="T230" s="523"/>
      <c r="U230" s="523"/>
      <c r="V230" s="523"/>
      <c r="W230" s="523"/>
      <c r="X230" s="523"/>
      <c r="Y230" s="523"/>
      <c r="Z230" s="523"/>
      <c r="AA230" s="523"/>
      <c r="AB230" s="523"/>
      <c r="AC230" s="523"/>
      <c r="AD230" s="523"/>
      <c r="AE230" s="523"/>
      <c r="AF230" s="523"/>
      <c r="AG230" s="523"/>
      <c r="AH230" s="523"/>
      <c r="AI230" s="523"/>
      <c r="AJ230" s="523"/>
      <c r="AK230" s="523">
        <f t="shared" si="201"/>
        <v>0</v>
      </c>
      <c r="AL230" s="523">
        <f t="shared" si="252"/>
        <v>0</v>
      </c>
      <c r="AM230" s="523">
        <f t="shared" si="252"/>
        <v>0</v>
      </c>
      <c r="AN230" s="523">
        <f t="shared" si="207"/>
        <v>0</v>
      </c>
      <c r="AO230" s="523">
        <f t="shared" si="207"/>
        <v>0</v>
      </c>
      <c r="AP230" s="523">
        <f t="shared" si="229"/>
        <v>0</v>
      </c>
      <c r="AQ230" s="524"/>
      <c r="AR230" s="524"/>
    </row>
    <row r="231" spans="1:44" s="83" customFormat="1" hidden="1" outlineLevel="1">
      <c r="A231" s="549">
        <v>6</v>
      </c>
      <c r="B231" s="522" t="s">
        <v>455</v>
      </c>
      <c r="C231" s="528">
        <f t="shared" si="204"/>
        <v>0</v>
      </c>
      <c r="D231" s="523"/>
      <c r="E231" s="523"/>
      <c r="F231" s="523"/>
      <c r="G231" s="523"/>
      <c r="H231" s="546">
        <f t="shared" si="248"/>
        <v>0</v>
      </c>
      <c r="I231" s="546">
        <f t="shared" si="249"/>
        <v>0</v>
      </c>
      <c r="J231" s="523"/>
      <c r="K231" s="523"/>
      <c r="L231" s="523"/>
      <c r="M231" s="523"/>
      <c r="N231" s="523"/>
      <c r="O231" s="523">
        <f t="shared" si="250"/>
        <v>0</v>
      </c>
      <c r="P231" s="543">
        <f t="shared" si="230"/>
        <v>0</v>
      </c>
      <c r="Q231" s="543">
        <f t="shared" si="231"/>
        <v>0</v>
      </c>
      <c r="R231" s="523">
        <f t="shared" si="251"/>
        <v>0</v>
      </c>
      <c r="S231" s="523"/>
      <c r="T231" s="523"/>
      <c r="U231" s="523"/>
      <c r="V231" s="523"/>
      <c r="W231" s="523"/>
      <c r="X231" s="523"/>
      <c r="Y231" s="523"/>
      <c r="Z231" s="523"/>
      <c r="AA231" s="523"/>
      <c r="AB231" s="523"/>
      <c r="AC231" s="523"/>
      <c r="AD231" s="523"/>
      <c r="AE231" s="523"/>
      <c r="AF231" s="523"/>
      <c r="AG231" s="523"/>
      <c r="AH231" s="523"/>
      <c r="AI231" s="523"/>
      <c r="AJ231" s="523"/>
      <c r="AK231" s="523">
        <f t="shared" si="201"/>
        <v>0</v>
      </c>
      <c r="AL231" s="523">
        <f t="shared" si="252"/>
        <v>0</v>
      </c>
      <c r="AM231" s="523"/>
      <c r="AN231" s="523"/>
      <c r="AO231" s="523"/>
      <c r="AP231" s="523">
        <f t="shared" si="229"/>
        <v>0</v>
      </c>
      <c r="AQ231" s="524"/>
      <c r="AR231" s="524"/>
    </row>
    <row r="232" spans="1:44" s="83" customFormat="1" ht="31.2" hidden="1" outlineLevel="1">
      <c r="A232" s="549">
        <v>7</v>
      </c>
      <c r="B232" s="522" t="s">
        <v>456</v>
      </c>
      <c r="C232" s="528">
        <f t="shared" ref="C232" si="253">SUM(D232:G232)</f>
        <v>4045.4252809999998</v>
      </c>
      <c r="D232" s="523">
        <v>4045.4252809999998</v>
      </c>
      <c r="E232" s="523"/>
      <c r="F232" s="523"/>
      <c r="G232" s="523"/>
      <c r="H232" s="546">
        <f t="shared" si="248"/>
        <v>0</v>
      </c>
      <c r="I232" s="546">
        <f t="shared" si="249"/>
        <v>0</v>
      </c>
      <c r="J232" s="523"/>
      <c r="K232" s="523"/>
      <c r="L232" s="523"/>
      <c r="M232" s="523"/>
      <c r="N232" s="523"/>
      <c r="O232" s="523">
        <f t="shared" si="250"/>
        <v>1383.0070000000001</v>
      </c>
      <c r="P232" s="543">
        <f t="shared" si="230"/>
        <v>1383.0070000000001</v>
      </c>
      <c r="Q232" s="543">
        <f t="shared" si="231"/>
        <v>0</v>
      </c>
      <c r="R232" s="523">
        <f t="shared" si="251"/>
        <v>1383.0070000000001</v>
      </c>
      <c r="S232" s="523">
        <v>1383.0070000000001</v>
      </c>
      <c r="T232" s="523"/>
      <c r="U232" s="523"/>
      <c r="V232" s="523"/>
      <c r="W232" s="523"/>
      <c r="X232" s="523"/>
      <c r="Y232" s="523"/>
      <c r="Z232" s="523"/>
      <c r="AA232" s="523"/>
      <c r="AB232" s="523"/>
      <c r="AC232" s="523"/>
      <c r="AD232" s="523"/>
      <c r="AE232" s="523"/>
      <c r="AF232" s="523"/>
      <c r="AG232" s="523"/>
      <c r="AH232" s="523"/>
      <c r="AI232" s="523"/>
      <c r="AJ232" s="523"/>
      <c r="AK232" s="523">
        <f t="shared" si="201"/>
        <v>2662.4182809999998</v>
      </c>
      <c r="AL232" s="523">
        <f t="shared" si="252"/>
        <v>2662.4182809999998</v>
      </c>
      <c r="AM232" s="523"/>
      <c r="AN232" s="523"/>
      <c r="AO232" s="523"/>
      <c r="AP232" s="523">
        <f t="shared" si="229"/>
        <v>0</v>
      </c>
      <c r="AQ232" s="524"/>
      <c r="AR232" s="524"/>
    </row>
    <row r="233" spans="1:44" s="83" customFormat="1" hidden="1" outlineLevel="1">
      <c r="A233" s="549">
        <v>8</v>
      </c>
      <c r="B233" s="522" t="s">
        <v>457</v>
      </c>
      <c r="C233" s="528">
        <f t="shared" si="204"/>
        <v>857.85000000000582</v>
      </c>
      <c r="D233" s="523">
        <v>857.85000000000582</v>
      </c>
      <c r="E233" s="523">
        <v>0</v>
      </c>
      <c r="F233" s="523">
        <v>0</v>
      </c>
      <c r="G233" s="523">
        <v>0</v>
      </c>
      <c r="H233" s="546">
        <f t="shared" si="248"/>
        <v>0</v>
      </c>
      <c r="I233" s="546">
        <f t="shared" si="249"/>
        <v>0</v>
      </c>
      <c r="J233" s="523"/>
      <c r="K233" s="523"/>
      <c r="L233" s="523"/>
      <c r="M233" s="523"/>
      <c r="N233" s="523"/>
      <c r="O233" s="523">
        <f t="shared" si="250"/>
        <v>0</v>
      </c>
      <c r="P233" s="543">
        <f t="shared" si="230"/>
        <v>0</v>
      </c>
      <c r="Q233" s="543">
        <f t="shared" si="231"/>
        <v>0</v>
      </c>
      <c r="R233" s="523">
        <f t="shared" si="251"/>
        <v>0</v>
      </c>
      <c r="S233" s="523"/>
      <c r="T233" s="523"/>
      <c r="U233" s="523"/>
      <c r="V233" s="523"/>
      <c r="W233" s="523"/>
      <c r="X233" s="523">
        <f>Y233+AB233</f>
        <v>845.54399999999998</v>
      </c>
      <c r="Y233" s="523">
        <f>Z233+AA233</f>
        <v>845.54399999999998</v>
      </c>
      <c r="Z233" s="523">
        <v>845.54399999999998</v>
      </c>
      <c r="AA233" s="523"/>
      <c r="AB233" s="523"/>
      <c r="AC233" s="523"/>
      <c r="AD233" s="523"/>
      <c r="AE233" s="523"/>
      <c r="AF233" s="523"/>
      <c r="AG233" s="523"/>
      <c r="AH233" s="523"/>
      <c r="AI233" s="523"/>
      <c r="AJ233" s="523"/>
      <c r="AK233" s="523">
        <f t="shared" si="201"/>
        <v>12.306000000005838</v>
      </c>
      <c r="AL233" s="523">
        <f t="shared" si="252"/>
        <v>12.306000000005838</v>
      </c>
      <c r="AM233" s="523">
        <f t="shared" si="252"/>
        <v>0</v>
      </c>
      <c r="AN233" s="523">
        <f>F233+M233-V233-AC233-AI233</f>
        <v>0</v>
      </c>
      <c r="AO233" s="523">
        <f>G233+N233-W233-AD233-AJ233</f>
        <v>0</v>
      </c>
      <c r="AP233" s="523">
        <f t="shared" si="229"/>
        <v>0</v>
      </c>
      <c r="AQ233" s="524"/>
      <c r="AR233" s="524"/>
    </row>
    <row r="234" spans="1:44" s="84" customFormat="1" collapsed="1">
      <c r="A234" s="517" t="s">
        <v>35</v>
      </c>
      <c r="B234" s="553" t="s">
        <v>458</v>
      </c>
      <c r="C234" s="519">
        <f t="shared" ref="C234:AO234" si="254">C235+C523</f>
        <v>146071.17483599999</v>
      </c>
      <c r="D234" s="519">
        <f t="shared" si="254"/>
        <v>0</v>
      </c>
      <c r="E234" s="519">
        <f t="shared" si="254"/>
        <v>83722.064645000006</v>
      </c>
      <c r="F234" s="519">
        <f t="shared" si="254"/>
        <v>0</v>
      </c>
      <c r="G234" s="519">
        <f t="shared" si="254"/>
        <v>62349.110191000007</v>
      </c>
      <c r="H234" s="519">
        <f t="shared" si="254"/>
        <v>488104.3995</v>
      </c>
      <c r="I234" s="519">
        <f t="shared" si="254"/>
        <v>403033.69949999999</v>
      </c>
      <c r="J234" s="519">
        <f t="shared" si="254"/>
        <v>70000</v>
      </c>
      <c r="K234" s="519">
        <f t="shared" si="254"/>
        <v>333033.69949999999</v>
      </c>
      <c r="L234" s="519">
        <f t="shared" si="254"/>
        <v>85070.7</v>
      </c>
      <c r="M234" s="519">
        <f t="shared" si="254"/>
        <v>0</v>
      </c>
      <c r="N234" s="519">
        <f t="shared" si="254"/>
        <v>85070.7</v>
      </c>
      <c r="O234" s="520">
        <f t="shared" si="254"/>
        <v>348973.41175099998</v>
      </c>
      <c r="P234" s="520">
        <f t="shared" si="230"/>
        <v>0</v>
      </c>
      <c r="Q234" s="520">
        <f>T234+W234</f>
        <v>348973.41175099998</v>
      </c>
      <c r="R234" s="519">
        <f t="shared" si="254"/>
        <v>234233.89775099995</v>
      </c>
      <c r="S234" s="519">
        <f t="shared" si="254"/>
        <v>0</v>
      </c>
      <c r="T234" s="519">
        <f>T235+T523</f>
        <v>234233.89775099995</v>
      </c>
      <c r="U234" s="519">
        <f t="shared" si="254"/>
        <v>114739.514</v>
      </c>
      <c r="V234" s="519">
        <f t="shared" si="254"/>
        <v>0</v>
      </c>
      <c r="W234" s="519">
        <f t="shared" si="254"/>
        <v>114739.514</v>
      </c>
      <c r="X234" s="519">
        <f t="shared" si="254"/>
        <v>38074.099951000004</v>
      </c>
      <c r="Y234" s="519">
        <f t="shared" si="254"/>
        <v>24864.802200000002</v>
      </c>
      <c r="Z234" s="519">
        <f t="shared" si="254"/>
        <v>0</v>
      </c>
      <c r="AA234" s="519">
        <f t="shared" si="254"/>
        <v>24864.802200000002</v>
      </c>
      <c r="AB234" s="519">
        <f t="shared" si="254"/>
        <v>13209.297750999998</v>
      </c>
      <c r="AC234" s="519">
        <f t="shared" si="254"/>
        <v>0</v>
      </c>
      <c r="AD234" s="519">
        <f t="shared" si="254"/>
        <v>13209.297750999998</v>
      </c>
      <c r="AE234" s="519">
        <f t="shared" si="254"/>
        <v>0</v>
      </c>
      <c r="AF234" s="519">
        <f t="shared" si="254"/>
        <v>0</v>
      </c>
      <c r="AG234" s="519">
        <f t="shared" si="254"/>
        <v>0</v>
      </c>
      <c r="AH234" s="519">
        <f t="shared" si="254"/>
        <v>0</v>
      </c>
      <c r="AI234" s="519">
        <f t="shared" si="254"/>
        <v>0</v>
      </c>
      <c r="AJ234" s="519">
        <f t="shared" si="254"/>
        <v>0</v>
      </c>
      <c r="AK234" s="519">
        <f t="shared" si="254"/>
        <v>202761.39807200001</v>
      </c>
      <c r="AL234" s="519">
        <f t="shared" si="254"/>
        <v>70000</v>
      </c>
      <c r="AM234" s="519">
        <f t="shared" si="254"/>
        <v>113290.39963199999</v>
      </c>
      <c r="AN234" s="519">
        <f t="shared" si="254"/>
        <v>0</v>
      </c>
      <c r="AO234" s="519">
        <f t="shared" si="254"/>
        <v>19470.998440000007</v>
      </c>
      <c r="AP234" s="519">
        <f>C234+H234-O234-X234-AK234</f>
        <v>44366.66456200002</v>
      </c>
      <c r="AQ234" s="520">
        <f t="shared" ref="AQ234:AR234" si="255">AQ235+AQ523</f>
        <v>105518.105128</v>
      </c>
      <c r="AR234" s="520">
        <f t="shared" si="255"/>
        <v>7772.2945040000004</v>
      </c>
    </row>
    <row r="235" spans="1:44" s="84" customFormat="1">
      <c r="A235" s="768" t="s">
        <v>459</v>
      </c>
      <c r="B235" s="769" t="s">
        <v>460</v>
      </c>
      <c r="C235" s="531">
        <f t="shared" ref="C235:AJ235" si="256">C236+C256</f>
        <v>140983.274836</v>
      </c>
      <c r="D235" s="531">
        <f t="shared" si="256"/>
        <v>0</v>
      </c>
      <c r="E235" s="531">
        <f t="shared" si="256"/>
        <v>82760.064645000006</v>
      </c>
      <c r="F235" s="531">
        <f t="shared" si="256"/>
        <v>0</v>
      </c>
      <c r="G235" s="531">
        <f t="shared" si="256"/>
        <v>58223.210191000006</v>
      </c>
      <c r="H235" s="531">
        <f t="shared" si="256"/>
        <v>318647</v>
      </c>
      <c r="I235" s="531">
        <f t="shared" si="256"/>
        <v>238240</v>
      </c>
      <c r="J235" s="531">
        <f t="shared" si="256"/>
        <v>0</v>
      </c>
      <c r="K235" s="531">
        <f t="shared" si="256"/>
        <v>238240</v>
      </c>
      <c r="L235" s="531">
        <f t="shared" si="256"/>
        <v>80407</v>
      </c>
      <c r="M235" s="531">
        <f t="shared" si="256"/>
        <v>0</v>
      </c>
      <c r="N235" s="531">
        <f t="shared" si="256"/>
        <v>80407</v>
      </c>
      <c r="O235" s="531">
        <f t="shared" si="256"/>
        <v>303044.27195099997</v>
      </c>
      <c r="P235" s="543">
        <f t="shared" si="230"/>
        <v>0</v>
      </c>
      <c r="Q235" s="543">
        <f t="shared" si="231"/>
        <v>303044.27195099997</v>
      </c>
      <c r="R235" s="531">
        <f t="shared" si="256"/>
        <v>194184.65795099997</v>
      </c>
      <c r="S235" s="531">
        <f t="shared" si="256"/>
        <v>0</v>
      </c>
      <c r="T235" s="531">
        <f t="shared" si="256"/>
        <v>194184.65795099997</v>
      </c>
      <c r="U235" s="531">
        <f t="shared" si="256"/>
        <v>108859.61399999999</v>
      </c>
      <c r="V235" s="531">
        <f t="shared" si="256"/>
        <v>0</v>
      </c>
      <c r="W235" s="531">
        <f t="shared" si="256"/>
        <v>108859.61399999999</v>
      </c>
      <c r="X235" s="531">
        <f t="shared" si="256"/>
        <v>36730.799951000001</v>
      </c>
      <c r="Y235" s="531">
        <f t="shared" si="256"/>
        <v>23547.802200000002</v>
      </c>
      <c r="Z235" s="531">
        <f t="shared" si="256"/>
        <v>0</v>
      </c>
      <c r="AA235" s="531">
        <f t="shared" si="256"/>
        <v>23547.802200000002</v>
      </c>
      <c r="AB235" s="531">
        <f t="shared" si="256"/>
        <v>13182.997750999999</v>
      </c>
      <c r="AC235" s="531">
        <f t="shared" si="256"/>
        <v>0</v>
      </c>
      <c r="AD235" s="531">
        <f t="shared" si="256"/>
        <v>13182.997750999999</v>
      </c>
      <c r="AE235" s="531">
        <f t="shared" si="256"/>
        <v>0</v>
      </c>
      <c r="AF235" s="531">
        <f t="shared" si="256"/>
        <v>0</v>
      </c>
      <c r="AG235" s="531">
        <f t="shared" si="256"/>
        <v>0</v>
      </c>
      <c r="AH235" s="531">
        <f t="shared" si="256"/>
        <v>0</v>
      </c>
      <c r="AI235" s="531">
        <f t="shared" si="256"/>
        <v>0</v>
      </c>
      <c r="AJ235" s="531">
        <f t="shared" si="256"/>
        <v>0</v>
      </c>
      <c r="AK235" s="531">
        <f>AK236+AK256</f>
        <v>75488.538371999995</v>
      </c>
      <c r="AL235" s="531">
        <f>AL236+AL256</f>
        <v>0</v>
      </c>
      <c r="AM235" s="531">
        <f>AM236+AM256</f>
        <v>58900.939931999994</v>
      </c>
      <c r="AN235" s="531">
        <f>AN236+AN256</f>
        <v>0</v>
      </c>
      <c r="AO235" s="531">
        <f>AO236+AO256</f>
        <v>16587.598440000005</v>
      </c>
      <c r="AP235" s="531">
        <f t="shared" si="229"/>
        <v>44366.664562000034</v>
      </c>
      <c r="AQ235" s="532">
        <f t="shared" ref="AQ235:AR235" si="257">AQ236+AQ256</f>
        <v>51237.105127999996</v>
      </c>
      <c r="AR235" s="532">
        <f t="shared" si="257"/>
        <v>7663.8348040000001</v>
      </c>
    </row>
    <row r="236" spans="1:44" s="84" customFormat="1">
      <c r="A236" s="768" t="s">
        <v>420</v>
      </c>
      <c r="B236" s="552" t="s">
        <v>461</v>
      </c>
      <c r="C236" s="534">
        <f t="shared" ref="C236:AJ236" si="258">C237+C239+C241+C243+C245+C246+C250+C252+C254</f>
        <v>5.1519109999999841</v>
      </c>
      <c r="D236" s="534">
        <f t="shared" si="258"/>
        <v>0</v>
      </c>
      <c r="E236" s="534">
        <f t="shared" si="258"/>
        <v>0</v>
      </c>
      <c r="F236" s="534">
        <f t="shared" si="258"/>
        <v>0</v>
      </c>
      <c r="G236" s="534">
        <f t="shared" si="258"/>
        <v>5.1519109999999841</v>
      </c>
      <c r="H236" s="534">
        <f t="shared" si="258"/>
        <v>88300</v>
      </c>
      <c r="I236" s="534">
        <f t="shared" si="258"/>
        <v>88300</v>
      </c>
      <c r="J236" s="534">
        <f t="shared" si="258"/>
        <v>0</v>
      </c>
      <c r="K236" s="534">
        <f t="shared" si="258"/>
        <v>88300</v>
      </c>
      <c r="L236" s="534">
        <f t="shared" si="258"/>
        <v>0</v>
      </c>
      <c r="M236" s="534">
        <f t="shared" si="258"/>
        <v>0</v>
      </c>
      <c r="N236" s="534">
        <f t="shared" si="258"/>
        <v>0</v>
      </c>
      <c r="O236" s="534">
        <f t="shared" si="258"/>
        <v>41944.182438000003</v>
      </c>
      <c r="P236" s="543">
        <f t="shared" si="230"/>
        <v>0</v>
      </c>
      <c r="Q236" s="543">
        <f t="shared" si="231"/>
        <v>41944.182438000003</v>
      </c>
      <c r="R236" s="534">
        <f t="shared" si="258"/>
        <v>41944.182438000003</v>
      </c>
      <c r="S236" s="534">
        <f t="shared" si="258"/>
        <v>0</v>
      </c>
      <c r="T236" s="534">
        <f t="shared" si="258"/>
        <v>41944.182438000003</v>
      </c>
      <c r="U236" s="534">
        <f t="shared" si="258"/>
        <v>0</v>
      </c>
      <c r="V236" s="534">
        <f t="shared" si="258"/>
        <v>0</v>
      </c>
      <c r="W236" s="534">
        <f t="shared" si="258"/>
        <v>0</v>
      </c>
      <c r="X236" s="534">
        <f t="shared" si="258"/>
        <v>5.0919110000000387</v>
      </c>
      <c r="Y236" s="534">
        <f t="shared" si="258"/>
        <v>0</v>
      </c>
      <c r="Z236" s="534">
        <f t="shared" si="258"/>
        <v>0</v>
      </c>
      <c r="AA236" s="534">
        <f t="shared" si="258"/>
        <v>0</v>
      </c>
      <c r="AB236" s="534">
        <f t="shared" si="258"/>
        <v>5.0919110000000387</v>
      </c>
      <c r="AC236" s="534">
        <f t="shared" si="258"/>
        <v>0</v>
      </c>
      <c r="AD236" s="534">
        <f t="shared" si="258"/>
        <v>5.0919110000000387</v>
      </c>
      <c r="AE236" s="534">
        <f t="shared" si="258"/>
        <v>0</v>
      </c>
      <c r="AF236" s="534">
        <f t="shared" si="258"/>
        <v>0</v>
      </c>
      <c r="AG236" s="534">
        <f t="shared" si="258"/>
        <v>0</v>
      </c>
      <c r="AH236" s="534">
        <f t="shared" si="258"/>
        <v>0</v>
      </c>
      <c r="AI236" s="534">
        <f t="shared" si="258"/>
        <v>0</v>
      </c>
      <c r="AJ236" s="534">
        <f t="shared" si="258"/>
        <v>0</v>
      </c>
      <c r="AK236" s="534">
        <f>AK237+AK239+AK241+AK243+AK245+AK246+AK250+AK252+AK254</f>
        <v>1990.2129999999997</v>
      </c>
      <c r="AL236" s="534">
        <f>AL237+AL239+AL241+AL243+AL245+AL246+AL250+AL252+AL254</f>
        <v>0</v>
      </c>
      <c r="AM236" s="534">
        <f>AM237+AM239+AM241+AM243+AM245+AM246+AM250+AM252+AM254</f>
        <v>1990.1529999999998</v>
      </c>
      <c r="AN236" s="534">
        <f>AN237+AN239+AN241+AN243+AN245+AN246+AN250+AN252+AN254</f>
        <v>0</v>
      </c>
      <c r="AO236" s="534">
        <f>AO237+AO239+AO241+AO243+AO245+AO246+AO250+AO252+AO254</f>
        <v>5.999999999994543E-2</v>
      </c>
      <c r="AP236" s="534">
        <f t="shared" si="229"/>
        <v>44365.664561999991</v>
      </c>
      <c r="AQ236" s="537">
        <f t="shared" ref="AQ236:AR236" si="259">AQ237+AQ239+AQ241+AQ243+AQ245+AQ246+AQ250+AQ252+AQ254</f>
        <v>1990.1529999999998</v>
      </c>
      <c r="AR236" s="537">
        <f t="shared" si="259"/>
        <v>0</v>
      </c>
    </row>
    <row r="237" spans="1:44" s="84" customFormat="1" ht="31.2" hidden="1" outlineLevel="1">
      <c r="A237" s="545" t="s">
        <v>462</v>
      </c>
      <c r="B237" s="770" t="s">
        <v>463</v>
      </c>
      <c r="C237" s="528">
        <f t="shared" si="204"/>
        <v>5.1519109999999841</v>
      </c>
      <c r="D237" s="546">
        <v>0</v>
      </c>
      <c r="E237" s="546">
        <v>0</v>
      </c>
      <c r="F237" s="546">
        <v>0</v>
      </c>
      <c r="G237" s="546">
        <v>5.1519109999999841</v>
      </c>
      <c r="H237" s="546">
        <f t="shared" ref="H237:AJ237" si="260">SUM(H238:H238)</f>
        <v>0</v>
      </c>
      <c r="I237" s="546">
        <f t="shared" si="260"/>
        <v>0</v>
      </c>
      <c r="J237" s="546">
        <f t="shared" si="260"/>
        <v>0</v>
      </c>
      <c r="K237" s="546">
        <f t="shared" si="260"/>
        <v>0</v>
      </c>
      <c r="L237" s="546">
        <f t="shared" si="260"/>
        <v>0</v>
      </c>
      <c r="M237" s="546">
        <f t="shared" si="260"/>
        <v>0</v>
      </c>
      <c r="N237" s="546">
        <f t="shared" si="260"/>
        <v>0</v>
      </c>
      <c r="O237" s="546">
        <f t="shared" si="260"/>
        <v>0</v>
      </c>
      <c r="P237" s="543">
        <f t="shared" si="230"/>
        <v>0</v>
      </c>
      <c r="Q237" s="543">
        <f t="shared" si="231"/>
        <v>0</v>
      </c>
      <c r="R237" s="546">
        <f t="shared" si="260"/>
        <v>0</v>
      </c>
      <c r="S237" s="546">
        <f t="shared" si="260"/>
        <v>0</v>
      </c>
      <c r="T237" s="546">
        <f t="shared" si="260"/>
        <v>0</v>
      </c>
      <c r="U237" s="546">
        <f t="shared" si="260"/>
        <v>0</v>
      </c>
      <c r="V237" s="546">
        <f t="shared" si="260"/>
        <v>0</v>
      </c>
      <c r="W237" s="546">
        <f t="shared" si="260"/>
        <v>0</v>
      </c>
      <c r="X237" s="546">
        <f t="shared" si="260"/>
        <v>5.0919110000000387</v>
      </c>
      <c r="Y237" s="546">
        <f t="shared" si="260"/>
        <v>0</v>
      </c>
      <c r="Z237" s="546">
        <f t="shared" si="260"/>
        <v>0</v>
      </c>
      <c r="AA237" s="546">
        <f t="shared" si="260"/>
        <v>0</v>
      </c>
      <c r="AB237" s="546">
        <f t="shared" si="260"/>
        <v>5.0919110000000387</v>
      </c>
      <c r="AC237" s="546">
        <f t="shared" si="260"/>
        <v>0</v>
      </c>
      <c r="AD237" s="546">
        <f t="shared" si="260"/>
        <v>5.0919110000000387</v>
      </c>
      <c r="AE237" s="546">
        <f t="shared" si="260"/>
        <v>0</v>
      </c>
      <c r="AF237" s="546">
        <f t="shared" si="260"/>
        <v>0</v>
      </c>
      <c r="AG237" s="546">
        <f t="shared" si="260"/>
        <v>0</v>
      </c>
      <c r="AH237" s="546">
        <f t="shared" si="260"/>
        <v>0</v>
      </c>
      <c r="AI237" s="546">
        <f t="shared" si="260"/>
        <v>0</v>
      </c>
      <c r="AJ237" s="546">
        <f t="shared" si="260"/>
        <v>0</v>
      </c>
      <c r="AK237" s="546">
        <f t="shared" ref="AK237:AK263" si="261">SUM(AL237:AO237)</f>
        <v>5.999999999994543E-2</v>
      </c>
      <c r="AL237" s="546">
        <f>D237+J237-S237-Z237-AF237</f>
        <v>0</v>
      </c>
      <c r="AM237" s="546">
        <f>E237+K237-T237-AA237-AG237</f>
        <v>0</v>
      </c>
      <c r="AN237" s="546">
        <f>F237+M237-V237-AC237-AI237</f>
        <v>0</v>
      </c>
      <c r="AO237" s="546">
        <f>G237+N237-W237-AD237-AJ237</f>
        <v>5.999999999994543E-2</v>
      </c>
      <c r="AP237" s="546">
        <f t="shared" si="229"/>
        <v>0</v>
      </c>
      <c r="AQ237" s="547"/>
      <c r="AR237" s="547"/>
    </row>
    <row r="238" spans="1:44" s="83" customFormat="1" hidden="1" outlineLevel="1">
      <c r="A238" s="521"/>
      <c r="B238" s="522" t="s">
        <v>394</v>
      </c>
      <c r="C238" s="528">
        <f t="shared" si="204"/>
        <v>5.0919110000000387</v>
      </c>
      <c r="D238" s="523">
        <v>0</v>
      </c>
      <c r="E238" s="523">
        <v>0</v>
      </c>
      <c r="F238" s="523">
        <v>0</v>
      </c>
      <c r="G238" s="523">
        <v>5.0919110000000387</v>
      </c>
      <c r="H238" s="523">
        <f t="shared" si="241"/>
        <v>0</v>
      </c>
      <c r="I238" s="523">
        <f t="shared" ref="I238" si="262">J238+K238</f>
        <v>0</v>
      </c>
      <c r="J238" s="523"/>
      <c r="K238" s="523">
        <v>0</v>
      </c>
      <c r="L238" s="523">
        <f>M238+N238</f>
        <v>0</v>
      </c>
      <c r="M238" s="523"/>
      <c r="N238" s="523"/>
      <c r="O238" s="523">
        <f t="shared" ref="O238" si="263">R238+U238</f>
        <v>0</v>
      </c>
      <c r="P238" s="543">
        <f t="shared" si="230"/>
        <v>0</v>
      </c>
      <c r="Q238" s="543">
        <f t="shared" si="231"/>
        <v>0</v>
      </c>
      <c r="R238" s="523"/>
      <c r="S238" s="523"/>
      <c r="T238" s="523"/>
      <c r="U238" s="523">
        <f>V238+W238</f>
        <v>0</v>
      </c>
      <c r="V238" s="523"/>
      <c r="W238" s="523"/>
      <c r="X238" s="523">
        <f t="shared" ref="X238" si="264">Y238+AB238+AE238+AH238</f>
        <v>5.0919110000000387</v>
      </c>
      <c r="Y238" s="523">
        <f t="shared" ref="Y238" si="265">Z238+AA238</f>
        <v>0</v>
      </c>
      <c r="Z238" s="523"/>
      <c r="AA238" s="523"/>
      <c r="AB238" s="523">
        <f t="shared" ref="AB238" si="266">AC238+AD238</f>
        <v>5.0919110000000387</v>
      </c>
      <c r="AC238" s="523"/>
      <c r="AD238" s="523">
        <v>5.0919110000000387</v>
      </c>
      <c r="AE238" s="523">
        <f t="shared" ref="AE238" si="267">AF238+AG238</f>
        <v>0</v>
      </c>
      <c r="AF238" s="523"/>
      <c r="AG238" s="523"/>
      <c r="AH238" s="523">
        <f t="shared" ref="AH238" si="268">AI238+AJ238</f>
        <v>0</v>
      </c>
      <c r="AI238" s="523"/>
      <c r="AJ238" s="523"/>
      <c r="AK238" s="523">
        <f t="shared" si="261"/>
        <v>0</v>
      </c>
      <c r="AL238" s="523">
        <f>D238+J238-S238-Z238-AF238</f>
        <v>0</v>
      </c>
      <c r="AM238" s="523">
        <f>E238+K238-T238-AA238-AG238</f>
        <v>0</v>
      </c>
      <c r="AN238" s="523">
        <f>F238+M238-V238-AC238-AI238</f>
        <v>0</v>
      </c>
      <c r="AO238" s="523">
        <f>G238+N238-W238-AD238-AJ238</f>
        <v>0</v>
      </c>
      <c r="AP238" s="523">
        <f t="shared" si="229"/>
        <v>0</v>
      </c>
      <c r="AQ238" s="524"/>
      <c r="AR238" s="524"/>
    </row>
    <row r="239" spans="1:44" s="84" customFormat="1" ht="46.8" hidden="1" outlineLevel="1">
      <c r="A239" s="545" t="s">
        <v>462</v>
      </c>
      <c r="B239" s="770" t="s">
        <v>2153</v>
      </c>
      <c r="C239" s="528">
        <f t="shared" ref="C239:C263" si="269">SUM(D239:G239)</f>
        <v>0</v>
      </c>
      <c r="D239" s="546">
        <v>0</v>
      </c>
      <c r="E239" s="546">
        <v>0</v>
      </c>
      <c r="F239" s="546">
        <v>0</v>
      </c>
      <c r="G239" s="546">
        <v>0</v>
      </c>
      <c r="H239" s="546">
        <f>H240</f>
        <v>800</v>
      </c>
      <c r="I239" s="546">
        <f t="shared" ref="I239:AO241" si="270">I240</f>
        <v>800</v>
      </c>
      <c r="J239" s="546">
        <f t="shared" si="270"/>
        <v>0</v>
      </c>
      <c r="K239" s="546">
        <f t="shared" si="270"/>
        <v>800</v>
      </c>
      <c r="L239" s="546">
        <f t="shared" si="270"/>
        <v>0</v>
      </c>
      <c r="M239" s="546">
        <f t="shared" si="270"/>
        <v>0</v>
      </c>
      <c r="N239" s="546">
        <f t="shared" si="270"/>
        <v>0</v>
      </c>
      <c r="O239" s="546">
        <f t="shared" si="270"/>
        <v>68.197000000000003</v>
      </c>
      <c r="P239" s="543">
        <f t="shared" si="230"/>
        <v>0</v>
      </c>
      <c r="Q239" s="543">
        <f t="shared" si="231"/>
        <v>68.197000000000003</v>
      </c>
      <c r="R239" s="546">
        <f t="shared" si="270"/>
        <v>68.197000000000003</v>
      </c>
      <c r="S239" s="546">
        <f t="shared" si="270"/>
        <v>0</v>
      </c>
      <c r="T239" s="546">
        <f t="shared" si="270"/>
        <v>68.197000000000003</v>
      </c>
      <c r="U239" s="546">
        <f t="shared" si="270"/>
        <v>0</v>
      </c>
      <c r="V239" s="546">
        <f t="shared" si="270"/>
        <v>0</v>
      </c>
      <c r="W239" s="546">
        <f t="shared" si="270"/>
        <v>0</v>
      </c>
      <c r="X239" s="546">
        <f t="shared" si="270"/>
        <v>0</v>
      </c>
      <c r="Y239" s="546">
        <f t="shared" si="270"/>
        <v>0</v>
      </c>
      <c r="Z239" s="546">
        <f t="shared" si="270"/>
        <v>0</v>
      </c>
      <c r="AA239" s="546">
        <f t="shared" si="270"/>
        <v>0</v>
      </c>
      <c r="AB239" s="546">
        <f t="shared" si="270"/>
        <v>0</v>
      </c>
      <c r="AC239" s="546">
        <f t="shared" si="270"/>
        <v>0</v>
      </c>
      <c r="AD239" s="546">
        <f t="shared" si="270"/>
        <v>0</v>
      </c>
      <c r="AE239" s="546">
        <f t="shared" si="270"/>
        <v>0</v>
      </c>
      <c r="AF239" s="546">
        <f t="shared" si="270"/>
        <v>0</v>
      </c>
      <c r="AG239" s="546">
        <f t="shared" si="270"/>
        <v>0</v>
      </c>
      <c r="AH239" s="546">
        <f t="shared" si="270"/>
        <v>0</v>
      </c>
      <c r="AI239" s="546">
        <f t="shared" si="270"/>
        <v>0</v>
      </c>
      <c r="AJ239" s="546">
        <f t="shared" si="270"/>
        <v>0</v>
      </c>
      <c r="AK239" s="546">
        <f t="shared" si="270"/>
        <v>0</v>
      </c>
      <c r="AL239" s="546">
        <f t="shared" si="270"/>
        <v>0</v>
      </c>
      <c r="AM239" s="546">
        <f t="shared" si="270"/>
        <v>0</v>
      </c>
      <c r="AN239" s="546">
        <f t="shared" si="270"/>
        <v>0</v>
      </c>
      <c r="AO239" s="546">
        <f t="shared" si="270"/>
        <v>0</v>
      </c>
      <c r="AP239" s="546">
        <f t="shared" si="229"/>
        <v>731.803</v>
      </c>
      <c r="AQ239" s="547"/>
      <c r="AR239" s="547"/>
    </row>
    <row r="240" spans="1:44" s="84" customFormat="1" hidden="1" outlineLevel="1">
      <c r="A240" s="545"/>
      <c r="B240" s="770" t="s">
        <v>465</v>
      </c>
      <c r="C240" s="528"/>
      <c r="D240" s="546"/>
      <c r="E240" s="546"/>
      <c r="F240" s="546"/>
      <c r="G240" s="546"/>
      <c r="H240" s="546">
        <f>I240+L240</f>
        <v>800</v>
      </c>
      <c r="I240" s="546">
        <f>J240+K240</f>
        <v>800</v>
      </c>
      <c r="J240" s="546"/>
      <c r="K240" s="546">
        <v>800</v>
      </c>
      <c r="L240" s="546"/>
      <c r="M240" s="546"/>
      <c r="N240" s="546"/>
      <c r="O240" s="546">
        <f>R240+U240</f>
        <v>68.197000000000003</v>
      </c>
      <c r="P240" s="543">
        <f t="shared" si="230"/>
        <v>0</v>
      </c>
      <c r="Q240" s="543">
        <f t="shared" si="231"/>
        <v>68.197000000000003</v>
      </c>
      <c r="R240" s="546">
        <f>S240+T240</f>
        <v>68.197000000000003</v>
      </c>
      <c r="S240" s="546"/>
      <c r="T240" s="546">
        <v>68.197000000000003</v>
      </c>
      <c r="U240" s="546"/>
      <c r="V240" s="546"/>
      <c r="W240" s="546"/>
      <c r="X240" s="546"/>
      <c r="Y240" s="546"/>
      <c r="Z240" s="546"/>
      <c r="AA240" s="546"/>
      <c r="AB240" s="546"/>
      <c r="AC240" s="546"/>
      <c r="AD240" s="546"/>
      <c r="AE240" s="546"/>
      <c r="AF240" s="546"/>
      <c r="AG240" s="546"/>
      <c r="AH240" s="546"/>
      <c r="AI240" s="546"/>
      <c r="AJ240" s="546"/>
      <c r="AK240" s="523">
        <f t="shared" ref="AK240" si="271">SUM(AL240:AO240)</f>
        <v>0</v>
      </c>
      <c r="AL240" s="523">
        <f t="shared" ref="AL240" si="272">D240+J240-S240-Z240-AF240</f>
        <v>0</v>
      </c>
      <c r="AM240" s="523"/>
      <c r="AN240" s="523">
        <f t="shared" ref="AN240:AO240" si="273">F240+M240-V240-AC240-AI240</f>
        <v>0</v>
      </c>
      <c r="AO240" s="523">
        <f t="shared" si="273"/>
        <v>0</v>
      </c>
      <c r="AP240" s="523">
        <f t="shared" si="229"/>
        <v>731.803</v>
      </c>
      <c r="AQ240" s="524"/>
      <c r="AR240" s="524"/>
    </row>
    <row r="241" spans="1:45" s="84" customFormat="1" ht="46.8" hidden="1" outlineLevel="1">
      <c r="A241" s="545" t="s">
        <v>462</v>
      </c>
      <c r="B241" s="770" t="s">
        <v>2154</v>
      </c>
      <c r="C241" s="528"/>
      <c r="D241" s="546"/>
      <c r="E241" s="546"/>
      <c r="F241" s="546"/>
      <c r="G241" s="546"/>
      <c r="H241" s="546">
        <f>H242</f>
        <v>1400</v>
      </c>
      <c r="I241" s="546">
        <f t="shared" si="270"/>
        <v>1400</v>
      </c>
      <c r="J241" s="546">
        <f t="shared" si="270"/>
        <v>0</v>
      </c>
      <c r="K241" s="546">
        <f t="shared" si="270"/>
        <v>1400</v>
      </c>
      <c r="L241" s="546">
        <f t="shared" si="270"/>
        <v>0</v>
      </c>
      <c r="M241" s="546">
        <f t="shared" si="270"/>
        <v>0</v>
      </c>
      <c r="N241" s="546">
        <f t="shared" si="270"/>
        <v>0</v>
      </c>
      <c r="O241" s="546">
        <f t="shared" si="270"/>
        <v>544.67999999999995</v>
      </c>
      <c r="P241" s="543">
        <f t="shared" si="230"/>
        <v>0</v>
      </c>
      <c r="Q241" s="543">
        <f t="shared" si="231"/>
        <v>544.67999999999995</v>
      </c>
      <c r="R241" s="546">
        <f t="shared" si="270"/>
        <v>544.67999999999995</v>
      </c>
      <c r="S241" s="546">
        <f t="shared" si="270"/>
        <v>0</v>
      </c>
      <c r="T241" s="546">
        <f t="shared" si="270"/>
        <v>544.67999999999995</v>
      </c>
      <c r="U241" s="546">
        <f t="shared" si="270"/>
        <v>0</v>
      </c>
      <c r="V241" s="546">
        <f t="shared" si="270"/>
        <v>0</v>
      </c>
      <c r="W241" s="546">
        <f t="shared" si="270"/>
        <v>0</v>
      </c>
      <c r="X241" s="546">
        <f t="shared" si="270"/>
        <v>0</v>
      </c>
      <c r="Y241" s="546">
        <f t="shared" si="270"/>
        <v>0</v>
      </c>
      <c r="Z241" s="546">
        <f t="shared" si="270"/>
        <v>0</v>
      </c>
      <c r="AA241" s="546">
        <f t="shared" si="270"/>
        <v>0</v>
      </c>
      <c r="AB241" s="546">
        <f t="shared" si="270"/>
        <v>0</v>
      </c>
      <c r="AC241" s="546">
        <f t="shared" si="270"/>
        <v>0</v>
      </c>
      <c r="AD241" s="546">
        <f t="shared" si="270"/>
        <v>0</v>
      </c>
      <c r="AE241" s="546">
        <f t="shared" si="270"/>
        <v>0</v>
      </c>
      <c r="AF241" s="546">
        <f t="shared" si="270"/>
        <v>0</v>
      </c>
      <c r="AG241" s="546">
        <f t="shared" si="270"/>
        <v>0</v>
      </c>
      <c r="AH241" s="546">
        <f t="shared" si="270"/>
        <v>0</v>
      </c>
      <c r="AI241" s="546">
        <f t="shared" si="270"/>
        <v>0</v>
      </c>
      <c r="AJ241" s="546">
        <f t="shared" si="270"/>
        <v>0</v>
      </c>
      <c r="AK241" s="546">
        <f t="shared" si="270"/>
        <v>0</v>
      </c>
      <c r="AL241" s="546">
        <f t="shared" si="270"/>
        <v>0</v>
      </c>
      <c r="AM241" s="546">
        <f t="shared" si="270"/>
        <v>0</v>
      </c>
      <c r="AN241" s="546">
        <f t="shared" si="270"/>
        <v>0</v>
      </c>
      <c r="AO241" s="546">
        <f t="shared" si="270"/>
        <v>0</v>
      </c>
      <c r="AP241" s="546">
        <f t="shared" si="229"/>
        <v>855.32</v>
      </c>
      <c r="AQ241" s="547"/>
      <c r="AR241" s="547"/>
    </row>
    <row r="242" spans="1:45" s="84" customFormat="1" hidden="1" outlineLevel="1">
      <c r="A242" s="545"/>
      <c r="B242" s="770" t="s">
        <v>465</v>
      </c>
      <c r="C242" s="528"/>
      <c r="D242" s="546"/>
      <c r="E242" s="546"/>
      <c r="F242" s="546"/>
      <c r="G242" s="546"/>
      <c r="H242" s="546">
        <f t="shared" ref="H242" si="274">I242+L242</f>
        <v>1400</v>
      </c>
      <c r="I242" s="546">
        <f t="shared" ref="I242" si="275">J242+K242</f>
        <v>1400</v>
      </c>
      <c r="J242" s="546"/>
      <c r="K242" s="546">
        <v>1400</v>
      </c>
      <c r="L242" s="546"/>
      <c r="M242" s="546"/>
      <c r="N242" s="546"/>
      <c r="O242" s="546">
        <f>R242+U242</f>
        <v>544.67999999999995</v>
      </c>
      <c r="P242" s="543">
        <f t="shared" si="230"/>
        <v>0</v>
      </c>
      <c r="Q242" s="543">
        <f t="shared" si="231"/>
        <v>544.67999999999995</v>
      </c>
      <c r="R242" s="546">
        <f>S242+T242</f>
        <v>544.67999999999995</v>
      </c>
      <c r="S242" s="546"/>
      <c r="T242" s="546">
        <v>544.67999999999995</v>
      </c>
      <c r="U242" s="546"/>
      <c r="V242" s="546"/>
      <c r="W242" s="546"/>
      <c r="X242" s="546"/>
      <c r="Y242" s="546"/>
      <c r="Z242" s="546"/>
      <c r="AA242" s="546"/>
      <c r="AB242" s="546"/>
      <c r="AC242" s="546"/>
      <c r="AD242" s="546"/>
      <c r="AE242" s="546"/>
      <c r="AF242" s="546"/>
      <c r="AG242" s="546"/>
      <c r="AH242" s="546"/>
      <c r="AI242" s="546"/>
      <c r="AJ242" s="546"/>
      <c r="AK242" s="523">
        <f t="shared" ref="AK242" si="276">SUM(AL242:AO242)</f>
        <v>0</v>
      </c>
      <c r="AL242" s="523">
        <f t="shared" ref="AL242" si="277">D242+J242-S242-Z242-AF242</f>
        <v>0</v>
      </c>
      <c r="AM242" s="523"/>
      <c r="AN242" s="523">
        <f t="shared" ref="AN242:AO242" si="278">F242+M242-V242-AC242-AI242</f>
        <v>0</v>
      </c>
      <c r="AO242" s="523">
        <f t="shared" si="278"/>
        <v>0</v>
      </c>
      <c r="AP242" s="523">
        <f t="shared" si="229"/>
        <v>855.32</v>
      </c>
      <c r="AQ242" s="524"/>
      <c r="AR242" s="524"/>
    </row>
    <row r="243" spans="1:45" s="84" customFormat="1" ht="46.8" hidden="1" outlineLevel="1">
      <c r="A243" s="545" t="s">
        <v>462</v>
      </c>
      <c r="B243" s="770" t="s">
        <v>2155</v>
      </c>
      <c r="C243" s="528"/>
      <c r="D243" s="546"/>
      <c r="E243" s="546"/>
      <c r="F243" s="546"/>
      <c r="G243" s="546"/>
      <c r="H243" s="546">
        <f>H244</f>
        <v>44900</v>
      </c>
      <c r="I243" s="546">
        <f t="shared" ref="I243:AO243" si="279">I244</f>
        <v>44900</v>
      </c>
      <c r="J243" s="546">
        <f t="shared" si="279"/>
        <v>0</v>
      </c>
      <c r="K243" s="546">
        <f t="shared" si="279"/>
        <v>44900</v>
      </c>
      <c r="L243" s="546">
        <f t="shared" si="279"/>
        <v>0</v>
      </c>
      <c r="M243" s="546">
        <f t="shared" si="279"/>
        <v>0</v>
      </c>
      <c r="N243" s="546">
        <f t="shared" si="279"/>
        <v>0</v>
      </c>
      <c r="O243" s="546">
        <f t="shared" si="279"/>
        <v>16382.337525999999</v>
      </c>
      <c r="P243" s="543">
        <f t="shared" si="230"/>
        <v>0</v>
      </c>
      <c r="Q243" s="543">
        <f t="shared" si="231"/>
        <v>16382.337525999999</v>
      </c>
      <c r="R243" s="546">
        <f t="shared" si="279"/>
        <v>16382.337525999999</v>
      </c>
      <c r="S243" s="546">
        <f t="shared" si="279"/>
        <v>0</v>
      </c>
      <c r="T243" s="546">
        <f t="shared" si="279"/>
        <v>16382.337525999999</v>
      </c>
      <c r="U243" s="546">
        <f t="shared" si="279"/>
        <v>0</v>
      </c>
      <c r="V243" s="546">
        <f t="shared" si="279"/>
        <v>0</v>
      </c>
      <c r="W243" s="546">
        <f t="shared" si="279"/>
        <v>0</v>
      </c>
      <c r="X243" s="546">
        <f t="shared" si="279"/>
        <v>0</v>
      </c>
      <c r="Y243" s="546">
        <f t="shared" si="279"/>
        <v>0</v>
      </c>
      <c r="Z243" s="546">
        <f t="shared" si="279"/>
        <v>0</v>
      </c>
      <c r="AA243" s="546">
        <f t="shared" si="279"/>
        <v>0</v>
      </c>
      <c r="AB243" s="546">
        <f t="shared" si="279"/>
        <v>0</v>
      </c>
      <c r="AC243" s="546">
        <f t="shared" si="279"/>
        <v>0</v>
      </c>
      <c r="AD243" s="546">
        <f t="shared" si="279"/>
        <v>0</v>
      </c>
      <c r="AE243" s="546">
        <f t="shared" si="279"/>
        <v>0</v>
      </c>
      <c r="AF243" s="546">
        <f t="shared" si="279"/>
        <v>0</v>
      </c>
      <c r="AG243" s="546">
        <f t="shared" si="279"/>
        <v>0</v>
      </c>
      <c r="AH243" s="546">
        <f t="shared" si="279"/>
        <v>0</v>
      </c>
      <c r="AI243" s="546">
        <f t="shared" si="279"/>
        <v>0</v>
      </c>
      <c r="AJ243" s="546">
        <f t="shared" si="279"/>
        <v>0</v>
      </c>
      <c r="AK243" s="546">
        <f t="shared" si="279"/>
        <v>0</v>
      </c>
      <c r="AL243" s="546">
        <f t="shared" si="279"/>
        <v>0</v>
      </c>
      <c r="AM243" s="546">
        <f t="shared" si="279"/>
        <v>0</v>
      </c>
      <c r="AN243" s="546">
        <f t="shared" si="279"/>
        <v>0</v>
      </c>
      <c r="AO243" s="546">
        <f t="shared" si="279"/>
        <v>0</v>
      </c>
      <c r="AP243" s="546">
        <f t="shared" si="229"/>
        <v>28517.662474000001</v>
      </c>
      <c r="AQ243" s="547"/>
      <c r="AR243" s="547"/>
    </row>
    <row r="244" spans="1:45" s="84" customFormat="1" hidden="1" outlineLevel="1">
      <c r="A244" s="545"/>
      <c r="B244" s="770" t="s">
        <v>465</v>
      </c>
      <c r="C244" s="528"/>
      <c r="D244" s="546"/>
      <c r="E244" s="546"/>
      <c r="F244" s="546"/>
      <c r="G244" s="546"/>
      <c r="H244" s="546">
        <f t="shared" ref="H244:H249" si="280">I244+L244</f>
        <v>44900</v>
      </c>
      <c r="I244" s="546">
        <f t="shared" ref="I244:I249" si="281">J244+K244</f>
        <v>44900</v>
      </c>
      <c r="J244" s="546"/>
      <c r="K244" s="546">
        <v>44900</v>
      </c>
      <c r="L244" s="546"/>
      <c r="M244" s="546"/>
      <c r="N244" s="546"/>
      <c r="O244" s="546">
        <f>R244+U244</f>
        <v>16382.337525999999</v>
      </c>
      <c r="P244" s="543">
        <f t="shared" si="230"/>
        <v>0</v>
      </c>
      <c r="Q244" s="543">
        <f t="shared" si="231"/>
        <v>16382.337525999999</v>
      </c>
      <c r="R244" s="546">
        <f>S244+T244</f>
        <v>16382.337525999999</v>
      </c>
      <c r="S244" s="546"/>
      <c r="T244" s="546">
        <f>14837.292308+1545.045218</f>
        <v>16382.337525999999</v>
      </c>
      <c r="U244" s="546"/>
      <c r="V244" s="546"/>
      <c r="W244" s="546"/>
      <c r="X244" s="546"/>
      <c r="Y244" s="546"/>
      <c r="Z244" s="546"/>
      <c r="AA244" s="546"/>
      <c r="AB244" s="546"/>
      <c r="AC244" s="546"/>
      <c r="AD244" s="546"/>
      <c r="AE244" s="546"/>
      <c r="AF244" s="546"/>
      <c r="AG244" s="546"/>
      <c r="AH244" s="546"/>
      <c r="AI244" s="546"/>
      <c r="AJ244" s="546"/>
      <c r="AK244" s="523">
        <f t="shared" ref="AK244" si="282">SUM(AL244:AO244)</f>
        <v>0</v>
      </c>
      <c r="AL244" s="523">
        <f t="shared" ref="AL244" si="283">D244+J244-S244-Z244-AF244</f>
        <v>0</v>
      </c>
      <c r="AM244" s="523"/>
      <c r="AN244" s="523">
        <f t="shared" ref="AN244:AO244" si="284">F244+M244-V244-AC244-AI244</f>
        <v>0</v>
      </c>
      <c r="AO244" s="523">
        <f t="shared" si="284"/>
        <v>0</v>
      </c>
      <c r="AP244" s="523">
        <f t="shared" si="229"/>
        <v>28517.662474000001</v>
      </c>
      <c r="AQ244" s="524"/>
      <c r="AR244" s="524"/>
    </row>
    <row r="245" spans="1:45" s="84" customFormat="1" ht="62.4" hidden="1" outlineLevel="1">
      <c r="A245" s="545" t="s">
        <v>462</v>
      </c>
      <c r="B245" s="770" t="s">
        <v>2156</v>
      </c>
      <c r="C245" s="528"/>
      <c r="D245" s="546"/>
      <c r="E245" s="546"/>
      <c r="F245" s="546"/>
      <c r="G245" s="546"/>
      <c r="H245" s="546">
        <f t="shared" si="280"/>
        <v>900</v>
      </c>
      <c r="I245" s="546">
        <f t="shared" si="281"/>
        <v>900</v>
      </c>
      <c r="J245" s="546"/>
      <c r="K245" s="546">
        <v>900</v>
      </c>
      <c r="L245" s="546"/>
      <c r="M245" s="546"/>
      <c r="N245" s="546"/>
      <c r="O245" s="546"/>
      <c r="P245" s="543">
        <f t="shared" si="230"/>
        <v>0</v>
      </c>
      <c r="Q245" s="543">
        <f t="shared" si="231"/>
        <v>0</v>
      </c>
      <c r="R245" s="546"/>
      <c r="S245" s="546"/>
      <c r="T245" s="546"/>
      <c r="U245" s="546"/>
      <c r="V245" s="546"/>
      <c r="W245" s="546"/>
      <c r="X245" s="546"/>
      <c r="Y245" s="546"/>
      <c r="Z245" s="546"/>
      <c r="AA245" s="546"/>
      <c r="AB245" s="546"/>
      <c r="AC245" s="546"/>
      <c r="AD245" s="546"/>
      <c r="AE245" s="546"/>
      <c r="AF245" s="546"/>
      <c r="AG245" s="546"/>
      <c r="AH245" s="546"/>
      <c r="AI245" s="546"/>
      <c r="AJ245" s="546"/>
      <c r="AK245" s="523"/>
      <c r="AL245" s="523"/>
      <c r="AM245" s="523"/>
      <c r="AN245" s="523"/>
      <c r="AO245" s="523"/>
      <c r="AP245" s="523">
        <f t="shared" si="229"/>
        <v>900</v>
      </c>
      <c r="AQ245" s="524"/>
      <c r="AR245" s="524"/>
    </row>
    <row r="246" spans="1:45" s="84" customFormat="1" ht="62.4" hidden="1" outlineLevel="1">
      <c r="A246" s="545" t="s">
        <v>462</v>
      </c>
      <c r="B246" s="770" t="s">
        <v>2157</v>
      </c>
      <c r="C246" s="528"/>
      <c r="D246" s="546"/>
      <c r="E246" s="546"/>
      <c r="F246" s="546"/>
      <c r="G246" s="546"/>
      <c r="H246" s="546">
        <f t="shared" ref="H246:J246" si="285">H247+H248+H249</f>
        <v>1500</v>
      </c>
      <c r="I246" s="546">
        <f t="shared" si="285"/>
        <v>1500</v>
      </c>
      <c r="J246" s="546">
        <f t="shared" si="285"/>
        <v>0</v>
      </c>
      <c r="K246" s="546">
        <f>K247+K248+K249</f>
        <v>1500</v>
      </c>
      <c r="L246" s="546">
        <f t="shared" ref="L246:AR246" si="286">L247+L248+L249</f>
        <v>0</v>
      </c>
      <c r="M246" s="546">
        <f t="shared" si="286"/>
        <v>0</v>
      </c>
      <c r="N246" s="546">
        <f t="shared" si="286"/>
        <v>0</v>
      </c>
      <c r="O246" s="546">
        <f t="shared" si="286"/>
        <v>1488.5340000000001</v>
      </c>
      <c r="P246" s="543">
        <f t="shared" si="230"/>
        <v>0</v>
      </c>
      <c r="Q246" s="543">
        <f t="shared" si="231"/>
        <v>1488.5340000000001</v>
      </c>
      <c r="R246" s="546">
        <f t="shared" si="286"/>
        <v>1488.5340000000001</v>
      </c>
      <c r="S246" s="546">
        <f t="shared" si="286"/>
        <v>0</v>
      </c>
      <c r="T246" s="546">
        <f t="shared" si="286"/>
        <v>1488.5340000000001</v>
      </c>
      <c r="U246" s="546">
        <f t="shared" si="286"/>
        <v>0</v>
      </c>
      <c r="V246" s="546">
        <f t="shared" si="286"/>
        <v>0</v>
      </c>
      <c r="W246" s="546">
        <f t="shared" si="286"/>
        <v>0</v>
      </c>
      <c r="X246" s="546">
        <f t="shared" si="286"/>
        <v>0</v>
      </c>
      <c r="Y246" s="546">
        <f t="shared" si="286"/>
        <v>0</v>
      </c>
      <c r="Z246" s="546">
        <f t="shared" si="286"/>
        <v>0</v>
      </c>
      <c r="AA246" s="546">
        <f t="shared" si="286"/>
        <v>0</v>
      </c>
      <c r="AB246" s="546">
        <f t="shared" si="286"/>
        <v>0</v>
      </c>
      <c r="AC246" s="546">
        <f t="shared" si="286"/>
        <v>0</v>
      </c>
      <c r="AD246" s="546">
        <f t="shared" si="286"/>
        <v>0</v>
      </c>
      <c r="AE246" s="546">
        <f t="shared" si="286"/>
        <v>0</v>
      </c>
      <c r="AF246" s="546">
        <f t="shared" si="286"/>
        <v>0</v>
      </c>
      <c r="AG246" s="546">
        <f t="shared" si="286"/>
        <v>0</v>
      </c>
      <c r="AH246" s="546">
        <f t="shared" si="286"/>
        <v>0</v>
      </c>
      <c r="AI246" s="546">
        <f t="shared" si="286"/>
        <v>0</v>
      </c>
      <c r="AJ246" s="546">
        <f t="shared" si="286"/>
        <v>0</v>
      </c>
      <c r="AK246" s="546">
        <f t="shared" si="286"/>
        <v>2.4400000000000546</v>
      </c>
      <c r="AL246" s="546">
        <f t="shared" si="286"/>
        <v>0</v>
      </c>
      <c r="AM246" s="546">
        <f t="shared" si="286"/>
        <v>2.4400000000000546</v>
      </c>
      <c r="AN246" s="546">
        <f t="shared" si="286"/>
        <v>0</v>
      </c>
      <c r="AO246" s="546">
        <f t="shared" si="286"/>
        <v>0</v>
      </c>
      <c r="AP246" s="546">
        <f t="shared" si="229"/>
        <v>9.0259999999998399</v>
      </c>
      <c r="AQ246" s="547">
        <f t="shared" si="286"/>
        <v>2.4400000000000546</v>
      </c>
      <c r="AR246" s="547">
        <f t="shared" si="286"/>
        <v>0</v>
      </c>
      <c r="AS246" s="84" t="s">
        <v>2158</v>
      </c>
    </row>
    <row r="247" spans="1:45" s="84" customFormat="1" hidden="1" outlineLevel="1">
      <c r="A247" s="545"/>
      <c r="B247" s="770" t="s">
        <v>464</v>
      </c>
      <c r="C247" s="528"/>
      <c r="D247" s="546"/>
      <c r="E247" s="546"/>
      <c r="F247" s="546"/>
      <c r="G247" s="546"/>
      <c r="H247" s="546">
        <f t="shared" si="280"/>
        <v>91</v>
      </c>
      <c r="I247" s="546">
        <f t="shared" si="281"/>
        <v>91</v>
      </c>
      <c r="J247" s="546"/>
      <c r="K247" s="546">
        <v>91</v>
      </c>
      <c r="L247" s="546"/>
      <c r="M247" s="546"/>
      <c r="N247" s="546"/>
      <c r="O247" s="546">
        <f>R247+U247</f>
        <v>86</v>
      </c>
      <c r="P247" s="543">
        <f t="shared" si="230"/>
        <v>0</v>
      </c>
      <c r="Q247" s="543">
        <f t="shared" si="231"/>
        <v>86</v>
      </c>
      <c r="R247" s="546">
        <f>S247+T247</f>
        <v>86</v>
      </c>
      <c r="S247" s="546"/>
      <c r="T247" s="546">
        <v>86</v>
      </c>
      <c r="U247" s="546"/>
      <c r="V247" s="546"/>
      <c r="W247" s="546"/>
      <c r="X247" s="546"/>
      <c r="Y247" s="546"/>
      <c r="Z247" s="546"/>
      <c r="AA247" s="546"/>
      <c r="AB247" s="546"/>
      <c r="AC247" s="546"/>
      <c r="AD247" s="546"/>
      <c r="AE247" s="546"/>
      <c r="AF247" s="546"/>
      <c r="AG247" s="546"/>
      <c r="AH247" s="546"/>
      <c r="AI247" s="546"/>
      <c r="AJ247" s="546"/>
      <c r="AK247" s="523">
        <f t="shared" ref="AK247:AK249" si="287">SUM(AL247:AO247)</f>
        <v>0</v>
      </c>
      <c r="AL247" s="523">
        <f t="shared" ref="AL247:AM249" si="288">D247+J247-S247-Z247-AF247</f>
        <v>0</v>
      </c>
      <c r="AM247" s="523"/>
      <c r="AN247" s="523">
        <f t="shared" ref="AN247:AO249" si="289">F247+M247-V247-AC247-AI247</f>
        <v>0</v>
      </c>
      <c r="AO247" s="523">
        <f t="shared" si="289"/>
        <v>0</v>
      </c>
      <c r="AP247" s="523">
        <f t="shared" si="229"/>
        <v>5</v>
      </c>
      <c r="AQ247" s="524"/>
      <c r="AR247" s="524"/>
    </row>
    <row r="248" spans="1:45" s="84" customFormat="1" hidden="1" outlineLevel="1">
      <c r="A248" s="545"/>
      <c r="B248" s="770" t="s">
        <v>465</v>
      </c>
      <c r="C248" s="528"/>
      <c r="D248" s="546"/>
      <c r="E248" s="546"/>
      <c r="F248" s="546"/>
      <c r="G248" s="546"/>
      <c r="H248" s="546">
        <f t="shared" si="280"/>
        <v>1358.4</v>
      </c>
      <c r="I248" s="546">
        <f t="shared" si="281"/>
        <v>1358.4</v>
      </c>
      <c r="J248" s="546"/>
      <c r="K248" s="546">
        <v>1358.4</v>
      </c>
      <c r="L248" s="546"/>
      <c r="M248" s="546"/>
      <c r="N248" s="546"/>
      <c r="O248" s="546">
        <f>R248+U248</f>
        <v>1355.96</v>
      </c>
      <c r="P248" s="543">
        <f t="shared" si="230"/>
        <v>0</v>
      </c>
      <c r="Q248" s="543">
        <f t="shared" si="231"/>
        <v>1355.96</v>
      </c>
      <c r="R248" s="546">
        <f>S248+T248</f>
        <v>1355.96</v>
      </c>
      <c r="S248" s="546"/>
      <c r="T248" s="546">
        <v>1355.96</v>
      </c>
      <c r="U248" s="546"/>
      <c r="V248" s="546"/>
      <c r="W248" s="546"/>
      <c r="X248" s="546"/>
      <c r="Y248" s="546"/>
      <c r="Z248" s="546"/>
      <c r="AA248" s="546"/>
      <c r="AB248" s="546"/>
      <c r="AC248" s="546"/>
      <c r="AD248" s="546"/>
      <c r="AE248" s="546"/>
      <c r="AF248" s="546"/>
      <c r="AG248" s="546"/>
      <c r="AH248" s="546"/>
      <c r="AI248" s="546"/>
      <c r="AJ248" s="546"/>
      <c r="AK248" s="523">
        <f t="shared" si="287"/>
        <v>2.4400000000000546</v>
      </c>
      <c r="AL248" s="523">
        <f t="shared" si="288"/>
        <v>0</v>
      </c>
      <c r="AM248" s="523">
        <f t="shared" si="288"/>
        <v>2.4400000000000546</v>
      </c>
      <c r="AN248" s="523">
        <f t="shared" si="289"/>
        <v>0</v>
      </c>
      <c r="AO248" s="523">
        <f t="shared" si="289"/>
        <v>0</v>
      </c>
      <c r="AP248" s="523">
        <f t="shared" si="229"/>
        <v>0</v>
      </c>
      <c r="AQ248" s="524">
        <f>AM248</f>
        <v>2.4400000000000546</v>
      </c>
      <c r="AR248" s="524"/>
    </row>
    <row r="249" spans="1:45" s="84" customFormat="1" hidden="1" outlineLevel="1">
      <c r="A249" s="545"/>
      <c r="B249" s="770" t="s">
        <v>178</v>
      </c>
      <c r="C249" s="528"/>
      <c r="D249" s="546"/>
      <c r="E249" s="546"/>
      <c r="F249" s="546"/>
      <c r="G249" s="546"/>
      <c r="H249" s="546">
        <f t="shared" si="280"/>
        <v>50.6</v>
      </c>
      <c r="I249" s="546">
        <f t="shared" si="281"/>
        <v>50.6</v>
      </c>
      <c r="J249" s="546"/>
      <c r="K249" s="546">
        <v>50.6</v>
      </c>
      <c r="L249" s="546"/>
      <c r="M249" s="546"/>
      <c r="N249" s="546"/>
      <c r="O249" s="546">
        <f>R249+U249</f>
        <v>46.573999999999998</v>
      </c>
      <c r="P249" s="543">
        <f t="shared" si="230"/>
        <v>0</v>
      </c>
      <c r="Q249" s="543">
        <f t="shared" si="231"/>
        <v>46.573999999999998</v>
      </c>
      <c r="R249" s="546">
        <f>S249+T249</f>
        <v>46.573999999999998</v>
      </c>
      <c r="S249" s="546"/>
      <c r="T249" s="546">
        <v>46.573999999999998</v>
      </c>
      <c r="U249" s="546"/>
      <c r="V249" s="546"/>
      <c r="W249" s="546"/>
      <c r="X249" s="546"/>
      <c r="Y249" s="546"/>
      <c r="Z249" s="546"/>
      <c r="AA249" s="546"/>
      <c r="AB249" s="546"/>
      <c r="AC249" s="546"/>
      <c r="AD249" s="546"/>
      <c r="AE249" s="546"/>
      <c r="AF249" s="546"/>
      <c r="AG249" s="546"/>
      <c r="AH249" s="546"/>
      <c r="AI249" s="546"/>
      <c r="AJ249" s="546"/>
      <c r="AK249" s="523">
        <f t="shared" si="287"/>
        <v>0</v>
      </c>
      <c r="AL249" s="523">
        <f t="shared" si="288"/>
        <v>0</v>
      </c>
      <c r="AM249" s="523"/>
      <c r="AN249" s="523">
        <f t="shared" si="289"/>
        <v>0</v>
      </c>
      <c r="AO249" s="523">
        <f t="shared" si="289"/>
        <v>0</v>
      </c>
      <c r="AP249" s="523">
        <f t="shared" si="229"/>
        <v>4.0260000000000034</v>
      </c>
      <c r="AQ249" s="524"/>
      <c r="AR249" s="524"/>
    </row>
    <row r="250" spans="1:45" s="84" customFormat="1" ht="46.8" hidden="1" outlineLevel="1">
      <c r="A250" s="545" t="s">
        <v>462</v>
      </c>
      <c r="B250" s="770" t="s">
        <v>2159</v>
      </c>
      <c r="C250" s="528"/>
      <c r="D250" s="546"/>
      <c r="E250" s="546"/>
      <c r="F250" s="546"/>
      <c r="G250" s="546"/>
      <c r="H250" s="546">
        <f>H251</f>
        <v>7700</v>
      </c>
      <c r="I250" s="546">
        <f t="shared" ref="I250:AO250" si="290">I251</f>
        <v>7700</v>
      </c>
      <c r="J250" s="546">
        <f t="shared" si="290"/>
        <v>0</v>
      </c>
      <c r="K250" s="546">
        <f t="shared" si="290"/>
        <v>7700</v>
      </c>
      <c r="L250" s="546">
        <f t="shared" si="290"/>
        <v>0</v>
      </c>
      <c r="M250" s="546">
        <f t="shared" si="290"/>
        <v>0</v>
      </c>
      <c r="N250" s="546">
        <f t="shared" si="290"/>
        <v>0</v>
      </c>
      <c r="O250" s="546">
        <f t="shared" si="290"/>
        <v>7348.1469120000002</v>
      </c>
      <c r="P250" s="543">
        <f t="shared" si="230"/>
        <v>0</v>
      </c>
      <c r="Q250" s="543">
        <f t="shared" si="231"/>
        <v>7348.1469120000002</v>
      </c>
      <c r="R250" s="546">
        <f t="shared" si="290"/>
        <v>7348.1469120000002</v>
      </c>
      <c r="S250" s="546">
        <f t="shared" si="290"/>
        <v>0</v>
      </c>
      <c r="T250" s="546">
        <f t="shared" si="290"/>
        <v>7348.1469120000002</v>
      </c>
      <c r="U250" s="546">
        <f t="shared" si="290"/>
        <v>0</v>
      </c>
      <c r="V250" s="546">
        <f t="shared" si="290"/>
        <v>0</v>
      </c>
      <c r="W250" s="546">
        <f t="shared" si="290"/>
        <v>0</v>
      </c>
      <c r="X250" s="546">
        <f t="shared" si="290"/>
        <v>0</v>
      </c>
      <c r="Y250" s="546">
        <f t="shared" si="290"/>
        <v>0</v>
      </c>
      <c r="Z250" s="546">
        <f t="shared" si="290"/>
        <v>0</v>
      </c>
      <c r="AA250" s="546">
        <f t="shared" si="290"/>
        <v>0</v>
      </c>
      <c r="AB250" s="546">
        <f t="shared" si="290"/>
        <v>0</v>
      </c>
      <c r="AC250" s="546">
        <f t="shared" si="290"/>
        <v>0</v>
      </c>
      <c r="AD250" s="546">
        <f t="shared" si="290"/>
        <v>0</v>
      </c>
      <c r="AE250" s="546">
        <f t="shared" si="290"/>
        <v>0</v>
      </c>
      <c r="AF250" s="546">
        <f t="shared" si="290"/>
        <v>0</v>
      </c>
      <c r="AG250" s="546">
        <f t="shared" si="290"/>
        <v>0</v>
      </c>
      <c r="AH250" s="546">
        <f t="shared" si="290"/>
        <v>0</v>
      </c>
      <c r="AI250" s="546">
        <f t="shared" si="290"/>
        <v>0</v>
      </c>
      <c r="AJ250" s="546">
        <f t="shared" si="290"/>
        <v>0</v>
      </c>
      <c r="AK250" s="546">
        <f t="shared" si="290"/>
        <v>0</v>
      </c>
      <c r="AL250" s="546">
        <f t="shared" si="290"/>
        <v>0</v>
      </c>
      <c r="AM250" s="546">
        <f t="shared" si="290"/>
        <v>0</v>
      </c>
      <c r="AN250" s="546">
        <f t="shared" si="290"/>
        <v>0</v>
      </c>
      <c r="AO250" s="546">
        <f t="shared" si="290"/>
        <v>0</v>
      </c>
      <c r="AP250" s="546">
        <f t="shared" si="229"/>
        <v>351.85308799999984</v>
      </c>
      <c r="AQ250" s="547"/>
      <c r="AR250" s="547"/>
    </row>
    <row r="251" spans="1:45" s="84" customFormat="1" hidden="1" outlineLevel="1">
      <c r="A251" s="545"/>
      <c r="B251" s="770" t="s">
        <v>465</v>
      </c>
      <c r="C251" s="528"/>
      <c r="D251" s="546"/>
      <c r="E251" s="546"/>
      <c r="F251" s="546"/>
      <c r="G251" s="546"/>
      <c r="H251" s="546">
        <f t="shared" ref="H251" si="291">I251+L251</f>
        <v>7700</v>
      </c>
      <c r="I251" s="546">
        <f t="shared" ref="I251" si="292">J251+K251</f>
        <v>7700</v>
      </c>
      <c r="J251" s="546"/>
      <c r="K251" s="546">
        <v>7700</v>
      </c>
      <c r="L251" s="546"/>
      <c r="M251" s="546"/>
      <c r="N251" s="546"/>
      <c r="O251" s="546">
        <f>R251+U251</f>
        <v>7348.1469120000002</v>
      </c>
      <c r="P251" s="543">
        <f t="shared" si="230"/>
        <v>0</v>
      </c>
      <c r="Q251" s="543">
        <f t="shared" si="231"/>
        <v>7348.1469120000002</v>
      </c>
      <c r="R251" s="546">
        <f>S251+T251</f>
        <v>7348.1469120000002</v>
      </c>
      <c r="S251" s="546"/>
      <c r="T251" s="546">
        <v>7348.1469120000002</v>
      </c>
      <c r="U251" s="546"/>
      <c r="V251" s="546"/>
      <c r="W251" s="546"/>
      <c r="X251" s="546"/>
      <c r="Y251" s="546"/>
      <c r="Z251" s="546"/>
      <c r="AA251" s="546"/>
      <c r="AB251" s="546"/>
      <c r="AC251" s="546"/>
      <c r="AD251" s="546"/>
      <c r="AE251" s="546"/>
      <c r="AF251" s="546"/>
      <c r="AG251" s="546"/>
      <c r="AH251" s="546"/>
      <c r="AI251" s="546"/>
      <c r="AJ251" s="546"/>
      <c r="AK251" s="523">
        <f t="shared" ref="AK251" si="293">SUM(AL251:AO251)</f>
        <v>0</v>
      </c>
      <c r="AL251" s="523">
        <f t="shared" ref="AL251" si="294">D251+J251-S251-Z251-AF251</f>
        <v>0</v>
      </c>
      <c r="AM251" s="523"/>
      <c r="AN251" s="523">
        <f t="shared" ref="AN251:AO251" si="295">F251+M251-V251-AC251-AI251</f>
        <v>0</v>
      </c>
      <c r="AO251" s="523">
        <f t="shared" si="295"/>
        <v>0</v>
      </c>
      <c r="AP251" s="523">
        <f t="shared" si="229"/>
        <v>351.85308799999984</v>
      </c>
      <c r="AQ251" s="524"/>
      <c r="AR251" s="524"/>
    </row>
    <row r="252" spans="1:45" s="84" customFormat="1" ht="46.8" hidden="1" outlineLevel="1">
      <c r="A252" s="545" t="s">
        <v>462</v>
      </c>
      <c r="B252" s="770" t="s">
        <v>2160</v>
      </c>
      <c r="C252" s="528"/>
      <c r="D252" s="546"/>
      <c r="E252" s="546"/>
      <c r="F252" s="546"/>
      <c r="G252" s="546"/>
      <c r="H252" s="546">
        <f>H253</f>
        <v>18100</v>
      </c>
      <c r="I252" s="546">
        <f t="shared" ref="I252:AR252" si="296">I253</f>
        <v>18100</v>
      </c>
      <c r="J252" s="546">
        <f t="shared" si="296"/>
        <v>0</v>
      </c>
      <c r="K252" s="546">
        <f t="shared" si="296"/>
        <v>18100</v>
      </c>
      <c r="L252" s="546">
        <f t="shared" si="296"/>
        <v>0</v>
      </c>
      <c r="M252" s="546">
        <f t="shared" si="296"/>
        <v>0</v>
      </c>
      <c r="N252" s="546">
        <f t="shared" si="296"/>
        <v>0</v>
      </c>
      <c r="O252" s="546">
        <f t="shared" si="296"/>
        <v>16112.287</v>
      </c>
      <c r="P252" s="543">
        <f t="shared" si="230"/>
        <v>0</v>
      </c>
      <c r="Q252" s="543">
        <f t="shared" si="231"/>
        <v>16112.287</v>
      </c>
      <c r="R252" s="546">
        <f t="shared" si="296"/>
        <v>16112.287</v>
      </c>
      <c r="S252" s="546">
        <f t="shared" si="296"/>
        <v>0</v>
      </c>
      <c r="T252" s="546">
        <f t="shared" si="296"/>
        <v>16112.287</v>
      </c>
      <c r="U252" s="546">
        <f t="shared" si="296"/>
        <v>0</v>
      </c>
      <c r="V252" s="546">
        <f t="shared" si="296"/>
        <v>0</v>
      </c>
      <c r="W252" s="546">
        <f t="shared" si="296"/>
        <v>0</v>
      </c>
      <c r="X252" s="546">
        <f t="shared" si="296"/>
        <v>0</v>
      </c>
      <c r="Y252" s="546">
        <f t="shared" si="296"/>
        <v>0</v>
      </c>
      <c r="Z252" s="546">
        <f t="shared" si="296"/>
        <v>0</v>
      </c>
      <c r="AA252" s="546">
        <f t="shared" si="296"/>
        <v>0</v>
      </c>
      <c r="AB252" s="546">
        <f t="shared" si="296"/>
        <v>0</v>
      </c>
      <c r="AC252" s="546">
        <f t="shared" si="296"/>
        <v>0</v>
      </c>
      <c r="AD252" s="546">
        <f t="shared" si="296"/>
        <v>0</v>
      </c>
      <c r="AE252" s="546">
        <f t="shared" si="296"/>
        <v>0</v>
      </c>
      <c r="AF252" s="546">
        <f t="shared" si="296"/>
        <v>0</v>
      </c>
      <c r="AG252" s="546">
        <f t="shared" si="296"/>
        <v>0</v>
      </c>
      <c r="AH252" s="546">
        <f t="shared" si="296"/>
        <v>0</v>
      </c>
      <c r="AI252" s="546">
        <f t="shared" si="296"/>
        <v>0</v>
      </c>
      <c r="AJ252" s="546">
        <f t="shared" si="296"/>
        <v>0</v>
      </c>
      <c r="AK252" s="546">
        <f t="shared" si="296"/>
        <v>1987.7129999999997</v>
      </c>
      <c r="AL252" s="546">
        <f t="shared" si="296"/>
        <v>0</v>
      </c>
      <c r="AM252" s="546">
        <f t="shared" si="296"/>
        <v>1987.7129999999997</v>
      </c>
      <c r="AN252" s="546">
        <f t="shared" si="296"/>
        <v>0</v>
      </c>
      <c r="AO252" s="546">
        <f t="shared" si="296"/>
        <v>0</v>
      </c>
      <c r="AP252" s="546">
        <f t="shared" si="229"/>
        <v>0</v>
      </c>
      <c r="AQ252" s="547">
        <f t="shared" si="296"/>
        <v>1987.7129999999997</v>
      </c>
      <c r="AR252" s="547">
        <f t="shared" si="296"/>
        <v>0</v>
      </c>
      <c r="AS252" s="84" t="s">
        <v>2161</v>
      </c>
    </row>
    <row r="253" spans="1:45" s="84" customFormat="1" hidden="1" outlineLevel="1">
      <c r="A253" s="545"/>
      <c r="B253" s="770" t="s">
        <v>465</v>
      </c>
      <c r="C253" s="528"/>
      <c r="D253" s="546"/>
      <c r="E253" s="546"/>
      <c r="F253" s="546"/>
      <c r="G253" s="546"/>
      <c r="H253" s="546">
        <f t="shared" ref="H253" si="297">I253+L253</f>
        <v>18100</v>
      </c>
      <c r="I253" s="546">
        <f t="shared" ref="I253" si="298">J253+K253</f>
        <v>18100</v>
      </c>
      <c r="J253" s="546"/>
      <c r="K253" s="546">
        <v>18100</v>
      </c>
      <c r="L253" s="546"/>
      <c r="M253" s="546"/>
      <c r="N253" s="546"/>
      <c r="O253" s="546">
        <f>R253+U253</f>
        <v>16112.287</v>
      </c>
      <c r="P253" s="543">
        <f t="shared" si="230"/>
        <v>0</v>
      </c>
      <c r="Q253" s="543">
        <f t="shared" si="231"/>
        <v>16112.287</v>
      </c>
      <c r="R253" s="546">
        <f>S253+T253</f>
        <v>16112.287</v>
      </c>
      <c r="S253" s="546"/>
      <c r="T253" s="546">
        <v>16112.287</v>
      </c>
      <c r="U253" s="546"/>
      <c r="V253" s="546"/>
      <c r="W253" s="546"/>
      <c r="X253" s="546"/>
      <c r="Y253" s="546"/>
      <c r="Z253" s="546"/>
      <c r="AA253" s="546"/>
      <c r="AB253" s="546"/>
      <c r="AC253" s="546"/>
      <c r="AD253" s="546"/>
      <c r="AE253" s="546"/>
      <c r="AF253" s="546"/>
      <c r="AG253" s="546"/>
      <c r="AH253" s="546"/>
      <c r="AI253" s="546"/>
      <c r="AJ253" s="546"/>
      <c r="AK253" s="523">
        <f t="shared" ref="AK253" si="299">SUM(AL253:AO253)</f>
        <v>1987.7129999999997</v>
      </c>
      <c r="AL253" s="523">
        <f t="shared" ref="AL253:AM253" si="300">D253+J253-S253-Z253-AF253</f>
        <v>0</v>
      </c>
      <c r="AM253" s="523">
        <f t="shared" si="300"/>
        <v>1987.7129999999997</v>
      </c>
      <c r="AN253" s="523">
        <f t="shared" ref="AN253:AO253" si="301">F253+M253-V253-AC253-AI253</f>
        <v>0</v>
      </c>
      <c r="AO253" s="523">
        <f t="shared" si="301"/>
        <v>0</v>
      </c>
      <c r="AP253" s="523">
        <f t="shared" si="229"/>
        <v>0</v>
      </c>
      <c r="AQ253" s="524">
        <v>1987.7129999999997</v>
      </c>
      <c r="AR253" s="524"/>
    </row>
    <row r="254" spans="1:45" s="84" customFormat="1" ht="46.8" hidden="1" outlineLevel="1">
      <c r="A254" s="545" t="s">
        <v>462</v>
      </c>
      <c r="B254" s="770" t="s">
        <v>2162</v>
      </c>
      <c r="C254" s="528">
        <f t="shared" si="269"/>
        <v>0</v>
      </c>
      <c r="D254" s="546">
        <v>0</v>
      </c>
      <c r="E254" s="546"/>
      <c r="F254" s="546"/>
      <c r="G254" s="546">
        <v>0</v>
      </c>
      <c r="H254" s="546">
        <f>H255</f>
        <v>13000</v>
      </c>
      <c r="I254" s="546">
        <f t="shared" ref="I254:AO254" si="302">I255</f>
        <v>13000</v>
      </c>
      <c r="J254" s="546">
        <f t="shared" si="302"/>
        <v>0</v>
      </c>
      <c r="K254" s="546">
        <f t="shared" si="302"/>
        <v>13000</v>
      </c>
      <c r="L254" s="546">
        <f t="shared" si="302"/>
        <v>0</v>
      </c>
      <c r="M254" s="546">
        <f t="shared" si="302"/>
        <v>0</v>
      </c>
      <c r="N254" s="546">
        <f t="shared" si="302"/>
        <v>0</v>
      </c>
      <c r="O254" s="546">
        <f t="shared" si="302"/>
        <v>0</v>
      </c>
      <c r="P254" s="543">
        <f t="shared" si="230"/>
        <v>0</v>
      </c>
      <c r="Q254" s="543">
        <f t="shared" si="231"/>
        <v>0</v>
      </c>
      <c r="R254" s="546">
        <f t="shared" si="302"/>
        <v>0</v>
      </c>
      <c r="S254" s="546">
        <f t="shared" si="302"/>
        <v>0</v>
      </c>
      <c r="T254" s="546">
        <f t="shared" si="302"/>
        <v>0</v>
      </c>
      <c r="U254" s="546">
        <f t="shared" si="302"/>
        <v>0</v>
      </c>
      <c r="V254" s="546">
        <f t="shared" si="302"/>
        <v>0</v>
      </c>
      <c r="W254" s="546">
        <f t="shared" si="302"/>
        <v>0</v>
      </c>
      <c r="X254" s="546">
        <f t="shared" si="302"/>
        <v>0</v>
      </c>
      <c r="Y254" s="546">
        <f t="shared" si="302"/>
        <v>0</v>
      </c>
      <c r="Z254" s="546">
        <f t="shared" si="302"/>
        <v>0</v>
      </c>
      <c r="AA254" s="546">
        <f t="shared" si="302"/>
        <v>0</v>
      </c>
      <c r="AB254" s="546">
        <f t="shared" si="302"/>
        <v>0</v>
      </c>
      <c r="AC254" s="546">
        <f t="shared" si="302"/>
        <v>0</v>
      </c>
      <c r="AD254" s="546">
        <f t="shared" si="302"/>
        <v>0</v>
      </c>
      <c r="AE254" s="546">
        <f t="shared" si="302"/>
        <v>0</v>
      </c>
      <c r="AF254" s="546">
        <f t="shared" si="302"/>
        <v>0</v>
      </c>
      <c r="AG254" s="546">
        <f t="shared" si="302"/>
        <v>0</v>
      </c>
      <c r="AH254" s="546">
        <f t="shared" si="302"/>
        <v>0</v>
      </c>
      <c r="AI254" s="546">
        <f t="shared" si="302"/>
        <v>0</v>
      </c>
      <c r="AJ254" s="546">
        <f t="shared" si="302"/>
        <v>0</v>
      </c>
      <c r="AK254" s="546">
        <f t="shared" si="302"/>
        <v>0</v>
      </c>
      <c r="AL254" s="546">
        <f t="shared" si="302"/>
        <v>0</v>
      </c>
      <c r="AM254" s="546">
        <f t="shared" si="302"/>
        <v>0</v>
      </c>
      <c r="AN254" s="546">
        <f t="shared" si="302"/>
        <v>0</v>
      </c>
      <c r="AO254" s="546">
        <f t="shared" si="302"/>
        <v>0</v>
      </c>
      <c r="AP254" s="546">
        <f t="shared" si="229"/>
        <v>13000</v>
      </c>
      <c r="AQ254" s="547"/>
      <c r="AR254" s="547"/>
    </row>
    <row r="255" spans="1:45" s="84" customFormat="1" hidden="1" outlineLevel="1">
      <c r="A255" s="545"/>
      <c r="B255" s="770" t="s">
        <v>473</v>
      </c>
      <c r="C255" s="528"/>
      <c r="D255" s="546"/>
      <c r="E255" s="546"/>
      <c r="F255" s="546"/>
      <c r="G255" s="546"/>
      <c r="H255" s="546">
        <f t="shared" ref="H255" si="303">I255+L255</f>
        <v>13000</v>
      </c>
      <c r="I255" s="546">
        <f t="shared" ref="I255" si="304">J255+K255</f>
        <v>13000</v>
      </c>
      <c r="J255" s="546"/>
      <c r="K255" s="546">
        <v>13000</v>
      </c>
      <c r="L255" s="546"/>
      <c r="M255" s="546"/>
      <c r="N255" s="546"/>
      <c r="O255" s="546">
        <f>R255+U255</f>
        <v>0</v>
      </c>
      <c r="P255" s="543">
        <f t="shared" si="230"/>
        <v>0</v>
      </c>
      <c r="Q255" s="543">
        <f t="shared" si="231"/>
        <v>0</v>
      </c>
      <c r="R255" s="546">
        <f>S255+T255</f>
        <v>0</v>
      </c>
      <c r="S255" s="546"/>
      <c r="T255" s="546"/>
      <c r="U255" s="546"/>
      <c r="V255" s="546"/>
      <c r="W255" s="546"/>
      <c r="X255" s="546"/>
      <c r="Y255" s="546"/>
      <c r="Z255" s="546"/>
      <c r="AA255" s="546"/>
      <c r="AB255" s="546"/>
      <c r="AC255" s="546"/>
      <c r="AD255" s="546"/>
      <c r="AE255" s="546"/>
      <c r="AF255" s="546"/>
      <c r="AG255" s="546"/>
      <c r="AH255" s="546"/>
      <c r="AI255" s="546"/>
      <c r="AJ255" s="546"/>
      <c r="AK255" s="523">
        <f t="shared" ref="AK255" si="305">SUM(AL255:AO255)</f>
        <v>0</v>
      </c>
      <c r="AL255" s="523">
        <f t="shared" ref="AL255" si="306">D255+J255-S255-Z255-AF255</f>
        <v>0</v>
      </c>
      <c r="AM255" s="523"/>
      <c r="AN255" s="523">
        <f t="shared" ref="AN255:AO255" si="307">F255+M255-V255-AC255-AI255</f>
        <v>0</v>
      </c>
      <c r="AO255" s="523">
        <f t="shared" si="307"/>
        <v>0</v>
      </c>
      <c r="AP255" s="523">
        <f t="shared" si="229"/>
        <v>13000</v>
      </c>
      <c r="AQ255" s="524"/>
      <c r="AR255" s="524"/>
    </row>
    <row r="256" spans="1:45" s="84" customFormat="1" collapsed="1">
      <c r="A256" s="768" t="s">
        <v>444</v>
      </c>
      <c r="B256" s="552" t="s">
        <v>421</v>
      </c>
      <c r="C256" s="534">
        <f t="shared" ref="C256:AR256" si="308">C257+C261+C264+C339+C342+C354+C356+C358+C366+C377+C379+C381+C394+C406+C417+C430+C437+C442+C444+C467+C480+C492+C495+C497+C500+C518</f>
        <v>140978.122925</v>
      </c>
      <c r="D256" s="534">
        <f t="shared" si="308"/>
        <v>0</v>
      </c>
      <c r="E256" s="534">
        <f t="shared" si="308"/>
        <v>82760.064645000006</v>
      </c>
      <c r="F256" s="534">
        <f t="shared" si="308"/>
        <v>0</v>
      </c>
      <c r="G256" s="534">
        <f t="shared" si="308"/>
        <v>58218.058280000005</v>
      </c>
      <c r="H256" s="534">
        <f t="shared" si="308"/>
        <v>230347</v>
      </c>
      <c r="I256" s="534">
        <f t="shared" si="308"/>
        <v>149940</v>
      </c>
      <c r="J256" s="534">
        <f t="shared" si="308"/>
        <v>0</v>
      </c>
      <c r="K256" s="534">
        <f t="shared" si="308"/>
        <v>149940</v>
      </c>
      <c r="L256" s="534">
        <f t="shared" si="308"/>
        <v>80407</v>
      </c>
      <c r="M256" s="534">
        <f t="shared" si="308"/>
        <v>0</v>
      </c>
      <c r="N256" s="534">
        <f t="shared" si="308"/>
        <v>80407</v>
      </c>
      <c r="O256" s="534">
        <f t="shared" si="308"/>
        <v>261100.08951299996</v>
      </c>
      <c r="P256" s="543">
        <f t="shared" si="230"/>
        <v>0</v>
      </c>
      <c r="Q256" s="543">
        <f t="shared" si="231"/>
        <v>261100.08951299998</v>
      </c>
      <c r="R256" s="534">
        <f t="shared" si="308"/>
        <v>152240.47551299998</v>
      </c>
      <c r="S256" s="534">
        <f t="shared" si="308"/>
        <v>0</v>
      </c>
      <c r="T256" s="534">
        <f>T257+T261+T264+T339+T342+T354+T356+T358+T366+T377+T379+T381+T394+T406+T417+T430+T437+T442+T444+T467+T480+T492+T495+T497+T500+T518</f>
        <v>152240.47551299998</v>
      </c>
      <c r="U256" s="534">
        <f t="shared" si="308"/>
        <v>108859.61399999999</v>
      </c>
      <c r="V256" s="534">
        <f t="shared" si="308"/>
        <v>0</v>
      </c>
      <c r="W256" s="534">
        <f t="shared" si="308"/>
        <v>108859.61399999999</v>
      </c>
      <c r="X256" s="534">
        <f t="shared" si="308"/>
        <v>36725.708039999998</v>
      </c>
      <c r="Y256" s="534">
        <f t="shared" si="308"/>
        <v>23547.802200000002</v>
      </c>
      <c r="Z256" s="534">
        <f t="shared" si="308"/>
        <v>0</v>
      </c>
      <c r="AA256" s="534">
        <f t="shared" si="308"/>
        <v>23547.802200000002</v>
      </c>
      <c r="AB256" s="534">
        <f t="shared" si="308"/>
        <v>13177.905839999999</v>
      </c>
      <c r="AC256" s="534">
        <f t="shared" si="308"/>
        <v>0</v>
      </c>
      <c r="AD256" s="534">
        <f t="shared" si="308"/>
        <v>13177.905839999999</v>
      </c>
      <c r="AE256" s="534">
        <f t="shared" si="308"/>
        <v>0</v>
      </c>
      <c r="AF256" s="534">
        <f t="shared" si="308"/>
        <v>0</v>
      </c>
      <c r="AG256" s="534">
        <f t="shared" si="308"/>
        <v>0</v>
      </c>
      <c r="AH256" s="534">
        <f t="shared" si="308"/>
        <v>0</v>
      </c>
      <c r="AI256" s="534">
        <f t="shared" si="308"/>
        <v>0</v>
      </c>
      <c r="AJ256" s="534">
        <f t="shared" si="308"/>
        <v>0</v>
      </c>
      <c r="AK256" s="534">
        <f t="shared" si="308"/>
        <v>73498.325371999992</v>
      </c>
      <c r="AL256" s="534">
        <f t="shared" si="308"/>
        <v>0</v>
      </c>
      <c r="AM256" s="534">
        <f t="shared" si="308"/>
        <v>56910.786931999995</v>
      </c>
      <c r="AN256" s="534">
        <f t="shared" si="308"/>
        <v>0</v>
      </c>
      <c r="AO256" s="534">
        <f t="shared" si="308"/>
        <v>16587.538440000004</v>
      </c>
      <c r="AP256" s="534"/>
      <c r="AQ256" s="537">
        <f t="shared" si="308"/>
        <v>49246.952127999997</v>
      </c>
      <c r="AR256" s="537">
        <f t="shared" si="308"/>
        <v>7663.8348040000001</v>
      </c>
    </row>
    <row r="257" spans="1:45" s="83" customFormat="1" ht="46.8" hidden="1" outlineLevel="1">
      <c r="A257" s="549" t="s">
        <v>211</v>
      </c>
      <c r="B257" s="522" t="s">
        <v>2163</v>
      </c>
      <c r="C257" s="523">
        <f t="shared" ref="C257:G257" si="309">SUM(C259:C260)</f>
        <v>319.07169699999997</v>
      </c>
      <c r="D257" s="523">
        <f t="shared" si="309"/>
        <v>0</v>
      </c>
      <c r="E257" s="523">
        <f t="shared" si="309"/>
        <v>319.07169699999997</v>
      </c>
      <c r="F257" s="523">
        <f t="shared" si="309"/>
        <v>0</v>
      </c>
      <c r="G257" s="523">
        <f t="shared" si="309"/>
        <v>0</v>
      </c>
      <c r="H257" s="523">
        <f>SUM(H258:H260)</f>
        <v>1170</v>
      </c>
      <c r="I257" s="523">
        <f t="shared" ref="I257:AR257" si="310">SUM(I258:I260)</f>
        <v>1170</v>
      </c>
      <c r="J257" s="523">
        <f t="shared" si="310"/>
        <v>0</v>
      </c>
      <c r="K257" s="523">
        <f t="shared" si="310"/>
        <v>1170</v>
      </c>
      <c r="L257" s="523">
        <f t="shared" si="310"/>
        <v>0</v>
      </c>
      <c r="M257" s="523">
        <f t="shared" si="310"/>
        <v>0</v>
      </c>
      <c r="N257" s="523">
        <f t="shared" si="310"/>
        <v>0</v>
      </c>
      <c r="O257" s="523">
        <f t="shared" si="310"/>
        <v>1238.1884969999999</v>
      </c>
      <c r="P257" s="543">
        <f t="shared" si="230"/>
        <v>0</v>
      </c>
      <c r="Q257" s="543">
        <f t="shared" si="231"/>
        <v>1238.1884969999999</v>
      </c>
      <c r="R257" s="523">
        <f t="shared" si="310"/>
        <v>1238.1884969999999</v>
      </c>
      <c r="S257" s="523">
        <f t="shared" si="310"/>
        <v>0</v>
      </c>
      <c r="T257" s="523">
        <f t="shared" si="310"/>
        <v>1238.1884969999999</v>
      </c>
      <c r="U257" s="523">
        <f t="shared" si="310"/>
        <v>0</v>
      </c>
      <c r="V257" s="523">
        <f t="shared" si="310"/>
        <v>0</v>
      </c>
      <c r="W257" s="523">
        <f t="shared" si="310"/>
        <v>0</v>
      </c>
      <c r="X257" s="523">
        <f t="shared" si="310"/>
        <v>0</v>
      </c>
      <c r="Y257" s="523">
        <f t="shared" si="310"/>
        <v>0</v>
      </c>
      <c r="Z257" s="523">
        <f t="shared" si="310"/>
        <v>0</v>
      </c>
      <c r="AA257" s="523">
        <f t="shared" si="310"/>
        <v>0</v>
      </c>
      <c r="AB257" s="523">
        <f t="shared" si="310"/>
        <v>0</v>
      </c>
      <c r="AC257" s="523">
        <f t="shared" si="310"/>
        <v>0</v>
      </c>
      <c r="AD257" s="523">
        <f t="shared" si="310"/>
        <v>0</v>
      </c>
      <c r="AE257" s="523">
        <f t="shared" si="310"/>
        <v>0</v>
      </c>
      <c r="AF257" s="523">
        <f t="shared" si="310"/>
        <v>0</v>
      </c>
      <c r="AG257" s="523">
        <f t="shared" si="310"/>
        <v>0</v>
      </c>
      <c r="AH257" s="523">
        <f t="shared" si="310"/>
        <v>0</v>
      </c>
      <c r="AI257" s="523">
        <f t="shared" si="310"/>
        <v>0</v>
      </c>
      <c r="AJ257" s="523">
        <f t="shared" si="310"/>
        <v>0</v>
      </c>
      <c r="AK257" s="523">
        <f t="shared" si="310"/>
        <v>250.88320000000007</v>
      </c>
      <c r="AL257" s="523">
        <f t="shared" si="310"/>
        <v>0</v>
      </c>
      <c r="AM257" s="523">
        <f t="shared" si="310"/>
        <v>250.88320000000007</v>
      </c>
      <c r="AN257" s="523">
        <f t="shared" si="310"/>
        <v>0</v>
      </c>
      <c r="AO257" s="523">
        <f t="shared" si="310"/>
        <v>0</v>
      </c>
      <c r="AP257" s="523"/>
      <c r="AQ257" s="524">
        <f t="shared" si="310"/>
        <v>0</v>
      </c>
      <c r="AR257" s="524">
        <f t="shared" si="310"/>
        <v>250.88320000000007</v>
      </c>
    </row>
    <row r="258" spans="1:45" s="83" customFormat="1" hidden="1" outlineLevel="1">
      <c r="A258" s="549"/>
      <c r="B258" s="522" t="s">
        <v>513</v>
      </c>
      <c r="C258" s="523"/>
      <c r="D258" s="523"/>
      <c r="E258" s="523"/>
      <c r="F258" s="523"/>
      <c r="G258" s="523"/>
      <c r="H258" s="523">
        <f t="shared" ref="H258" si="311">I258+L258</f>
        <v>600</v>
      </c>
      <c r="I258" s="523">
        <f>J258+K258</f>
        <v>600</v>
      </c>
      <c r="J258" s="523"/>
      <c r="K258" s="523">
        <v>600</v>
      </c>
      <c r="L258" s="523"/>
      <c r="M258" s="523"/>
      <c r="N258" s="523"/>
      <c r="O258" s="546">
        <f>R258+U258</f>
        <v>593.67999999999995</v>
      </c>
      <c r="P258" s="543">
        <f t="shared" si="230"/>
        <v>0</v>
      </c>
      <c r="Q258" s="543">
        <f t="shared" si="231"/>
        <v>593.67999999999995</v>
      </c>
      <c r="R258" s="546">
        <f>S258+T258</f>
        <v>593.67999999999995</v>
      </c>
      <c r="S258" s="523"/>
      <c r="T258" s="523">
        <v>593.67999999999995</v>
      </c>
      <c r="U258" s="523"/>
      <c r="V258" s="523"/>
      <c r="W258" s="523"/>
      <c r="X258" s="523"/>
      <c r="Y258" s="523"/>
      <c r="Z258" s="523"/>
      <c r="AA258" s="523"/>
      <c r="AB258" s="523"/>
      <c r="AC258" s="523"/>
      <c r="AD258" s="523"/>
      <c r="AE258" s="523"/>
      <c r="AF258" s="523"/>
      <c r="AG258" s="523"/>
      <c r="AH258" s="523"/>
      <c r="AI258" s="523"/>
      <c r="AJ258" s="523"/>
      <c r="AK258" s="523">
        <f t="shared" si="261"/>
        <v>6.32000000000005</v>
      </c>
      <c r="AL258" s="523">
        <f t="shared" ref="AL258:AM263" si="312">D258+J258-S258-Z258-AF258</f>
        <v>0</v>
      </c>
      <c r="AM258" s="523">
        <f t="shared" si="312"/>
        <v>6.32000000000005</v>
      </c>
      <c r="AN258" s="523">
        <f t="shared" ref="AN258:AO263" si="313">F258+M258-V258-AC258-AI258</f>
        <v>0</v>
      </c>
      <c r="AO258" s="523">
        <f t="shared" si="313"/>
        <v>0</v>
      </c>
      <c r="AP258" s="523"/>
      <c r="AQ258" s="524"/>
      <c r="AR258" s="524">
        <v>6.32000000000005</v>
      </c>
    </row>
    <row r="259" spans="1:45" s="83" customFormat="1" hidden="1" outlineLevel="1">
      <c r="A259" s="521"/>
      <c r="B259" s="522" t="s">
        <v>2164</v>
      </c>
      <c r="C259" s="528">
        <f t="shared" si="269"/>
        <v>0</v>
      </c>
      <c r="D259" s="523">
        <v>0</v>
      </c>
      <c r="E259" s="523">
        <v>0</v>
      </c>
      <c r="F259" s="523">
        <v>0</v>
      </c>
      <c r="G259" s="523">
        <v>0</v>
      </c>
      <c r="H259" s="523">
        <f t="shared" si="241"/>
        <v>95</v>
      </c>
      <c r="I259" s="523">
        <f>J259+K259</f>
        <v>95</v>
      </c>
      <c r="J259" s="523">
        <v>0</v>
      </c>
      <c r="K259" s="523">
        <v>95</v>
      </c>
      <c r="L259" s="523"/>
      <c r="M259" s="523"/>
      <c r="N259" s="523"/>
      <c r="O259" s="546">
        <f t="shared" ref="O259:O260" si="314">R259+U259</f>
        <v>71.756</v>
      </c>
      <c r="P259" s="543">
        <f t="shared" si="230"/>
        <v>0</v>
      </c>
      <c r="Q259" s="543">
        <f t="shared" si="231"/>
        <v>71.756</v>
      </c>
      <c r="R259" s="546">
        <f t="shared" ref="R259:R260" si="315">S259+T259</f>
        <v>71.756</v>
      </c>
      <c r="S259" s="523"/>
      <c r="T259" s="523">
        <v>71.756</v>
      </c>
      <c r="U259" s="523"/>
      <c r="V259" s="523"/>
      <c r="W259" s="523"/>
      <c r="X259" s="523">
        <f>Y259+AB259+AE259+AH259</f>
        <v>0</v>
      </c>
      <c r="Y259" s="523">
        <f>Z259+AA259</f>
        <v>0</v>
      </c>
      <c r="Z259" s="523"/>
      <c r="AA259" s="523"/>
      <c r="AB259" s="523">
        <f>AC259+AD259</f>
        <v>0</v>
      </c>
      <c r="AC259" s="523"/>
      <c r="AD259" s="523"/>
      <c r="AE259" s="523">
        <f>AF259+AG259</f>
        <v>0</v>
      </c>
      <c r="AF259" s="523"/>
      <c r="AG259" s="523"/>
      <c r="AH259" s="523">
        <f>AI259+AJ259</f>
        <v>0</v>
      </c>
      <c r="AI259" s="523"/>
      <c r="AJ259" s="523"/>
      <c r="AK259" s="523">
        <f t="shared" si="261"/>
        <v>23.244</v>
      </c>
      <c r="AL259" s="523">
        <f t="shared" si="312"/>
        <v>0</v>
      </c>
      <c r="AM259" s="523">
        <f t="shared" si="312"/>
        <v>23.244</v>
      </c>
      <c r="AN259" s="523">
        <f t="shared" si="313"/>
        <v>0</v>
      </c>
      <c r="AO259" s="523">
        <f t="shared" si="313"/>
        <v>0</v>
      </c>
      <c r="AP259" s="523"/>
      <c r="AQ259" s="524"/>
      <c r="AR259" s="524">
        <v>23.244</v>
      </c>
    </row>
    <row r="260" spans="1:45" s="83" customFormat="1" hidden="1" outlineLevel="1">
      <c r="A260" s="521"/>
      <c r="B260" s="522" t="s">
        <v>2165</v>
      </c>
      <c r="C260" s="528">
        <f t="shared" si="269"/>
        <v>319.07169699999997</v>
      </c>
      <c r="D260" s="523"/>
      <c r="E260" s="523">
        <v>319.07169699999997</v>
      </c>
      <c r="F260" s="523"/>
      <c r="G260" s="523"/>
      <c r="H260" s="523">
        <f t="shared" si="241"/>
        <v>475</v>
      </c>
      <c r="I260" s="523">
        <f>J260+K260</f>
        <v>475</v>
      </c>
      <c r="J260" s="523"/>
      <c r="K260" s="523">
        <v>475</v>
      </c>
      <c r="L260" s="523"/>
      <c r="M260" s="523"/>
      <c r="N260" s="523"/>
      <c r="O260" s="546">
        <f t="shared" si="314"/>
        <v>572.75249699999995</v>
      </c>
      <c r="P260" s="543">
        <f t="shared" si="230"/>
        <v>0</v>
      </c>
      <c r="Q260" s="543">
        <f t="shared" si="231"/>
        <v>572.75249699999995</v>
      </c>
      <c r="R260" s="546">
        <f t="shared" si="315"/>
        <v>572.75249699999995</v>
      </c>
      <c r="S260" s="523"/>
      <c r="T260" s="523">
        <v>572.75249699999995</v>
      </c>
      <c r="U260" s="523"/>
      <c r="V260" s="523"/>
      <c r="W260" s="523"/>
      <c r="X260" s="523"/>
      <c r="Y260" s="523"/>
      <c r="Z260" s="523"/>
      <c r="AA260" s="523"/>
      <c r="AB260" s="523"/>
      <c r="AC260" s="523"/>
      <c r="AD260" s="523"/>
      <c r="AE260" s="523"/>
      <c r="AF260" s="523"/>
      <c r="AG260" s="523"/>
      <c r="AH260" s="523"/>
      <c r="AI260" s="523"/>
      <c r="AJ260" s="523"/>
      <c r="AK260" s="523">
        <f t="shared" si="261"/>
        <v>221.31920000000002</v>
      </c>
      <c r="AL260" s="523">
        <f t="shared" si="312"/>
        <v>0</v>
      </c>
      <c r="AM260" s="523">
        <f t="shared" si="312"/>
        <v>221.31920000000002</v>
      </c>
      <c r="AN260" s="523">
        <f t="shared" si="313"/>
        <v>0</v>
      </c>
      <c r="AO260" s="523">
        <f t="shared" si="313"/>
        <v>0</v>
      </c>
      <c r="AP260" s="523"/>
      <c r="AQ260" s="524"/>
      <c r="AR260" s="524">
        <v>221.31920000000002</v>
      </c>
    </row>
    <row r="261" spans="1:45" s="83" customFormat="1" ht="31.2" hidden="1" outlineLevel="1">
      <c r="A261" s="521">
        <v>2</v>
      </c>
      <c r="B261" s="522" t="s">
        <v>466</v>
      </c>
      <c r="C261" s="528">
        <f t="shared" si="269"/>
        <v>219</v>
      </c>
      <c r="D261" s="523">
        <v>0</v>
      </c>
      <c r="E261" s="523">
        <v>219</v>
      </c>
      <c r="F261" s="523">
        <v>0</v>
      </c>
      <c r="G261" s="523">
        <v>0</v>
      </c>
      <c r="H261" s="523">
        <f>SUM(H262:H263)</f>
        <v>155</v>
      </c>
      <c r="I261" s="523">
        <f t="shared" ref="I261:AR261" si="316">SUM(I262:I263)</f>
        <v>155</v>
      </c>
      <c r="J261" s="523">
        <f t="shared" si="316"/>
        <v>0</v>
      </c>
      <c r="K261" s="523">
        <f t="shared" si="316"/>
        <v>155</v>
      </c>
      <c r="L261" s="523">
        <f t="shared" si="316"/>
        <v>0</v>
      </c>
      <c r="M261" s="523">
        <f t="shared" si="316"/>
        <v>0</v>
      </c>
      <c r="N261" s="523">
        <f t="shared" si="316"/>
        <v>0</v>
      </c>
      <c r="O261" s="523">
        <f t="shared" si="316"/>
        <v>24.293499999999995</v>
      </c>
      <c r="P261" s="543">
        <f t="shared" si="230"/>
        <v>0</v>
      </c>
      <c r="Q261" s="543">
        <f t="shared" si="231"/>
        <v>24.293499999999995</v>
      </c>
      <c r="R261" s="523">
        <f t="shared" si="316"/>
        <v>24.293499999999995</v>
      </c>
      <c r="S261" s="523">
        <f t="shared" si="316"/>
        <v>0</v>
      </c>
      <c r="T261" s="523">
        <f t="shared" si="316"/>
        <v>24.293499999999995</v>
      </c>
      <c r="U261" s="523">
        <f t="shared" si="316"/>
        <v>0</v>
      </c>
      <c r="V261" s="523">
        <f t="shared" si="316"/>
        <v>0</v>
      </c>
      <c r="W261" s="523">
        <f t="shared" si="316"/>
        <v>0</v>
      </c>
      <c r="X261" s="523">
        <f t="shared" si="316"/>
        <v>219</v>
      </c>
      <c r="Y261" s="523">
        <f t="shared" si="316"/>
        <v>219</v>
      </c>
      <c r="Z261" s="523">
        <f t="shared" si="316"/>
        <v>0</v>
      </c>
      <c r="AA261" s="523">
        <f t="shared" si="316"/>
        <v>219</v>
      </c>
      <c r="AB261" s="523">
        <f t="shared" si="316"/>
        <v>0</v>
      </c>
      <c r="AC261" s="523">
        <f t="shared" si="316"/>
        <v>0</v>
      </c>
      <c r="AD261" s="523">
        <f t="shared" si="316"/>
        <v>0</v>
      </c>
      <c r="AE261" s="523">
        <f t="shared" si="316"/>
        <v>0</v>
      </c>
      <c r="AF261" s="523">
        <f t="shared" si="316"/>
        <v>0</v>
      </c>
      <c r="AG261" s="523">
        <f t="shared" si="316"/>
        <v>0</v>
      </c>
      <c r="AH261" s="523">
        <f t="shared" si="316"/>
        <v>0</v>
      </c>
      <c r="AI261" s="523">
        <f t="shared" si="316"/>
        <v>0</v>
      </c>
      <c r="AJ261" s="523">
        <f t="shared" si="316"/>
        <v>0</v>
      </c>
      <c r="AK261" s="523">
        <f t="shared" si="316"/>
        <v>130.70650000000001</v>
      </c>
      <c r="AL261" s="523">
        <f t="shared" si="316"/>
        <v>0</v>
      </c>
      <c r="AM261" s="523">
        <f t="shared" si="316"/>
        <v>130.70650000000001</v>
      </c>
      <c r="AN261" s="523">
        <f t="shared" si="316"/>
        <v>0</v>
      </c>
      <c r="AO261" s="523">
        <f t="shared" si="316"/>
        <v>0</v>
      </c>
      <c r="AP261" s="523"/>
      <c r="AQ261" s="524">
        <f t="shared" si="316"/>
        <v>0</v>
      </c>
      <c r="AR261" s="524">
        <f t="shared" si="316"/>
        <v>130.70650000000001</v>
      </c>
    </row>
    <row r="262" spans="1:45" s="83" customFormat="1" hidden="1" outlineLevel="1">
      <c r="A262" s="521"/>
      <c r="B262" s="522" t="s">
        <v>467</v>
      </c>
      <c r="C262" s="528">
        <f t="shared" si="269"/>
        <v>0</v>
      </c>
      <c r="D262" s="523">
        <v>0</v>
      </c>
      <c r="E262" s="523">
        <v>0</v>
      </c>
      <c r="F262" s="523">
        <v>0</v>
      </c>
      <c r="G262" s="523">
        <v>0</v>
      </c>
      <c r="H262" s="523">
        <f>I262+L262</f>
        <v>155</v>
      </c>
      <c r="I262" s="523">
        <f>J262+K262</f>
        <v>155</v>
      </c>
      <c r="J262" s="523"/>
      <c r="K262" s="523">
        <v>155</v>
      </c>
      <c r="L262" s="523"/>
      <c r="M262" s="523"/>
      <c r="N262" s="523"/>
      <c r="O262" s="523">
        <f>R262+U262</f>
        <v>24.293499999999995</v>
      </c>
      <c r="P262" s="543">
        <f t="shared" si="230"/>
        <v>0</v>
      </c>
      <c r="Q262" s="543">
        <f t="shared" si="231"/>
        <v>24.293499999999995</v>
      </c>
      <c r="R262" s="523">
        <f>S262+T262</f>
        <v>24.293499999999995</v>
      </c>
      <c r="S262" s="523"/>
      <c r="T262" s="523">
        <v>24.293499999999995</v>
      </c>
      <c r="U262" s="523"/>
      <c r="V262" s="523"/>
      <c r="W262" s="523"/>
      <c r="X262" s="523"/>
      <c r="Y262" s="523"/>
      <c r="Z262" s="523"/>
      <c r="AA262" s="523"/>
      <c r="AB262" s="523"/>
      <c r="AC262" s="523"/>
      <c r="AD262" s="523"/>
      <c r="AE262" s="523"/>
      <c r="AF262" s="523"/>
      <c r="AG262" s="523"/>
      <c r="AH262" s="523"/>
      <c r="AI262" s="523"/>
      <c r="AJ262" s="523"/>
      <c r="AK262" s="523">
        <f t="shared" si="261"/>
        <v>130.70650000000001</v>
      </c>
      <c r="AL262" s="523">
        <f t="shared" si="312"/>
        <v>0</v>
      </c>
      <c r="AM262" s="523">
        <f t="shared" si="312"/>
        <v>130.70650000000001</v>
      </c>
      <c r="AN262" s="523">
        <f t="shared" si="313"/>
        <v>0</v>
      </c>
      <c r="AO262" s="523">
        <f t="shared" si="313"/>
        <v>0</v>
      </c>
      <c r="AP262" s="523"/>
      <c r="AQ262" s="524"/>
      <c r="AR262" s="524">
        <v>130.70650000000001</v>
      </c>
    </row>
    <row r="263" spans="1:45" s="83" customFormat="1" hidden="1" outlineLevel="1">
      <c r="A263" s="521"/>
      <c r="B263" s="522" t="s">
        <v>468</v>
      </c>
      <c r="C263" s="528">
        <f t="shared" si="269"/>
        <v>219</v>
      </c>
      <c r="D263" s="523">
        <v>0</v>
      </c>
      <c r="E263" s="523">
        <v>219</v>
      </c>
      <c r="F263" s="523">
        <v>0</v>
      </c>
      <c r="G263" s="523">
        <v>0</v>
      </c>
      <c r="H263" s="523">
        <f>I263+L263</f>
        <v>0</v>
      </c>
      <c r="I263" s="523">
        <f>J263+K263</f>
        <v>0</v>
      </c>
      <c r="J263" s="523"/>
      <c r="K263" s="523"/>
      <c r="L263" s="523"/>
      <c r="M263" s="523"/>
      <c r="N263" s="523"/>
      <c r="O263" s="523"/>
      <c r="P263" s="543">
        <f t="shared" si="230"/>
        <v>0</v>
      </c>
      <c r="Q263" s="543">
        <f t="shared" si="231"/>
        <v>0</v>
      </c>
      <c r="R263" s="523"/>
      <c r="S263" s="523"/>
      <c r="T263" s="523"/>
      <c r="U263" s="523"/>
      <c r="V263" s="523"/>
      <c r="W263" s="523"/>
      <c r="X263" s="523">
        <f>Y263+AB263</f>
        <v>219</v>
      </c>
      <c r="Y263" s="523">
        <f>Z263+AA263</f>
        <v>219</v>
      </c>
      <c r="Z263" s="523"/>
      <c r="AA263" s="523">
        <v>219</v>
      </c>
      <c r="AB263" s="523"/>
      <c r="AC263" s="523"/>
      <c r="AD263" s="523"/>
      <c r="AE263" s="523"/>
      <c r="AF263" s="523"/>
      <c r="AG263" s="523"/>
      <c r="AH263" s="523"/>
      <c r="AI263" s="523"/>
      <c r="AJ263" s="523"/>
      <c r="AK263" s="523">
        <f t="shared" si="261"/>
        <v>0</v>
      </c>
      <c r="AL263" s="523">
        <f t="shared" si="312"/>
        <v>0</v>
      </c>
      <c r="AM263" s="523">
        <f t="shared" si="312"/>
        <v>0</v>
      </c>
      <c r="AN263" s="523">
        <f t="shared" si="313"/>
        <v>0</v>
      </c>
      <c r="AO263" s="523">
        <f t="shared" si="313"/>
        <v>0</v>
      </c>
      <c r="AP263" s="523"/>
      <c r="AQ263" s="524"/>
      <c r="AR263" s="524"/>
    </row>
    <row r="264" spans="1:45" s="83" customFormat="1" ht="27.6" hidden="1" outlineLevel="1">
      <c r="A264" s="521">
        <v>3</v>
      </c>
      <c r="B264" s="522" t="s">
        <v>519</v>
      </c>
      <c r="C264" s="523">
        <f t="shared" ref="C264:AR264" si="317">C265+C280+C293+C296+C309+C325+C330+C335+C338</f>
        <v>33301.214439999996</v>
      </c>
      <c r="D264" s="523">
        <f t="shared" si="317"/>
        <v>0</v>
      </c>
      <c r="E264" s="523">
        <f t="shared" si="317"/>
        <v>11446.496000000003</v>
      </c>
      <c r="F264" s="523">
        <f t="shared" si="317"/>
        <v>0</v>
      </c>
      <c r="G264" s="523">
        <f t="shared" si="317"/>
        <v>21854.718440000001</v>
      </c>
      <c r="H264" s="523">
        <f>H265+H280+H293+H296+H309+H325+H330+H335+H338</f>
        <v>69933</v>
      </c>
      <c r="I264" s="523">
        <f t="shared" si="317"/>
        <v>22376</v>
      </c>
      <c r="J264" s="523">
        <f t="shared" si="317"/>
        <v>0</v>
      </c>
      <c r="K264" s="523">
        <f t="shared" si="317"/>
        <v>22376</v>
      </c>
      <c r="L264" s="523">
        <f t="shared" si="317"/>
        <v>47557</v>
      </c>
      <c r="M264" s="523">
        <f t="shared" si="317"/>
        <v>0</v>
      </c>
      <c r="N264" s="523">
        <f t="shared" si="317"/>
        <v>47557</v>
      </c>
      <c r="O264" s="523">
        <f t="shared" si="317"/>
        <v>63177.003999999994</v>
      </c>
      <c r="P264" s="543">
        <f t="shared" si="230"/>
        <v>0</v>
      </c>
      <c r="Q264" s="543">
        <f t="shared" si="231"/>
        <v>63177.003999999994</v>
      </c>
      <c r="R264" s="523">
        <f t="shared" si="317"/>
        <v>9483</v>
      </c>
      <c r="S264" s="523">
        <f t="shared" si="317"/>
        <v>0</v>
      </c>
      <c r="T264" s="523">
        <f t="shared" si="317"/>
        <v>9483</v>
      </c>
      <c r="U264" s="523">
        <f t="shared" si="317"/>
        <v>53694.003999999994</v>
      </c>
      <c r="V264" s="523">
        <f t="shared" si="317"/>
        <v>0</v>
      </c>
      <c r="W264" s="523">
        <f t="shared" si="317"/>
        <v>53694.003999999994</v>
      </c>
      <c r="X264" s="523">
        <f t="shared" si="317"/>
        <v>10549.616</v>
      </c>
      <c r="Y264" s="523">
        <f t="shared" si="317"/>
        <v>0</v>
      </c>
      <c r="Z264" s="523">
        <f t="shared" si="317"/>
        <v>0</v>
      </c>
      <c r="AA264" s="523">
        <f t="shared" si="317"/>
        <v>0</v>
      </c>
      <c r="AB264" s="523">
        <f t="shared" si="317"/>
        <v>10549.616</v>
      </c>
      <c r="AC264" s="523">
        <f t="shared" si="317"/>
        <v>0</v>
      </c>
      <c r="AD264" s="523">
        <f t="shared" si="317"/>
        <v>10549.616</v>
      </c>
      <c r="AE264" s="523">
        <f t="shared" si="317"/>
        <v>0</v>
      </c>
      <c r="AF264" s="523">
        <f t="shared" si="317"/>
        <v>0</v>
      </c>
      <c r="AG264" s="523">
        <f t="shared" si="317"/>
        <v>0</v>
      </c>
      <c r="AH264" s="523">
        <f t="shared" si="317"/>
        <v>0</v>
      </c>
      <c r="AI264" s="523">
        <f t="shared" si="317"/>
        <v>0</v>
      </c>
      <c r="AJ264" s="523">
        <f t="shared" si="317"/>
        <v>0</v>
      </c>
      <c r="AK264" s="523">
        <f t="shared" si="317"/>
        <v>29507.594440000001</v>
      </c>
      <c r="AL264" s="523">
        <f t="shared" si="317"/>
        <v>0</v>
      </c>
      <c r="AM264" s="523">
        <f t="shared" si="317"/>
        <v>24339.495999999999</v>
      </c>
      <c r="AN264" s="523">
        <f t="shared" si="317"/>
        <v>0</v>
      </c>
      <c r="AO264" s="523">
        <f t="shared" si="317"/>
        <v>5168.0984399999998</v>
      </c>
      <c r="AP264" s="523"/>
      <c r="AQ264" s="524">
        <f t="shared" si="317"/>
        <v>24339.495999999999</v>
      </c>
      <c r="AR264" s="524">
        <f t="shared" si="317"/>
        <v>0</v>
      </c>
      <c r="AS264" s="84" t="s">
        <v>2166</v>
      </c>
    </row>
    <row r="265" spans="1:45" s="83" customFormat="1" hidden="1" outlineLevel="1">
      <c r="A265" s="545" t="s">
        <v>405</v>
      </c>
      <c r="B265" s="522" t="s">
        <v>520</v>
      </c>
      <c r="C265" s="523">
        <f t="shared" ref="C265:AR265" si="318">C266+C279</f>
        <v>9953.7900000000009</v>
      </c>
      <c r="D265" s="523">
        <f t="shared" si="318"/>
        <v>0</v>
      </c>
      <c r="E265" s="523">
        <f t="shared" si="318"/>
        <v>198.11099999999988</v>
      </c>
      <c r="F265" s="523">
        <f t="shared" si="318"/>
        <v>0</v>
      </c>
      <c r="G265" s="523">
        <f t="shared" si="318"/>
        <v>9755.6790000000001</v>
      </c>
      <c r="H265" s="523">
        <f t="shared" si="318"/>
        <v>8857</v>
      </c>
      <c r="I265" s="523">
        <f t="shared" si="318"/>
        <v>0</v>
      </c>
      <c r="J265" s="523">
        <f t="shared" si="318"/>
        <v>0</v>
      </c>
      <c r="K265" s="523">
        <f t="shared" si="318"/>
        <v>0</v>
      </c>
      <c r="L265" s="523">
        <f t="shared" si="318"/>
        <v>8857</v>
      </c>
      <c r="M265" s="523">
        <f t="shared" si="318"/>
        <v>0</v>
      </c>
      <c r="N265" s="523">
        <f t="shared" si="318"/>
        <v>8857</v>
      </c>
      <c r="O265" s="523">
        <f t="shared" si="318"/>
        <v>16575.891</v>
      </c>
      <c r="P265" s="543">
        <f t="shared" si="230"/>
        <v>0</v>
      </c>
      <c r="Q265" s="543">
        <f t="shared" si="231"/>
        <v>16575.891</v>
      </c>
      <c r="R265" s="523">
        <f t="shared" si="318"/>
        <v>0</v>
      </c>
      <c r="S265" s="523">
        <f t="shared" si="318"/>
        <v>0</v>
      </c>
      <c r="T265" s="523">
        <f t="shared" si="318"/>
        <v>0</v>
      </c>
      <c r="U265" s="523">
        <f t="shared" si="318"/>
        <v>16575.891</v>
      </c>
      <c r="V265" s="523">
        <f t="shared" si="318"/>
        <v>0</v>
      </c>
      <c r="W265" s="523">
        <f t="shared" si="318"/>
        <v>16575.891</v>
      </c>
      <c r="X265" s="523">
        <f t="shared" si="318"/>
        <v>1953.1869999999994</v>
      </c>
      <c r="Y265" s="523">
        <f t="shared" si="318"/>
        <v>0</v>
      </c>
      <c r="Z265" s="523">
        <f t="shared" si="318"/>
        <v>0</v>
      </c>
      <c r="AA265" s="523">
        <f t="shared" si="318"/>
        <v>0</v>
      </c>
      <c r="AB265" s="523">
        <f t="shared" si="318"/>
        <v>1953.1869999999994</v>
      </c>
      <c r="AC265" s="523">
        <f t="shared" si="318"/>
        <v>0</v>
      </c>
      <c r="AD265" s="523">
        <f t="shared" si="318"/>
        <v>1953.1869999999994</v>
      </c>
      <c r="AE265" s="523">
        <f t="shared" si="318"/>
        <v>0</v>
      </c>
      <c r="AF265" s="523">
        <f t="shared" si="318"/>
        <v>0</v>
      </c>
      <c r="AG265" s="523">
        <f t="shared" si="318"/>
        <v>0</v>
      </c>
      <c r="AH265" s="523">
        <f t="shared" si="318"/>
        <v>0</v>
      </c>
      <c r="AI265" s="523">
        <f t="shared" si="318"/>
        <v>0</v>
      </c>
      <c r="AJ265" s="523">
        <f t="shared" si="318"/>
        <v>0</v>
      </c>
      <c r="AK265" s="523">
        <f t="shared" si="318"/>
        <v>281.71199999999988</v>
      </c>
      <c r="AL265" s="523">
        <f t="shared" si="318"/>
        <v>0</v>
      </c>
      <c r="AM265" s="523">
        <f t="shared" si="318"/>
        <v>198.11099999999988</v>
      </c>
      <c r="AN265" s="523">
        <f t="shared" si="318"/>
        <v>0</v>
      </c>
      <c r="AO265" s="523">
        <f t="shared" si="318"/>
        <v>83.600999999999971</v>
      </c>
      <c r="AP265" s="523"/>
      <c r="AQ265" s="524">
        <f t="shared" si="318"/>
        <v>198.11099999999988</v>
      </c>
      <c r="AR265" s="524">
        <f t="shared" si="318"/>
        <v>0</v>
      </c>
    </row>
    <row r="266" spans="1:45" s="83" customFormat="1" hidden="1" outlineLevel="1">
      <c r="A266" s="521" t="s">
        <v>389</v>
      </c>
      <c r="B266" s="522" t="s">
        <v>521</v>
      </c>
      <c r="C266" s="523">
        <f>SUM(C267:C278)</f>
        <v>9953.7900000000009</v>
      </c>
      <c r="D266" s="523">
        <f t="shared" ref="D266:AR266" si="319">SUM(D267:D278)</f>
        <v>0</v>
      </c>
      <c r="E266" s="523">
        <f t="shared" si="319"/>
        <v>198.11099999999988</v>
      </c>
      <c r="F266" s="523">
        <f t="shared" si="319"/>
        <v>0</v>
      </c>
      <c r="G266" s="523">
        <f t="shared" si="319"/>
        <v>9755.6790000000001</v>
      </c>
      <c r="H266" s="523">
        <f t="shared" si="319"/>
        <v>8857</v>
      </c>
      <c r="I266" s="523">
        <f t="shared" si="319"/>
        <v>0</v>
      </c>
      <c r="J266" s="523">
        <f t="shared" si="319"/>
        <v>0</v>
      </c>
      <c r="K266" s="523">
        <f t="shared" si="319"/>
        <v>0</v>
      </c>
      <c r="L266" s="523">
        <f t="shared" si="319"/>
        <v>8857</v>
      </c>
      <c r="M266" s="523">
        <f t="shared" si="319"/>
        <v>0</v>
      </c>
      <c r="N266" s="523">
        <f t="shared" si="319"/>
        <v>8857</v>
      </c>
      <c r="O266" s="523">
        <f t="shared" si="319"/>
        <v>16575.891</v>
      </c>
      <c r="P266" s="543">
        <f t="shared" si="230"/>
        <v>0</v>
      </c>
      <c r="Q266" s="543">
        <f t="shared" si="231"/>
        <v>16575.891</v>
      </c>
      <c r="R266" s="523">
        <f t="shared" si="319"/>
        <v>0</v>
      </c>
      <c r="S266" s="523">
        <f t="shared" si="319"/>
        <v>0</v>
      </c>
      <c r="T266" s="523">
        <f t="shared" si="319"/>
        <v>0</v>
      </c>
      <c r="U266" s="523">
        <f t="shared" si="319"/>
        <v>16575.891</v>
      </c>
      <c r="V266" s="523">
        <f t="shared" si="319"/>
        <v>0</v>
      </c>
      <c r="W266" s="523">
        <f t="shared" si="319"/>
        <v>16575.891</v>
      </c>
      <c r="X266" s="523">
        <f t="shared" si="319"/>
        <v>1953.1869999999994</v>
      </c>
      <c r="Y266" s="523">
        <f t="shared" si="319"/>
        <v>0</v>
      </c>
      <c r="Z266" s="523">
        <f t="shared" si="319"/>
        <v>0</v>
      </c>
      <c r="AA266" s="523">
        <f t="shared" si="319"/>
        <v>0</v>
      </c>
      <c r="AB266" s="523">
        <f t="shared" si="319"/>
        <v>1953.1869999999994</v>
      </c>
      <c r="AC266" s="523">
        <f t="shared" si="319"/>
        <v>0</v>
      </c>
      <c r="AD266" s="523">
        <f t="shared" si="319"/>
        <v>1953.1869999999994</v>
      </c>
      <c r="AE266" s="523">
        <f t="shared" si="319"/>
        <v>0</v>
      </c>
      <c r="AF266" s="523">
        <f t="shared" si="319"/>
        <v>0</v>
      </c>
      <c r="AG266" s="523">
        <f t="shared" si="319"/>
        <v>0</v>
      </c>
      <c r="AH266" s="523">
        <f t="shared" si="319"/>
        <v>0</v>
      </c>
      <c r="AI266" s="523">
        <f t="shared" si="319"/>
        <v>0</v>
      </c>
      <c r="AJ266" s="523">
        <f t="shared" si="319"/>
        <v>0</v>
      </c>
      <c r="AK266" s="523">
        <f t="shared" si="319"/>
        <v>281.71199999999988</v>
      </c>
      <c r="AL266" s="523">
        <f t="shared" si="319"/>
        <v>0</v>
      </c>
      <c r="AM266" s="523">
        <f t="shared" si="319"/>
        <v>198.11099999999988</v>
      </c>
      <c r="AN266" s="523">
        <f t="shared" si="319"/>
        <v>0</v>
      </c>
      <c r="AO266" s="523">
        <f t="shared" si="319"/>
        <v>83.600999999999971</v>
      </c>
      <c r="AP266" s="523"/>
      <c r="AQ266" s="524">
        <f t="shared" si="319"/>
        <v>198.11099999999988</v>
      </c>
      <c r="AR266" s="524">
        <f t="shared" si="319"/>
        <v>0</v>
      </c>
    </row>
    <row r="267" spans="1:45" s="83" customFormat="1" hidden="1" outlineLevel="1">
      <c r="A267" s="521"/>
      <c r="B267" s="522" t="s">
        <v>188</v>
      </c>
      <c r="C267" s="528">
        <f t="shared" ref="C267:C324" si="320">SUM(D267:G267)</f>
        <v>0.49399999999999999</v>
      </c>
      <c r="D267" s="523">
        <v>0</v>
      </c>
      <c r="E267" s="523">
        <v>0</v>
      </c>
      <c r="F267" s="523">
        <v>0</v>
      </c>
      <c r="G267" s="523">
        <v>0.49399999999999999</v>
      </c>
      <c r="H267" s="523">
        <f t="shared" ref="H267:H278" si="321">I267+L267</f>
        <v>0</v>
      </c>
      <c r="I267" s="523">
        <f t="shared" ref="I267:I278" si="322">J267+K267</f>
        <v>0</v>
      </c>
      <c r="J267" s="523"/>
      <c r="K267" s="523">
        <v>0</v>
      </c>
      <c r="L267" s="523">
        <f t="shared" ref="L267:L276" si="323">M267+N267</f>
        <v>0</v>
      </c>
      <c r="M267" s="523"/>
      <c r="N267" s="523"/>
      <c r="O267" s="523">
        <f t="shared" ref="O267:O276" si="324">R267+U267</f>
        <v>0</v>
      </c>
      <c r="P267" s="543">
        <f t="shared" si="230"/>
        <v>0</v>
      </c>
      <c r="Q267" s="543">
        <f t="shared" si="231"/>
        <v>0</v>
      </c>
      <c r="R267" s="523"/>
      <c r="S267" s="523"/>
      <c r="T267" s="523"/>
      <c r="U267" s="523">
        <f>V267+W267</f>
        <v>0</v>
      </c>
      <c r="V267" s="523"/>
      <c r="W267" s="523"/>
      <c r="X267" s="523">
        <f t="shared" ref="X267:X276" si="325">Y267+AB267+AE267+AH267</f>
        <v>0</v>
      </c>
      <c r="Y267" s="523">
        <f t="shared" ref="Y267:Y276" si="326">Z267+AA267</f>
        <v>0</v>
      </c>
      <c r="Z267" s="523"/>
      <c r="AA267" s="523"/>
      <c r="AB267" s="523">
        <f t="shared" ref="AB267:AB276" si="327">AC267+AD267</f>
        <v>0</v>
      </c>
      <c r="AC267" s="523"/>
      <c r="AD267" s="523"/>
      <c r="AE267" s="523">
        <f t="shared" ref="AE267:AE279" si="328">AF267+AG267</f>
        <v>0</v>
      </c>
      <c r="AF267" s="523"/>
      <c r="AG267" s="523"/>
      <c r="AH267" s="523">
        <f t="shared" ref="AH267:AH279" si="329">AI267+AJ267</f>
        <v>0</v>
      </c>
      <c r="AI267" s="523"/>
      <c r="AJ267" s="523"/>
      <c r="AK267" s="523">
        <f t="shared" ref="AK267:AK324" si="330">SUM(AL267:AO267)</f>
        <v>0.49399999999999999</v>
      </c>
      <c r="AL267" s="523">
        <f t="shared" ref="AL267:AM297" si="331">D267+J267-S267-Z267-AF267</f>
        <v>0</v>
      </c>
      <c r="AM267" s="523">
        <f t="shared" si="331"/>
        <v>0</v>
      </c>
      <c r="AN267" s="523">
        <f t="shared" ref="AN267:AO297" si="332">F267+M267-V267-AC267-AI267</f>
        <v>0</v>
      </c>
      <c r="AO267" s="523">
        <f t="shared" si="332"/>
        <v>0.49399999999999999</v>
      </c>
      <c r="AP267" s="523"/>
      <c r="AQ267" s="524"/>
      <c r="AR267" s="524"/>
    </row>
    <row r="268" spans="1:45" s="83" customFormat="1" hidden="1" outlineLevel="1">
      <c r="A268" s="521"/>
      <c r="B268" s="522" t="s">
        <v>200</v>
      </c>
      <c r="C268" s="528">
        <f t="shared" si="320"/>
        <v>1480.1860000000001</v>
      </c>
      <c r="D268" s="523">
        <v>0</v>
      </c>
      <c r="E268" s="523">
        <v>0</v>
      </c>
      <c r="F268" s="523">
        <v>0</v>
      </c>
      <c r="G268" s="523">
        <v>1480.1860000000001</v>
      </c>
      <c r="H268" s="523">
        <f t="shared" si="321"/>
        <v>933</v>
      </c>
      <c r="I268" s="523">
        <f t="shared" si="322"/>
        <v>0</v>
      </c>
      <c r="J268" s="523"/>
      <c r="K268" s="523"/>
      <c r="L268" s="523">
        <f t="shared" si="323"/>
        <v>933</v>
      </c>
      <c r="M268" s="523"/>
      <c r="N268" s="523">
        <v>933</v>
      </c>
      <c r="O268" s="523">
        <f t="shared" si="324"/>
        <v>2413.1860000000001</v>
      </c>
      <c r="P268" s="543">
        <f t="shared" si="230"/>
        <v>0</v>
      </c>
      <c r="Q268" s="543">
        <f t="shared" si="231"/>
        <v>2413.1860000000001</v>
      </c>
      <c r="R268" s="523"/>
      <c r="S268" s="523"/>
      <c r="T268" s="523"/>
      <c r="U268" s="523">
        <f>V268+W268</f>
        <v>2413.1860000000001</v>
      </c>
      <c r="V268" s="523"/>
      <c r="W268" s="523">
        <f>N268+G268</f>
        <v>2413.1860000000001</v>
      </c>
      <c r="X268" s="523">
        <f t="shared" si="325"/>
        <v>0</v>
      </c>
      <c r="Y268" s="523">
        <f t="shared" si="326"/>
        <v>0</v>
      </c>
      <c r="Z268" s="523"/>
      <c r="AA268" s="523"/>
      <c r="AB268" s="523">
        <f t="shared" si="327"/>
        <v>0</v>
      </c>
      <c r="AC268" s="523"/>
      <c r="AD268" s="523"/>
      <c r="AE268" s="523">
        <f t="shared" si="328"/>
        <v>0</v>
      </c>
      <c r="AF268" s="523"/>
      <c r="AG268" s="523"/>
      <c r="AH268" s="523">
        <f t="shared" si="329"/>
        <v>0</v>
      </c>
      <c r="AI268" s="523"/>
      <c r="AJ268" s="523"/>
      <c r="AK268" s="523">
        <f t="shared" si="330"/>
        <v>0</v>
      </c>
      <c r="AL268" s="523">
        <f t="shared" si="331"/>
        <v>0</v>
      </c>
      <c r="AM268" s="523">
        <f t="shared" si="331"/>
        <v>0</v>
      </c>
      <c r="AN268" s="523">
        <f t="shared" si="332"/>
        <v>0</v>
      </c>
      <c r="AO268" s="523">
        <f t="shared" si="332"/>
        <v>0</v>
      </c>
      <c r="AP268" s="523"/>
      <c r="AQ268" s="524"/>
      <c r="AR268" s="524"/>
    </row>
    <row r="269" spans="1:45" s="83" customFormat="1" hidden="1" outlineLevel="1">
      <c r="A269" s="521"/>
      <c r="B269" s="522" t="s">
        <v>197</v>
      </c>
      <c r="C269" s="528">
        <f t="shared" si="320"/>
        <v>1598.9949999999999</v>
      </c>
      <c r="D269" s="523">
        <v>0</v>
      </c>
      <c r="E269" s="523">
        <v>0</v>
      </c>
      <c r="F269" s="523">
        <v>0</v>
      </c>
      <c r="G269" s="523">
        <v>1598.9949999999999</v>
      </c>
      <c r="H269" s="523">
        <f t="shared" si="321"/>
        <v>879</v>
      </c>
      <c r="I269" s="523">
        <f t="shared" si="322"/>
        <v>0</v>
      </c>
      <c r="J269" s="523"/>
      <c r="K269" s="523">
        <v>0</v>
      </c>
      <c r="L269" s="523">
        <f t="shared" si="323"/>
        <v>879</v>
      </c>
      <c r="M269" s="523"/>
      <c r="N269" s="523">
        <v>879</v>
      </c>
      <c r="O269" s="523">
        <f t="shared" si="324"/>
        <v>2477.9949999999999</v>
      </c>
      <c r="P269" s="543">
        <f t="shared" si="230"/>
        <v>0</v>
      </c>
      <c r="Q269" s="543">
        <f t="shared" si="231"/>
        <v>2477.9949999999999</v>
      </c>
      <c r="R269" s="523"/>
      <c r="S269" s="523"/>
      <c r="T269" s="523"/>
      <c r="U269" s="523">
        <f t="shared" ref="U269:U276" si="333">V269+W269</f>
        <v>2477.9949999999999</v>
      </c>
      <c r="V269" s="523"/>
      <c r="W269" s="523">
        <f>1598.995+879</f>
        <v>2477.9949999999999</v>
      </c>
      <c r="X269" s="523">
        <f t="shared" si="325"/>
        <v>0</v>
      </c>
      <c r="Y269" s="523">
        <f t="shared" si="326"/>
        <v>0</v>
      </c>
      <c r="Z269" s="523"/>
      <c r="AA269" s="523"/>
      <c r="AB269" s="523">
        <f t="shared" si="327"/>
        <v>0</v>
      </c>
      <c r="AC269" s="523"/>
      <c r="AD269" s="523"/>
      <c r="AE269" s="523">
        <f t="shared" si="328"/>
        <v>0</v>
      </c>
      <c r="AF269" s="523"/>
      <c r="AG269" s="523"/>
      <c r="AH269" s="523">
        <f t="shared" si="329"/>
        <v>0</v>
      </c>
      <c r="AI269" s="523"/>
      <c r="AJ269" s="523"/>
      <c r="AK269" s="523">
        <f t="shared" si="330"/>
        <v>0</v>
      </c>
      <c r="AL269" s="523">
        <f t="shared" si="331"/>
        <v>0</v>
      </c>
      <c r="AM269" s="523">
        <f t="shared" si="331"/>
        <v>0</v>
      </c>
      <c r="AN269" s="523">
        <f t="shared" si="332"/>
        <v>0</v>
      </c>
      <c r="AO269" s="523">
        <f t="shared" si="332"/>
        <v>0</v>
      </c>
      <c r="AP269" s="523"/>
      <c r="AQ269" s="524"/>
      <c r="AR269" s="524"/>
    </row>
    <row r="270" spans="1:45" s="83" customFormat="1" hidden="1" outlineLevel="1">
      <c r="A270" s="521"/>
      <c r="B270" s="522" t="s">
        <v>198</v>
      </c>
      <c r="C270" s="528">
        <f t="shared" si="320"/>
        <v>71.399999999999835</v>
      </c>
      <c r="D270" s="523">
        <v>0</v>
      </c>
      <c r="E270" s="523">
        <v>0</v>
      </c>
      <c r="F270" s="523">
        <v>0</v>
      </c>
      <c r="G270" s="523">
        <v>71.399999999999835</v>
      </c>
      <c r="H270" s="523">
        <f t="shared" si="321"/>
        <v>0</v>
      </c>
      <c r="I270" s="523">
        <f t="shared" si="322"/>
        <v>0</v>
      </c>
      <c r="J270" s="523"/>
      <c r="K270" s="523">
        <v>0</v>
      </c>
      <c r="L270" s="523">
        <f t="shared" si="323"/>
        <v>0</v>
      </c>
      <c r="M270" s="523"/>
      <c r="N270" s="523"/>
      <c r="O270" s="523">
        <f t="shared" si="324"/>
        <v>71.399999999999835</v>
      </c>
      <c r="P270" s="543">
        <f t="shared" si="230"/>
        <v>0</v>
      </c>
      <c r="Q270" s="543">
        <f t="shared" si="231"/>
        <v>71.399999999999835</v>
      </c>
      <c r="R270" s="523"/>
      <c r="S270" s="523"/>
      <c r="T270" s="523"/>
      <c r="U270" s="523">
        <f t="shared" si="333"/>
        <v>71.399999999999835</v>
      </c>
      <c r="V270" s="523"/>
      <c r="W270" s="523">
        <v>71.399999999999835</v>
      </c>
      <c r="X270" s="523">
        <f t="shared" si="325"/>
        <v>0</v>
      </c>
      <c r="Y270" s="523">
        <f t="shared" si="326"/>
        <v>0</v>
      </c>
      <c r="Z270" s="523"/>
      <c r="AA270" s="523"/>
      <c r="AB270" s="523">
        <f t="shared" si="327"/>
        <v>0</v>
      </c>
      <c r="AC270" s="523"/>
      <c r="AD270" s="523"/>
      <c r="AE270" s="523">
        <f t="shared" si="328"/>
        <v>0</v>
      </c>
      <c r="AF270" s="523"/>
      <c r="AG270" s="523"/>
      <c r="AH270" s="523">
        <f t="shared" si="329"/>
        <v>0</v>
      </c>
      <c r="AI270" s="523"/>
      <c r="AJ270" s="523"/>
      <c r="AK270" s="523">
        <f t="shared" si="330"/>
        <v>0</v>
      </c>
      <c r="AL270" s="523">
        <f t="shared" si="331"/>
        <v>0</v>
      </c>
      <c r="AM270" s="523">
        <f t="shared" si="331"/>
        <v>0</v>
      </c>
      <c r="AN270" s="523">
        <f t="shared" si="332"/>
        <v>0</v>
      </c>
      <c r="AO270" s="523">
        <f t="shared" si="332"/>
        <v>0</v>
      </c>
      <c r="AP270" s="523"/>
      <c r="AQ270" s="524"/>
      <c r="AR270" s="524"/>
    </row>
    <row r="271" spans="1:45" s="83" customFormat="1" hidden="1" outlineLevel="1">
      <c r="A271" s="521"/>
      <c r="B271" s="522" t="s">
        <v>194</v>
      </c>
      <c r="C271" s="528">
        <f t="shared" si="320"/>
        <v>1746</v>
      </c>
      <c r="D271" s="523">
        <v>0</v>
      </c>
      <c r="E271" s="523">
        <v>0</v>
      </c>
      <c r="F271" s="523">
        <v>0</v>
      </c>
      <c r="G271" s="523">
        <v>1746</v>
      </c>
      <c r="H271" s="523">
        <f t="shared" si="321"/>
        <v>2051</v>
      </c>
      <c r="I271" s="523">
        <f t="shared" si="322"/>
        <v>0</v>
      </c>
      <c r="J271" s="523"/>
      <c r="K271" s="523">
        <v>0</v>
      </c>
      <c r="L271" s="523">
        <f t="shared" si="323"/>
        <v>2051</v>
      </c>
      <c r="M271" s="523"/>
      <c r="N271" s="523">
        <v>2051</v>
      </c>
      <c r="O271" s="523">
        <f t="shared" si="324"/>
        <v>3797</v>
      </c>
      <c r="P271" s="543">
        <f t="shared" ref="P271:P334" si="334">S271+V271</f>
        <v>0</v>
      </c>
      <c r="Q271" s="543">
        <f t="shared" ref="Q271:Q334" si="335">T271+W271</f>
        <v>3797</v>
      </c>
      <c r="R271" s="523">
        <f>R272</f>
        <v>0</v>
      </c>
      <c r="S271" s="523">
        <f>S272</f>
        <v>0</v>
      </c>
      <c r="T271" s="523">
        <f>T272</f>
        <v>0</v>
      </c>
      <c r="U271" s="523">
        <f t="shared" si="333"/>
        <v>3797</v>
      </c>
      <c r="V271" s="523">
        <f>V272</f>
        <v>0</v>
      </c>
      <c r="W271" s="523">
        <v>3797</v>
      </c>
      <c r="X271" s="523">
        <f t="shared" si="325"/>
        <v>0</v>
      </c>
      <c r="Y271" s="523">
        <f t="shared" si="326"/>
        <v>0</v>
      </c>
      <c r="Z271" s="523"/>
      <c r="AA271" s="523"/>
      <c r="AB271" s="523">
        <f t="shared" si="327"/>
        <v>0</v>
      </c>
      <c r="AC271" s="523"/>
      <c r="AD271" s="523"/>
      <c r="AE271" s="523">
        <f t="shared" si="328"/>
        <v>0</v>
      </c>
      <c r="AF271" s="523"/>
      <c r="AG271" s="523"/>
      <c r="AH271" s="523">
        <f t="shared" si="329"/>
        <v>0</v>
      </c>
      <c r="AI271" s="523"/>
      <c r="AJ271" s="523"/>
      <c r="AK271" s="523">
        <f t="shared" si="330"/>
        <v>0</v>
      </c>
      <c r="AL271" s="523">
        <f t="shared" si="331"/>
        <v>0</v>
      </c>
      <c r="AM271" s="523">
        <f t="shared" si="331"/>
        <v>0</v>
      </c>
      <c r="AN271" s="523">
        <f t="shared" si="332"/>
        <v>0</v>
      </c>
      <c r="AO271" s="523">
        <f t="shared" si="332"/>
        <v>0</v>
      </c>
      <c r="AP271" s="523"/>
      <c r="AQ271" s="524"/>
      <c r="AR271" s="524"/>
    </row>
    <row r="272" spans="1:45" s="83" customFormat="1" hidden="1" outlineLevel="1">
      <c r="A272" s="521"/>
      <c r="B272" s="522" t="s">
        <v>388</v>
      </c>
      <c r="C272" s="528">
        <f t="shared" si="320"/>
        <v>0</v>
      </c>
      <c r="D272" s="523">
        <v>0</v>
      </c>
      <c r="E272" s="523">
        <v>0</v>
      </c>
      <c r="F272" s="523">
        <v>0</v>
      </c>
      <c r="G272" s="523"/>
      <c r="H272" s="523">
        <f t="shared" si="321"/>
        <v>1169</v>
      </c>
      <c r="I272" s="523">
        <f t="shared" si="322"/>
        <v>0</v>
      </c>
      <c r="J272" s="523"/>
      <c r="K272" s="523">
        <v>0</v>
      </c>
      <c r="L272" s="523">
        <f t="shared" si="323"/>
        <v>1169</v>
      </c>
      <c r="M272" s="523"/>
      <c r="N272" s="523">
        <v>1169</v>
      </c>
      <c r="O272" s="523">
        <f t="shared" si="324"/>
        <v>1169</v>
      </c>
      <c r="P272" s="543">
        <f t="shared" si="334"/>
        <v>0</v>
      </c>
      <c r="Q272" s="543">
        <f t="shared" si="335"/>
        <v>1169</v>
      </c>
      <c r="R272" s="523"/>
      <c r="S272" s="523"/>
      <c r="T272" s="523"/>
      <c r="U272" s="523">
        <f t="shared" si="333"/>
        <v>1169</v>
      </c>
      <c r="V272" s="523"/>
      <c r="W272" s="523">
        <v>1169</v>
      </c>
      <c r="X272" s="523">
        <f t="shared" si="325"/>
        <v>0</v>
      </c>
      <c r="Y272" s="523">
        <f t="shared" si="326"/>
        <v>0</v>
      </c>
      <c r="Z272" s="523"/>
      <c r="AA272" s="523"/>
      <c r="AB272" s="523">
        <f t="shared" si="327"/>
        <v>0</v>
      </c>
      <c r="AC272" s="523"/>
      <c r="AD272" s="523"/>
      <c r="AE272" s="523">
        <f t="shared" si="328"/>
        <v>0</v>
      </c>
      <c r="AF272" s="523"/>
      <c r="AG272" s="523"/>
      <c r="AH272" s="523">
        <f t="shared" si="329"/>
        <v>0</v>
      </c>
      <c r="AI272" s="523"/>
      <c r="AJ272" s="523"/>
      <c r="AK272" s="523">
        <f t="shared" si="330"/>
        <v>0</v>
      </c>
      <c r="AL272" s="523">
        <f t="shared" si="331"/>
        <v>0</v>
      </c>
      <c r="AM272" s="523">
        <f t="shared" si="331"/>
        <v>0</v>
      </c>
      <c r="AN272" s="523">
        <f t="shared" si="332"/>
        <v>0</v>
      </c>
      <c r="AO272" s="523">
        <f t="shared" si="332"/>
        <v>0</v>
      </c>
      <c r="AP272" s="523"/>
      <c r="AQ272" s="524"/>
      <c r="AR272" s="524"/>
    </row>
    <row r="273" spans="1:44" s="83" customFormat="1" hidden="1" outlineLevel="1">
      <c r="A273" s="521"/>
      <c r="B273" s="522" t="s">
        <v>199</v>
      </c>
      <c r="C273" s="528">
        <f t="shared" si="320"/>
        <v>658.40699999999993</v>
      </c>
      <c r="D273" s="523">
        <v>0</v>
      </c>
      <c r="E273" s="523">
        <v>0</v>
      </c>
      <c r="F273" s="523">
        <v>0</v>
      </c>
      <c r="G273" s="523">
        <v>658.40699999999993</v>
      </c>
      <c r="H273" s="523">
        <f t="shared" si="321"/>
        <v>345</v>
      </c>
      <c r="I273" s="523"/>
      <c r="J273" s="523"/>
      <c r="K273" s="523"/>
      <c r="L273" s="523">
        <f t="shared" si="323"/>
        <v>345</v>
      </c>
      <c r="M273" s="523"/>
      <c r="N273" s="523">
        <v>345</v>
      </c>
      <c r="O273" s="523">
        <f t="shared" si="324"/>
        <v>920.3</v>
      </c>
      <c r="P273" s="543">
        <f t="shared" si="334"/>
        <v>0</v>
      </c>
      <c r="Q273" s="543">
        <f t="shared" si="335"/>
        <v>920.3</v>
      </c>
      <c r="R273" s="523"/>
      <c r="S273" s="523"/>
      <c r="T273" s="523"/>
      <c r="U273" s="523">
        <f>V273+W273</f>
        <v>920.3</v>
      </c>
      <c r="V273" s="523"/>
      <c r="W273" s="523">
        <v>920.3</v>
      </c>
      <c r="X273" s="523">
        <f t="shared" si="325"/>
        <v>0</v>
      </c>
      <c r="Y273" s="523">
        <f t="shared" si="326"/>
        <v>0</v>
      </c>
      <c r="Z273" s="523"/>
      <c r="AA273" s="523"/>
      <c r="AB273" s="523">
        <f t="shared" si="327"/>
        <v>0</v>
      </c>
      <c r="AC273" s="523"/>
      <c r="AD273" s="523"/>
      <c r="AE273" s="523">
        <f t="shared" si="328"/>
        <v>0</v>
      </c>
      <c r="AF273" s="523"/>
      <c r="AG273" s="523"/>
      <c r="AH273" s="523">
        <f t="shared" si="329"/>
        <v>0</v>
      </c>
      <c r="AI273" s="523"/>
      <c r="AJ273" s="523"/>
      <c r="AK273" s="523">
        <f t="shared" si="330"/>
        <v>83.106999999999971</v>
      </c>
      <c r="AL273" s="523">
        <f t="shared" si="331"/>
        <v>0</v>
      </c>
      <c r="AM273" s="523">
        <f t="shared" si="331"/>
        <v>0</v>
      </c>
      <c r="AN273" s="523">
        <f t="shared" si="332"/>
        <v>0</v>
      </c>
      <c r="AO273" s="523">
        <f t="shared" si="332"/>
        <v>83.106999999999971</v>
      </c>
      <c r="AP273" s="523"/>
      <c r="AQ273" s="524"/>
      <c r="AR273" s="524"/>
    </row>
    <row r="274" spans="1:44" s="83" customFormat="1" hidden="1" outlineLevel="1">
      <c r="A274" s="521"/>
      <c r="B274" s="522" t="s">
        <v>196</v>
      </c>
      <c r="C274" s="528">
        <f t="shared" si="320"/>
        <v>2080.0100000000002</v>
      </c>
      <c r="D274" s="523">
        <v>0</v>
      </c>
      <c r="E274" s="523">
        <v>0</v>
      </c>
      <c r="F274" s="523">
        <v>0</v>
      </c>
      <c r="G274" s="523">
        <f>268.01+1812</f>
        <v>2080.0100000000002</v>
      </c>
      <c r="H274" s="523">
        <f t="shared" si="321"/>
        <v>1245</v>
      </c>
      <c r="I274" s="523">
        <f t="shared" si="322"/>
        <v>0</v>
      </c>
      <c r="J274" s="523"/>
      <c r="K274" s="523">
        <v>0</v>
      </c>
      <c r="L274" s="523">
        <f t="shared" si="323"/>
        <v>1245</v>
      </c>
      <c r="M274" s="523"/>
      <c r="N274" s="523">
        <v>1245</v>
      </c>
      <c r="O274" s="523">
        <f t="shared" si="324"/>
        <v>3325.01</v>
      </c>
      <c r="P274" s="543">
        <f t="shared" si="334"/>
        <v>0</v>
      </c>
      <c r="Q274" s="543">
        <f t="shared" si="335"/>
        <v>3325.01</v>
      </c>
      <c r="R274" s="523"/>
      <c r="S274" s="523"/>
      <c r="T274" s="523"/>
      <c r="U274" s="523">
        <f t="shared" si="333"/>
        <v>3325.01</v>
      </c>
      <c r="V274" s="523"/>
      <c r="W274" s="523">
        <f>N274+G274</f>
        <v>3325.01</v>
      </c>
      <c r="X274" s="523">
        <f t="shared" si="325"/>
        <v>0</v>
      </c>
      <c r="Y274" s="523">
        <f t="shared" si="326"/>
        <v>0</v>
      </c>
      <c r="Z274" s="523"/>
      <c r="AA274" s="523"/>
      <c r="AB274" s="523">
        <f t="shared" si="327"/>
        <v>0</v>
      </c>
      <c r="AC274" s="523"/>
      <c r="AD274" s="523"/>
      <c r="AE274" s="523">
        <f t="shared" si="328"/>
        <v>0</v>
      </c>
      <c r="AF274" s="523"/>
      <c r="AG274" s="523"/>
      <c r="AH274" s="523">
        <f t="shared" si="329"/>
        <v>0</v>
      </c>
      <c r="AI274" s="523"/>
      <c r="AJ274" s="523"/>
      <c r="AK274" s="523">
        <f t="shared" si="330"/>
        <v>0</v>
      </c>
      <c r="AL274" s="523">
        <f t="shared" si="331"/>
        <v>0</v>
      </c>
      <c r="AM274" s="523">
        <f t="shared" si="331"/>
        <v>0</v>
      </c>
      <c r="AN274" s="523">
        <f t="shared" si="332"/>
        <v>0</v>
      </c>
      <c r="AO274" s="523">
        <f t="shared" si="332"/>
        <v>0</v>
      </c>
      <c r="AP274" s="523"/>
      <c r="AQ274" s="524"/>
      <c r="AR274" s="524"/>
    </row>
    <row r="275" spans="1:44" s="83" customFormat="1" hidden="1" outlineLevel="1">
      <c r="A275" s="521"/>
      <c r="B275" s="522" t="s">
        <v>193</v>
      </c>
      <c r="C275" s="528">
        <f t="shared" si="320"/>
        <v>639.32999999999993</v>
      </c>
      <c r="D275" s="523">
        <v>0</v>
      </c>
      <c r="E275" s="523">
        <v>0</v>
      </c>
      <c r="F275" s="523">
        <v>0</v>
      </c>
      <c r="G275" s="523">
        <f>472.33+167</f>
        <v>639.32999999999993</v>
      </c>
      <c r="H275" s="523">
        <f t="shared" si="321"/>
        <v>1471</v>
      </c>
      <c r="I275" s="523">
        <f t="shared" si="322"/>
        <v>0</v>
      </c>
      <c r="J275" s="523"/>
      <c r="K275" s="523">
        <v>0</v>
      </c>
      <c r="L275" s="523">
        <f t="shared" si="323"/>
        <v>1471</v>
      </c>
      <c r="M275" s="523"/>
      <c r="N275" s="523">
        <v>1471</v>
      </c>
      <c r="O275" s="523">
        <f t="shared" si="324"/>
        <v>1638</v>
      </c>
      <c r="P275" s="543">
        <f t="shared" si="334"/>
        <v>0</v>
      </c>
      <c r="Q275" s="543">
        <f t="shared" si="335"/>
        <v>1638</v>
      </c>
      <c r="R275" s="523"/>
      <c r="S275" s="523"/>
      <c r="T275" s="523"/>
      <c r="U275" s="523">
        <f t="shared" si="333"/>
        <v>1638</v>
      </c>
      <c r="V275" s="523"/>
      <c r="W275" s="523">
        <f>1471+167</f>
        <v>1638</v>
      </c>
      <c r="X275" s="523">
        <f t="shared" si="325"/>
        <v>472.32999999999993</v>
      </c>
      <c r="Y275" s="523">
        <f t="shared" si="326"/>
        <v>0</v>
      </c>
      <c r="Z275" s="523"/>
      <c r="AA275" s="523"/>
      <c r="AB275" s="523">
        <f t="shared" si="327"/>
        <v>472.32999999999993</v>
      </c>
      <c r="AC275" s="523"/>
      <c r="AD275" s="523">
        <v>472.32999999999993</v>
      </c>
      <c r="AE275" s="523">
        <f t="shared" si="328"/>
        <v>0</v>
      </c>
      <c r="AF275" s="523"/>
      <c r="AG275" s="523"/>
      <c r="AH275" s="523">
        <f t="shared" si="329"/>
        <v>0</v>
      </c>
      <c r="AI275" s="523"/>
      <c r="AJ275" s="523"/>
      <c r="AK275" s="523">
        <f t="shared" si="330"/>
        <v>0</v>
      </c>
      <c r="AL275" s="523">
        <f t="shared" si="331"/>
        <v>0</v>
      </c>
      <c r="AM275" s="523">
        <f t="shared" si="331"/>
        <v>0</v>
      </c>
      <c r="AN275" s="523">
        <f t="shared" si="332"/>
        <v>0</v>
      </c>
      <c r="AO275" s="523">
        <f t="shared" si="332"/>
        <v>0</v>
      </c>
      <c r="AP275" s="523"/>
      <c r="AQ275" s="524"/>
      <c r="AR275" s="524"/>
    </row>
    <row r="276" spans="1:44" s="83" customFormat="1" hidden="1" outlineLevel="1">
      <c r="A276" s="521"/>
      <c r="B276" s="522" t="s">
        <v>192</v>
      </c>
      <c r="C276" s="528">
        <f t="shared" si="320"/>
        <v>1480.8569999999995</v>
      </c>
      <c r="D276" s="523">
        <v>0</v>
      </c>
      <c r="E276" s="523">
        <v>0</v>
      </c>
      <c r="F276" s="523">
        <v>0</v>
      </c>
      <c r="G276" s="523">
        <v>1480.8569999999995</v>
      </c>
      <c r="H276" s="523">
        <f t="shared" si="321"/>
        <v>764</v>
      </c>
      <c r="I276" s="523">
        <f t="shared" si="322"/>
        <v>0</v>
      </c>
      <c r="J276" s="523"/>
      <c r="K276" s="523">
        <v>0</v>
      </c>
      <c r="L276" s="523">
        <f t="shared" si="323"/>
        <v>764</v>
      </c>
      <c r="M276" s="523"/>
      <c r="N276" s="523">
        <v>764</v>
      </c>
      <c r="O276" s="523">
        <f t="shared" si="324"/>
        <v>764</v>
      </c>
      <c r="P276" s="543">
        <f t="shared" si="334"/>
        <v>0</v>
      </c>
      <c r="Q276" s="543">
        <f t="shared" si="335"/>
        <v>764</v>
      </c>
      <c r="R276" s="523"/>
      <c r="S276" s="523"/>
      <c r="T276" s="523"/>
      <c r="U276" s="523">
        <f t="shared" si="333"/>
        <v>764</v>
      </c>
      <c r="V276" s="523"/>
      <c r="W276" s="523">
        <v>764</v>
      </c>
      <c r="X276" s="523">
        <f t="shared" si="325"/>
        <v>1480.8569999999995</v>
      </c>
      <c r="Y276" s="523">
        <f t="shared" si="326"/>
        <v>0</v>
      </c>
      <c r="Z276" s="523"/>
      <c r="AA276" s="523"/>
      <c r="AB276" s="523">
        <f t="shared" si="327"/>
        <v>1480.8569999999995</v>
      </c>
      <c r="AC276" s="523"/>
      <c r="AD276" s="523">
        <v>1480.8569999999995</v>
      </c>
      <c r="AE276" s="523">
        <f t="shared" si="328"/>
        <v>0</v>
      </c>
      <c r="AF276" s="523"/>
      <c r="AG276" s="523"/>
      <c r="AH276" s="523">
        <f t="shared" si="329"/>
        <v>0</v>
      </c>
      <c r="AI276" s="523"/>
      <c r="AJ276" s="523"/>
      <c r="AK276" s="523">
        <f t="shared" si="330"/>
        <v>0</v>
      </c>
      <c r="AL276" s="523">
        <f t="shared" si="331"/>
        <v>0</v>
      </c>
      <c r="AM276" s="523">
        <f t="shared" si="331"/>
        <v>0</v>
      </c>
      <c r="AN276" s="523">
        <f t="shared" si="332"/>
        <v>0</v>
      </c>
      <c r="AO276" s="523">
        <f t="shared" si="332"/>
        <v>0</v>
      </c>
      <c r="AP276" s="523"/>
      <c r="AQ276" s="524"/>
      <c r="AR276" s="524"/>
    </row>
    <row r="277" spans="1:44" s="83" customFormat="1" hidden="1" outlineLevel="1">
      <c r="A277" s="521"/>
      <c r="B277" s="522" t="s">
        <v>522</v>
      </c>
      <c r="C277" s="528">
        <f t="shared" si="320"/>
        <v>0</v>
      </c>
      <c r="D277" s="523">
        <v>0</v>
      </c>
      <c r="E277" s="523">
        <v>0</v>
      </c>
      <c r="F277" s="523">
        <v>0</v>
      </c>
      <c r="G277" s="523">
        <v>0</v>
      </c>
      <c r="H277" s="523">
        <f t="shared" si="321"/>
        <v>0</v>
      </c>
      <c r="I277" s="523">
        <f t="shared" si="322"/>
        <v>0</v>
      </c>
      <c r="J277" s="523"/>
      <c r="K277" s="523">
        <f>8857-8857</f>
        <v>0</v>
      </c>
      <c r="L277" s="523"/>
      <c r="M277" s="523"/>
      <c r="N277" s="523"/>
      <c r="O277" s="523"/>
      <c r="P277" s="543">
        <f t="shared" si="334"/>
        <v>0</v>
      </c>
      <c r="Q277" s="543">
        <f t="shared" si="335"/>
        <v>0</v>
      </c>
      <c r="R277" s="523"/>
      <c r="S277" s="523"/>
      <c r="T277" s="523"/>
      <c r="U277" s="523"/>
      <c r="V277" s="523"/>
      <c r="W277" s="523"/>
      <c r="X277" s="523"/>
      <c r="Y277" s="523"/>
      <c r="Z277" s="523"/>
      <c r="AA277" s="523"/>
      <c r="AB277" s="523"/>
      <c r="AC277" s="523"/>
      <c r="AD277" s="523"/>
      <c r="AE277" s="523"/>
      <c r="AF277" s="523"/>
      <c r="AG277" s="523"/>
      <c r="AH277" s="523"/>
      <c r="AI277" s="523"/>
      <c r="AJ277" s="523"/>
      <c r="AK277" s="523">
        <f t="shared" si="330"/>
        <v>0</v>
      </c>
      <c r="AL277" s="523">
        <f t="shared" si="331"/>
        <v>0</v>
      </c>
      <c r="AM277" s="523">
        <f t="shared" si="331"/>
        <v>0</v>
      </c>
      <c r="AN277" s="523">
        <f t="shared" si="332"/>
        <v>0</v>
      </c>
      <c r="AO277" s="523">
        <f t="shared" si="332"/>
        <v>0</v>
      </c>
      <c r="AP277" s="523"/>
      <c r="AQ277" s="524"/>
      <c r="AR277" s="524"/>
    </row>
    <row r="278" spans="1:44" s="83" customFormat="1" hidden="1" outlineLevel="1">
      <c r="A278" s="521"/>
      <c r="B278" s="522" t="s">
        <v>2167</v>
      </c>
      <c r="C278" s="528">
        <f t="shared" si="320"/>
        <v>198.11099999999988</v>
      </c>
      <c r="D278" s="523">
        <v>0</v>
      </c>
      <c r="E278" s="523">
        <f>2177.111-1979</f>
        <v>198.11099999999988</v>
      </c>
      <c r="F278" s="523">
        <v>0</v>
      </c>
      <c r="G278" s="523">
        <v>0</v>
      </c>
      <c r="H278" s="523">
        <f t="shared" si="321"/>
        <v>0</v>
      </c>
      <c r="I278" s="523">
        <f t="shared" si="322"/>
        <v>0</v>
      </c>
      <c r="J278" s="523"/>
      <c r="K278" s="523"/>
      <c r="L278" s="523"/>
      <c r="M278" s="523"/>
      <c r="N278" s="523"/>
      <c r="O278" s="523"/>
      <c r="P278" s="543">
        <f t="shared" si="334"/>
        <v>0</v>
      </c>
      <c r="Q278" s="543">
        <f t="shared" si="335"/>
        <v>0</v>
      </c>
      <c r="R278" s="523"/>
      <c r="S278" s="523"/>
      <c r="T278" s="523"/>
      <c r="U278" s="523"/>
      <c r="V278" s="523"/>
      <c r="W278" s="523"/>
      <c r="X278" s="523"/>
      <c r="Y278" s="523"/>
      <c r="Z278" s="523"/>
      <c r="AA278" s="523"/>
      <c r="AB278" s="523"/>
      <c r="AC278" s="523"/>
      <c r="AD278" s="523"/>
      <c r="AE278" s="523"/>
      <c r="AF278" s="523"/>
      <c r="AG278" s="523"/>
      <c r="AH278" s="523"/>
      <c r="AI278" s="523"/>
      <c r="AJ278" s="523"/>
      <c r="AK278" s="523">
        <f t="shared" si="330"/>
        <v>198.11099999999988</v>
      </c>
      <c r="AL278" s="523">
        <f t="shared" si="331"/>
        <v>0</v>
      </c>
      <c r="AM278" s="523">
        <f t="shared" si="331"/>
        <v>198.11099999999988</v>
      </c>
      <c r="AN278" s="523">
        <f t="shared" si="332"/>
        <v>0</v>
      </c>
      <c r="AO278" s="523">
        <f t="shared" si="332"/>
        <v>0</v>
      </c>
      <c r="AP278" s="523"/>
      <c r="AQ278" s="524">
        <v>198.11099999999988</v>
      </c>
      <c r="AR278" s="524"/>
    </row>
    <row r="279" spans="1:44" s="83" customFormat="1" hidden="1" outlineLevel="1">
      <c r="A279" s="521" t="s">
        <v>389</v>
      </c>
      <c r="B279" s="522" t="s">
        <v>523</v>
      </c>
      <c r="C279" s="528">
        <f t="shared" si="320"/>
        <v>0</v>
      </c>
      <c r="D279" s="523">
        <v>0</v>
      </c>
      <c r="E279" s="523">
        <v>0</v>
      </c>
      <c r="F279" s="523">
        <v>0</v>
      </c>
      <c r="G279" s="523">
        <v>0</v>
      </c>
      <c r="H279" s="523">
        <f>I279+L279</f>
        <v>0</v>
      </c>
      <c r="I279" s="523">
        <f>J279+K279</f>
        <v>0</v>
      </c>
      <c r="J279" s="523">
        <v>0</v>
      </c>
      <c r="K279" s="523"/>
      <c r="L279" s="523"/>
      <c r="M279" s="523"/>
      <c r="N279" s="523"/>
      <c r="O279" s="523">
        <f>R279+U279</f>
        <v>0</v>
      </c>
      <c r="P279" s="543">
        <f t="shared" si="334"/>
        <v>0</v>
      </c>
      <c r="Q279" s="543">
        <f t="shared" si="335"/>
        <v>0</v>
      </c>
      <c r="R279" s="523">
        <f>S279+T279</f>
        <v>0</v>
      </c>
      <c r="S279" s="523"/>
      <c r="T279" s="523"/>
      <c r="U279" s="523"/>
      <c r="V279" s="523"/>
      <c r="W279" s="523"/>
      <c r="X279" s="523">
        <f>Y279+AB279+AE279+AH279</f>
        <v>0</v>
      </c>
      <c r="Y279" s="523">
        <f>Z279+AA279</f>
        <v>0</v>
      </c>
      <c r="Z279" s="523"/>
      <c r="AA279" s="523"/>
      <c r="AB279" s="523">
        <f>AC279+AD279</f>
        <v>0</v>
      </c>
      <c r="AC279" s="523"/>
      <c r="AD279" s="523"/>
      <c r="AE279" s="523">
        <f t="shared" si="328"/>
        <v>0</v>
      </c>
      <c r="AF279" s="523"/>
      <c r="AG279" s="523"/>
      <c r="AH279" s="523">
        <f t="shared" si="329"/>
        <v>0</v>
      </c>
      <c r="AI279" s="523"/>
      <c r="AJ279" s="523"/>
      <c r="AK279" s="523">
        <f t="shared" si="330"/>
        <v>0</v>
      </c>
      <c r="AL279" s="523">
        <f t="shared" si="331"/>
        <v>0</v>
      </c>
      <c r="AM279" s="523">
        <f t="shared" si="331"/>
        <v>0</v>
      </c>
      <c r="AN279" s="523">
        <f t="shared" si="332"/>
        <v>0</v>
      </c>
      <c r="AO279" s="523">
        <f t="shared" si="332"/>
        <v>0</v>
      </c>
      <c r="AP279" s="523"/>
      <c r="AQ279" s="524"/>
      <c r="AR279" s="524"/>
    </row>
    <row r="280" spans="1:44" s="83" customFormat="1" hidden="1" outlineLevel="1">
      <c r="A280" s="521" t="s">
        <v>408</v>
      </c>
      <c r="B280" s="522" t="s">
        <v>524</v>
      </c>
      <c r="C280" s="523">
        <f t="shared" ref="C280:AR280" si="336">SUM(C281:C292)</f>
        <v>2859.7170000000001</v>
      </c>
      <c r="D280" s="523">
        <f t="shared" si="336"/>
        <v>0</v>
      </c>
      <c r="E280" s="523">
        <f t="shared" si="336"/>
        <v>2295.971</v>
      </c>
      <c r="F280" s="523">
        <f t="shared" si="336"/>
        <v>0</v>
      </c>
      <c r="G280" s="523">
        <f t="shared" si="336"/>
        <v>563.74599999999998</v>
      </c>
      <c r="H280" s="523">
        <f t="shared" si="336"/>
        <v>1062</v>
      </c>
      <c r="I280" s="523">
        <f t="shared" si="336"/>
        <v>6</v>
      </c>
      <c r="J280" s="523">
        <f t="shared" si="336"/>
        <v>0</v>
      </c>
      <c r="K280" s="523">
        <f t="shared" si="336"/>
        <v>6</v>
      </c>
      <c r="L280" s="523">
        <f t="shared" si="336"/>
        <v>1056</v>
      </c>
      <c r="M280" s="523">
        <f t="shared" si="336"/>
        <v>0</v>
      </c>
      <c r="N280" s="523">
        <f t="shared" si="336"/>
        <v>1056</v>
      </c>
      <c r="O280" s="523">
        <f t="shared" si="336"/>
        <v>1554.0260000000001</v>
      </c>
      <c r="P280" s="543">
        <f t="shared" si="334"/>
        <v>0</v>
      </c>
      <c r="Q280" s="543">
        <f t="shared" si="335"/>
        <v>1554.0260000000001</v>
      </c>
      <c r="R280" s="523">
        <f t="shared" si="336"/>
        <v>6</v>
      </c>
      <c r="S280" s="523">
        <f t="shared" si="336"/>
        <v>0</v>
      </c>
      <c r="T280" s="523">
        <f t="shared" si="336"/>
        <v>6</v>
      </c>
      <c r="U280" s="523">
        <f t="shared" si="336"/>
        <v>1548.0260000000001</v>
      </c>
      <c r="V280" s="523">
        <f t="shared" si="336"/>
        <v>0</v>
      </c>
      <c r="W280" s="523">
        <f t="shared" si="336"/>
        <v>1548.0260000000001</v>
      </c>
      <c r="X280" s="523">
        <f t="shared" si="336"/>
        <v>58.83</v>
      </c>
      <c r="Y280" s="523">
        <f t="shared" si="336"/>
        <v>0</v>
      </c>
      <c r="Z280" s="523">
        <f t="shared" si="336"/>
        <v>0</v>
      </c>
      <c r="AA280" s="523">
        <f t="shared" si="336"/>
        <v>0</v>
      </c>
      <c r="AB280" s="523">
        <f t="shared" si="336"/>
        <v>58.83</v>
      </c>
      <c r="AC280" s="523">
        <f t="shared" si="336"/>
        <v>0</v>
      </c>
      <c r="AD280" s="523">
        <f t="shared" si="336"/>
        <v>58.83</v>
      </c>
      <c r="AE280" s="523">
        <f t="shared" si="336"/>
        <v>0</v>
      </c>
      <c r="AF280" s="523">
        <f t="shared" si="336"/>
        <v>0</v>
      </c>
      <c r="AG280" s="523">
        <f t="shared" si="336"/>
        <v>0</v>
      </c>
      <c r="AH280" s="523">
        <f t="shared" si="336"/>
        <v>0</v>
      </c>
      <c r="AI280" s="523">
        <f t="shared" si="336"/>
        <v>0</v>
      </c>
      <c r="AJ280" s="523">
        <f t="shared" si="336"/>
        <v>0</v>
      </c>
      <c r="AK280" s="523">
        <f t="shared" si="336"/>
        <v>2308.8609999999999</v>
      </c>
      <c r="AL280" s="523">
        <f t="shared" si="336"/>
        <v>0</v>
      </c>
      <c r="AM280" s="523">
        <f t="shared" si="336"/>
        <v>2295.971</v>
      </c>
      <c r="AN280" s="523">
        <f t="shared" si="336"/>
        <v>0</v>
      </c>
      <c r="AO280" s="523">
        <f t="shared" si="336"/>
        <v>12.89</v>
      </c>
      <c r="AP280" s="523"/>
      <c r="AQ280" s="524">
        <f t="shared" si="336"/>
        <v>2295.971</v>
      </c>
      <c r="AR280" s="524">
        <f t="shared" si="336"/>
        <v>0</v>
      </c>
    </row>
    <row r="281" spans="1:44" s="83" customFormat="1" hidden="1" outlineLevel="1">
      <c r="A281" s="521"/>
      <c r="B281" s="522" t="s">
        <v>188</v>
      </c>
      <c r="C281" s="528">
        <f t="shared" si="320"/>
        <v>61.5</v>
      </c>
      <c r="D281" s="523">
        <v>0</v>
      </c>
      <c r="E281" s="523">
        <v>0</v>
      </c>
      <c r="F281" s="523">
        <v>0</v>
      </c>
      <c r="G281" s="523">
        <f>27.5+34</f>
        <v>61.5</v>
      </c>
      <c r="H281" s="523">
        <f t="shared" ref="H281:H292" si="337">I281+L281</f>
        <v>73</v>
      </c>
      <c r="I281" s="523">
        <f t="shared" ref="I281:I286" si="338">J281+K281</f>
        <v>0</v>
      </c>
      <c r="J281" s="523"/>
      <c r="K281" s="523">
        <v>0</v>
      </c>
      <c r="L281" s="523">
        <f t="shared" ref="L281:L292" si="339">M281+N281</f>
        <v>73</v>
      </c>
      <c r="M281" s="523"/>
      <c r="N281" s="523">
        <v>73</v>
      </c>
      <c r="O281" s="523">
        <f t="shared" ref="O281:O292" si="340">R281+U281</f>
        <v>134.5</v>
      </c>
      <c r="P281" s="543">
        <f t="shared" si="334"/>
        <v>0</v>
      </c>
      <c r="Q281" s="543">
        <f t="shared" si="335"/>
        <v>134.5</v>
      </c>
      <c r="R281" s="523"/>
      <c r="S281" s="523"/>
      <c r="T281" s="523"/>
      <c r="U281" s="523">
        <f t="shared" ref="U281:U291" si="341">V281+W281</f>
        <v>134.5</v>
      </c>
      <c r="V281" s="523"/>
      <c r="W281" s="523">
        <f>N281+G281</f>
        <v>134.5</v>
      </c>
      <c r="X281" s="523">
        <f t="shared" ref="X281:X292" si="342">Y281+AB281+AE281+AH281</f>
        <v>0</v>
      </c>
      <c r="Y281" s="523">
        <f t="shared" ref="Y281:Y292" si="343">Z281+AA281</f>
        <v>0</v>
      </c>
      <c r="Z281" s="523"/>
      <c r="AA281" s="523"/>
      <c r="AB281" s="523">
        <f t="shared" ref="AB281:AB292" si="344">AC281+AD281</f>
        <v>0</v>
      </c>
      <c r="AC281" s="523"/>
      <c r="AD281" s="523"/>
      <c r="AE281" s="523">
        <f t="shared" ref="AE281:AE292" si="345">AF281+AG281</f>
        <v>0</v>
      </c>
      <c r="AF281" s="523"/>
      <c r="AG281" s="523"/>
      <c r="AH281" s="523">
        <f t="shared" ref="AH281:AH292" si="346">AI281+AJ281</f>
        <v>0</v>
      </c>
      <c r="AI281" s="523"/>
      <c r="AJ281" s="523"/>
      <c r="AK281" s="523">
        <f t="shared" si="330"/>
        <v>0</v>
      </c>
      <c r="AL281" s="523">
        <f t="shared" si="331"/>
        <v>0</v>
      </c>
      <c r="AM281" s="523">
        <f t="shared" si="331"/>
        <v>0</v>
      </c>
      <c r="AN281" s="523">
        <f t="shared" si="332"/>
        <v>0</v>
      </c>
      <c r="AO281" s="523">
        <f t="shared" si="332"/>
        <v>0</v>
      </c>
      <c r="AP281" s="523"/>
      <c r="AQ281" s="524"/>
      <c r="AR281" s="524"/>
    </row>
    <row r="282" spans="1:44" s="83" customFormat="1" hidden="1" outlineLevel="1">
      <c r="A282" s="521"/>
      <c r="B282" s="522" t="s">
        <v>200</v>
      </c>
      <c r="C282" s="528">
        <f t="shared" si="320"/>
        <v>0</v>
      </c>
      <c r="D282" s="523">
        <v>0</v>
      </c>
      <c r="E282" s="523">
        <v>0</v>
      </c>
      <c r="F282" s="523">
        <v>0</v>
      </c>
      <c r="G282" s="523">
        <v>0</v>
      </c>
      <c r="H282" s="523">
        <f t="shared" si="337"/>
        <v>170</v>
      </c>
      <c r="I282" s="523">
        <f t="shared" si="338"/>
        <v>0</v>
      </c>
      <c r="J282" s="523"/>
      <c r="K282" s="523"/>
      <c r="L282" s="523">
        <f t="shared" si="339"/>
        <v>170</v>
      </c>
      <c r="M282" s="523"/>
      <c r="N282" s="523">
        <v>170</v>
      </c>
      <c r="O282" s="523">
        <f t="shared" si="340"/>
        <v>170</v>
      </c>
      <c r="P282" s="543">
        <f t="shared" si="334"/>
        <v>0</v>
      </c>
      <c r="Q282" s="543">
        <f t="shared" si="335"/>
        <v>170</v>
      </c>
      <c r="R282" s="523"/>
      <c r="S282" s="523"/>
      <c r="T282" s="523"/>
      <c r="U282" s="523">
        <f t="shared" si="341"/>
        <v>170</v>
      </c>
      <c r="V282" s="523"/>
      <c r="W282" s="523">
        <v>170</v>
      </c>
      <c r="X282" s="523">
        <f t="shared" si="342"/>
        <v>0</v>
      </c>
      <c r="Y282" s="523">
        <f t="shared" si="343"/>
        <v>0</v>
      </c>
      <c r="Z282" s="523"/>
      <c r="AA282" s="523"/>
      <c r="AB282" s="523">
        <f t="shared" si="344"/>
        <v>0</v>
      </c>
      <c r="AC282" s="523"/>
      <c r="AD282" s="523"/>
      <c r="AE282" s="523">
        <f t="shared" si="345"/>
        <v>0</v>
      </c>
      <c r="AF282" s="523"/>
      <c r="AG282" s="523"/>
      <c r="AH282" s="523">
        <f t="shared" si="346"/>
        <v>0</v>
      </c>
      <c r="AI282" s="523"/>
      <c r="AJ282" s="523"/>
      <c r="AK282" s="523">
        <f t="shared" si="330"/>
        <v>0</v>
      </c>
      <c r="AL282" s="523">
        <f t="shared" si="331"/>
        <v>0</v>
      </c>
      <c r="AM282" s="523">
        <f t="shared" si="331"/>
        <v>0</v>
      </c>
      <c r="AN282" s="523">
        <f t="shared" si="332"/>
        <v>0</v>
      </c>
      <c r="AO282" s="523">
        <f t="shared" si="332"/>
        <v>0</v>
      </c>
      <c r="AP282" s="523"/>
      <c r="AQ282" s="524"/>
      <c r="AR282" s="524"/>
    </row>
    <row r="283" spans="1:44" s="83" customFormat="1" hidden="1" outlineLevel="1">
      <c r="A283" s="521"/>
      <c r="B283" s="522" t="s">
        <v>197</v>
      </c>
      <c r="C283" s="528">
        <f t="shared" si="320"/>
        <v>0</v>
      </c>
      <c r="D283" s="523">
        <v>0</v>
      </c>
      <c r="E283" s="523">
        <v>0</v>
      </c>
      <c r="F283" s="523">
        <v>0</v>
      </c>
      <c r="G283" s="523">
        <v>0</v>
      </c>
      <c r="H283" s="523">
        <f t="shared" si="337"/>
        <v>29</v>
      </c>
      <c r="I283" s="523">
        <f t="shared" si="338"/>
        <v>0</v>
      </c>
      <c r="J283" s="523"/>
      <c r="K283" s="523">
        <v>0</v>
      </c>
      <c r="L283" s="523">
        <f t="shared" si="339"/>
        <v>29</v>
      </c>
      <c r="M283" s="523"/>
      <c r="N283" s="523">
        <v>29</v>
      </c>
      <c r="O283" s="523">
        <f t="shared" si="340"/>
        <v>0</v>
      </c>
      <c r="P283" s="543">
        <f t="shared" si="334"/>
        <v>0</v>
      </c>
      <c r="Q283" s="543">
        <f t="shared" si="335"/>
        <v>0</v>
      </c>
      <c r="R283" s="523"/>
      <c r="S283" s="523"/>
      <c r="T283" s="523"/>
      <c r="U283" s="523">
        <f t="shared" si="341"/>
        <v>0</v>
      </c>
      <c r="V283" s="523"/>
      <c r="W283" s="523"/>
      <c r="X283" s="523">
        <f t="shared" si="342"/>
        <v>16.11</v>
      </c>
      <c r="Y283" s="523">
        <f t="shared" si="343"/>
        <v>0</v>
      </c>
      <c r="Z283" s="523"/>
      <c r="AA283" s="523"/>
      <c r="AB283" s="523">
        <f t="shared" si="344"/>
        <v>16.11</v>
      </c>
      <c r="AC283" s="523"/>
      <c r="AD283" s="523">
        <v>16.11</v>
      </c>
      <c r="AE283" s="523">
        <f t="shared" si="345"/>
        <v>0</v>
      </c>
      <c r="AF283" s="523"/>
      <c r="AG283" s="523"/>
      <c r="AH283" s="523">
        <f t="shared" si="346"/>
        <v>0</v>
      </c>
      <c r="AI283" s="523"/>
      <c r="AJ283" s="523"/>
      <c r="AK283" s="523">
        <f t="shared" si="330"/>
        <v>12.89</v>
      </c>
      <c r="AL283" s="523">
        <f t="shared" si="331"/>
        <v>0</v>
      </c>
      <c r="AM283" s="523">
        <f t="shared" si="331"/>
        <v>0</v>
      </c>
      <c r="AN283" s="523">
        <f t="shared" si="332"/>
        <v>0</v>
      </c>
      <c r="AO283" s="523">
        <f t="shared" si="332"/>
        <v>12.89</v>
      </c>
      <c r="AP283" s="523"/>
      <c r="AQ283" s="524"/>
      <c r="AR283" s="524"/>
    </row>
    <row r="284" spans="1:44" s="83" customFormat="1" hidden="1" outlineLevel="1">
      <c r="A284" s="521"/>
      <c r="B284" s="522" t="s">
        <v>198</v>
      </c>
      <c r="C284" s="528">
        <f t="shared" si="320"/>
        <v>6.5260000000000105</v>
      </c>
      <c r="D284" s="523">
        <v>0</v>
      </c>
      <c r="E284" s="523">
        <v>0</v>
      </c>
      <c r="F284" s="523">
        <v>0</v>
      </c>
      <c r="G284" s="523">
        <v>6.5260000000000105</v>
      </c>
      <c r="H284" s="523">
        <f t="shared" si="337"/>
        <v>173</v>
      </c>
      <c r="I284" s="523">
        <f t="shared" si="338"/>
        <v>0</v>
      </c>
      <c r="J284" s="523"/>
      <c r="K284" s="523">
        <v>0</v>
      </c>
      <c r="L284" s="523">
        <f t="shared" si="339"/>
        <v>173</v>
      </c>
      <c r="M284" s="523"/>
      <c r="N284" s="523">
        <v>173</v>
      </c>
      <c r="O284" s="523">
        <f t="shared" si="340"/>
        <v>179.52600000000001</v>
      </c>
      <c r="P284" s="543">
        <f t="shared" si="334"/>
        <v>0</v>
      </c>
      <c r="Q284" s="543">
        <f t="shared" si="335"/>
        <v>179.52600000000001</v>
      </c>
      <c r="R284" s="523"/>
      <c r="S284" s="523"/>
      <c r="T284" s="523"/>
      <c r="U284" s="523">
        <f t="shared" si="341"/>
        <v>179.52600000000001</v>
      </c>
      <c r="V284" s="523"/>
      <c r="W284" s="523">
        <f>N284+G284</f>
        <v>179.52600000000001</v>
      </c>
      <c r="X284" s="523">
        <f t="shared" si="342"/>
        <v>0</v>
      </c>
      <c r="Y284" s="523">
        <f t="shared" si="343"/>
        <v>0</v>
      </c>
      <c r="Z284" s="523"/>
      <c r="AA284" s="523"/>
      <c r="AB284" s="523">
        <f t="shared" si="344"/>
        <v>0</v>
      </c>
      <c r="AC284" s="523"/>
      <c r="AD284" s="523"/>
      <c r="AE284" s="523">
        <f t="shared" si="345"/>
        <v>0</v>
      </c>
      <c r="AF284" s="523"/>
      <c r="AG284" s="523"/>
      <c r="AH284" s="523">
        <f t="shared" si="346"/>
        <v>0</v>
      </c>
      <c r="AI284" s="523"/>
      <c r="AJ284" s="523"/>
      <c r="AK284" s="523">
        <f t="shared" si="330"/>
        <v>0</v>
      </c>
      <c r="AL284" s="523">
        <f t="shared" si="331"/>
        <v>0</v>
      </c>
      <c r="AM284" s="523">
        <f t="shared" si="331"/>
        <v>0</v>
      </c>
      <c r="AN284" s="523">
        <f t="shared" si="332"/>
        <v>0</v>
      </c>
      <c r="AO284" s="523">
        <f t="shared" si="332"/>
        <v>0</v>
      </c>
      <c r="AP284" s="523"/>
      <c r="AQ284" s="524"/>
      <c r="AR284" s="524"/>
    </row>
    <row r="285" spans="1:44" s="83" customFormat="1" hidden="1" outlineLevel="1">
      <c r="A285" s="521"/>
      <c r="B285" s="522" t="s">
        <v>194</v>
      </c>
      <c r="C285" s="528">
        <f t="shared" si="320"/>
        <v>0</v>
      </c>
      <c r="D285" s="523">
        <v>0</v>
      </c>
      <c r="E285" s="523">
        <v>0</v>
      </c>
      <c r="F285" s="523">
        <v>0</v>
      </c>
      <c r="G285" s="523">
        <v>0</v>
      </c>
      <c r="H285" s="523">
        <f t="shared" si="337"/>
        <v>184</v>
      </c>
      <c r="I285" s="523">
        <f t="shared" si="338"/>
        <v>0</v>
      </c>
      <c r="J285" s="523"/>
      <c r="K285" s="523">
        <v>0</v>
      </c>
      <c r="L285" s="523">
        <f t="shared" si="339"/>
        <v>184</v>
      </c>
      <c r="M285" s="523"/>
      <c r="N285" s="523">
        <v>184</v>
      </c>
      <c r="O285" s="523">
        <f t="shared" si="340"/>
        <v>184</v>
      </c>
      <c r="P285" s="543">
        <f t="shared" si="334"/>
        <v>0</v>
      </c>
      <c r="Q285" s="543">
        <f t="shared" si="335"/>
        <v>184</v>
      </c>
      <c r="R285" s="523">
        <f>R286</f>
        <v>0</v>
      </c>
      <c r="S285" s="523">
        <f>S286</f>
        <v>0</v>
      </c>
      <c r="T285" s="523">
        <f>T286</f>
        <v>0</v>
      </c>
      <c r="U285" s="523">
        <f t="shared" si="341"/>
        <v>184</v>
      </c>
      <c r="V285" s="523">
        <f>V286</f>
        <v>0</v>
      </c>
      <c r="W285" s="523">
        <v>184</v>
      </c>
      <c r="X285" s="523">
        <f t="shared" si="342"/>
        <v>0</v>
      </c>
      <c r="Y285" s="523">
        <f t="shared" si="343"/>
        <v>0</v>
      </c>
      <c r="Z285" s="523"/>
      <c r="AA285" s="523"/>
      <c r="AB285" s="523">
        <f t="shared" si="344"/>
        <v>0</v>
      </c>
      <c r="AC285" s="523"/>
      <c r="AD285" s="523"/>
      <c r="AE285" s="523">
        <f t="shared" si="345"/>
        <v>0</v>
      </c>
      <c r="AF285" s="523"/>
      <c r="AG285" s="523"/>
      <c r="AH285" s="523">
        <f t="shared" si="346"/>
        <v>0</v>
      </c>
      <c r="AI285" s="523"/>
      <c r="AJ285" s="523"/>
      <c r="AK285" s="523">
        <f t="shared" si="330"/>
        <v>0</v>
      </c>
      <c r="AL285" s="523">
        <f t="shared" si="331"/>
        <v>0</v>
      </c>
      <c r="AM285" s="523">
        <f t="shared" si="331"/>
        <v>0</v>
      </c>
      <c r="AN285" s="523">
        <f t="shared" si="332"/>
        <v>0</v>
      </c>
      <c r="AO285" s="523">
        <f t="shared" si="332"/>
        <v>0</v>
      </c>
      <c r="AP285" s="523"/>
      <c r="AQ285" s="524"/>
      <c r="AR285" s="524"/>
    </row>
    <row r="286" spans="1:44" s="83" customFormat="1" hidden="1" outlineLevel="1">
      <c r="A286" s="521"/>
      <c r="B286" s="522" t="s">
        <v>388</v>
      </c>
      <c r="C286" s="528">
        <f t="shared" si="320"/>
        <v>0</v>
      </c>
      <c r="D286" s="523">
        <v>0</v>
      </c>
      <c r="E286" s="523">
        <v>0</v>
      </c>
      <c r="F286" s="523">
        <v>0</v>
      </c>
      <c r="G286" s="523">
        <v>0</v>
      </c>
      <c r="H286" s="523">
        <f t="shared" si="337"/>
        <v>154</v>
      </c>
      <c r="I286" s="523">
        <f t="shared" si="338"/>
        <v>0</v>
      </c>
      <c r="J286" s="523"/>
      <c r="K286" s="523">
        <v>0</v>
      </c>
      <c r="L286" s="523">
        <f t="shared" si="339"/>
        <v>154</v>
      </c>
      <c r="M286" s="523"/>
      <c r="N286" s="523">
        <v>154</v>
      </c>
      <c r="O286" s="523">
        <f t="shared" si="340"/>
        <v>154</v>
      </c>
      <c r="P286" s="543">
        <f t="shared" si="334"/>
        <v>0</v>
      </c>
      <c r="Q286" s="543">
        <f t="shared" si="335"/>
        <v>154</v>
      </c>
      <c r="R286" s="523"/>
      <c r="S286" s="523"/>
      <c r="T286" s="523"/>
      <c r="U286" s="523">
        <f t="shared" si="341"/>
        <v>154</v>
      </c>
      <c r="V286" s="523"/>
      <c r="W286" s="523">
        <v>154</v>
      </c>
      <c r="X286" s="523">
        <f t="shared" si="342"/>
        <v>0</v>
      </c>
      <c r="Y286" s="523">
        <f t="shared" si="343"/>
        <v>0</v>
      </c>
      <c r="Z286" s="523"/>
      <c r="AA286" s="523"/>
      <c r="AB286" s="523">
        <f t="shared" si="344"/>
        <v>0</v>
      </c>
      <c r="AC286" s="523"/>
      <c r="AD286" s="523"/>
      <c r="AE286" s="523">
        <f t="shared" si="345"/>
        <v>0</v>
      </c>
      <c r="AF286" s="523"/>
      <c r="AG286" s="523"/>
      <c r="AH286" s="523">
        <f t="shared" si="346"/>
        <v>0</v>
      </c>
      <c r="AI286" s="523"/>
      <c r="AJ286" s="523"/>
      <c r="AK286" s="523">
        <f t="shared" si="330"/>
        <v>0</v>
      </c>
      <c r="AL286" s="523">
        <f t="shared" si="331"/>
        <v>0</v>
      </c>
      <c r="AM286" s="523">
        <f t="shared" si="331"/>
        <v>0</v>
      </c>
      <c r="AN286" s="523">
        <f t="shared" si="332"/>
        <v>0</v>
      </c>
      <c r="AO286" s="523">
        <f t="shared" si="332"/>
        <v>0</v>
      </c>
      <c r="AP286" s="523"/>
      <c r="AQ286" s="524"/>
      <c r="AR286" s="524"/>
    </row>
    <row r="287" spans="1:44" s="83" customFormat="1" hidden="1" outlineLevel="1">
      <c r="A287" s="521"/>
      <c r="B287" s="522" t="s">
        <v>196</v>
      </c>
      <c r="C287" s="528">
        <f t="shared" si="320"/>
        <v>172</v>
      </c>
      <c r="D287" s="523">
        <v>0</v>
      </c>
      <c r="E287" s="523">
        <v>0</v>
      </c>
      <c r="F287" s="523">
        <v>0</v>
      </c>
      <c r="G287" s="523">
        <v>172</v>
      </c>
      <c r="H287" s="523">
        <f t="shared" si="337"/>
        <v>250</v>
      </c>
      <c r="I287" s="523">
        <f>J287+K287</f>
        <v>0</v>
      </c>
      <c r="J287" s="523"/>
      <c r="K287" s="523">
        <v>0</v>
      </c>
      <c r="L287" s="523">
        <f t="shared" si="339"/>
        <v>250</v>
      </c>
      <c r="M287" s="523"/>
      <c r="N287" s="523">
        <v>250</v>
      </c>
      <c r="O287" s="523">
        <f t="shared" si="340"/>
        <v>422</v>
      </c>
      <c r="P287" s="543">
        <f t="shared" si="334"/>
        <v>0</v>
      </c>
      <c r="Q287" s="543">
        <f t="shared" si="335"/>
        <v>422</v>
      </c>
      <c r="R287" s="523"/>
      <c r="S287" s="523"/>
      <c r="T287" s="523"/>
      <c r="U287" s="523">
        <f t="shared" si="341"/>
        <v>422</v>
      </c>
      <c r="V287" s="523"/>
      <c r="W287" s="523">
        <f>250+172</f>
        <v>422</v>
      </c>
      <c r="X287" s="523">
        <f t="shared" si="342"/>
        <v>0</v>
      </c>
      <c r="Y287" s="523">
        <f t="shared" si="343"/>
        <v>0</v>
      </c>
      <c r="Z287" s="523"/>
      <c r="AA287" s="523"/>
      <c r="AB287" s="523">
        <f t="shared" si="344"/>
        <v>0</v>
      </c>
      <c r="AC287" s="523"/>
      <c r="AD287" s="523"/>
      <c r="AE287" s="523">
        <f t="shared" si="345"/>
        <v>0</v>
      </c>
      <c r="AF287" s="523"/>
      <c r="AG287" s="523"/>
      <c r="AH287" s="523">
        <f t="shared" si="346"/>
        <v>0</v>
      </c>
      <c r="AI287" s="523"/>
      <c r="AJ287" s="523"/>
      <c r="AK287" s="523">
        <f t="shared" si="330"/>
        <v>0</v>
      </c>
      <c r="AL287" s="523">
        <f t="shared" si="331"/>
        <v>0</v>
      </c>
      <c r="AM287" s="523">
        <f t="shared" si="331"/>
        <v>0</v>
      </c>
      <c r="AN287" s="523">
        <f t="shared" si="332"/>
        <v>0</v>
      </c>
      <c r="AO287" s="523">
        <f t="shared" si="332"/>
        <v>0</v>
      </c>
      <c r="AP287" s="523"/>
      <c r="AQ287" s="524"/>
      <c r="AR287" s="524"/>
    </row>
    <row r="288" spans="1:44" s="83" customFormat="1" hidden="1" outlineLevel="1">
      <c r="A288" s="521"/>
      <c r="B288" s="522" t="s">
        <v>193</v>
      </c>
      <c r="C288" s="528">
        <f t="shared" si="320"/>
        <v>119</v>
      </c>
      <c r="D288" s="523"/>
      <c r="E288" s="523"/>
      <c r="F288" s="523"/>
      <c r="G288" s="523">
        <v>119</v>
      </c>
      <c r="H288" s="523"/>
      <c r="I288" s="523"/>
      <c r="J288" s="523"/>
      <c r="K288" s="523"/>
      <c r="L288" s="523"/>
      <c r="M288" s="523"/>
      <c r="N288" s="523"/>
      <c r="O288" s="523">
        <f t="shared" si="340"/>
        <v>119</v>
      </c>
      <c r="P288" s="543">
        <f t="shared" si="334"/>
        <v>0</v>
      </c>
      <c r="Q288" s="543">
        <f t="shared" si="335"/>
        <v>119</v>
      </c>
      <c r="R288" s="523"/>
      <c r="S288" s="523"/>
      <c r="T288" s="523"/>
      <c r="U288" s="523">
        <f t="shared" si="341"/>
        <v>119</v>
      </c>
      <c r="V288" s="523"/>
      <c r="W288" s="523">
        <v>119</v>
      </c>
      <c r="X288" s="523"/>
      <c r="Y288" s="523"/>
      <c r="Z288" s="523"/>
      <c r="AA288" s="523"/>
      <c r="AB288" s="523"/>
      <c r="AC288" s="523"/>
      <c r="AD288" s="523"/>
      <c r="AE288" s="523"/>
      <c r="AF288" s="523"/>
      <c r="AG288" s="523"/>
      <c r="AH288" s="523"/>
      <c r="AI288" s="523"/>
      <c r="AJ288" s="523"/>
      <c r="AK288" s="523"/>
      <c r="AL288" s="523"/>
      <c r="AM288" s="523"/>
      <c r="AN288" s="523"/>
      <c r="AO288" s="523"/>
      <c r="AP288" s="523"/>
      <c r="AQ288" s="524"/>
      <c r="AR288" s="524"/>
    </row>
    <row r="289" spans="1:44" s="83" customFormat="1" hidden="1" outlineLevel="2">
      <c r="A289" s="521"/>
      <c r="B289" s="522" t="s">
        <v>192</v>
      </c>
      <c r="C289" s="528">
        <f t="shared" si="320"/>
        <v>198.72</v>
      </c>
      <c r="D289" s="523">
        <v>0</v>
      </c>
      <c r="E289" s="523">
        <v>0</v>
      </c>
      <c r="F289" s="523">
        <v>0</v>
      </c>
      <c r="G289" s="523">
        <f>42.72+156</f>
        <v>198.72</v>
      </c>
      <c r="H289" s="523">
        <f t="shared" si="337"/>
        <v>23</v>
      </c>
      <c r="I289" s="523">
        <f>J289+K289</f>
        <v>0</v>
      </c>
      <c r="J289" s="523"/>
      <c r="K289" s="523">
        <v>0</v>
      </c>
      <c r="L289" s="523">
        <f t="shared" si="339"/>
        <v>23</v>
      </c>
      <c r="M289" s="523"/>
      <c r="N289" s="523">
        <v>23</v>
      </c>
      <c r="O289" s="523">
        <f t="shared" si="340"/>
        <v>179</v>
      </c>
      <c r="P289" s="543">
        <f t="shared" si="334"/>
        <v>0</v>
      </c>
      <c r="Q289" s="543">
        <f t="shared" si="335"/>
        <v>179</v>
      </c>
      <c r="R289" s="523"/>
      <c r="S289" s="523"/>
      <c r="T289" s="523"/>
      <c r="U289" s="523">
        <f t="shared" si="341"/>
        <v>179</v>
      </c>
      <c r="V289" s="523"/>
      <c r="W289" s="523">
        <f>23+156</f>
        <v>179</v>
      </c>
      <c r="X289" s="523">
        <f t="shared" si="342"/>
        <v>42.72</v>
      </c>
      <c r="Y289" s="523">
        <f t="shared" si="343"/>
        <v>0</v>
      </c>
      <c r="Z289" s="523"/>
      <c r="AA289" s="523"/>
      <c r="AB289" s="523">
        <f t="shared" si="344"/>
        <v>42.72</v>
      </c>
      <c r="AC289" s="523"/>
      <c r="AD289" s="523">
        <v>42.72</v>
      </c>
      <c r="AE289" s="523">
        <f t="shared" si="345"/>
        <v>0</v>
      </c>
      <c r="AF289" s="523"/>
      <c r="AG289" s="523"/>
      <c r="AH289" s="523">
        <f t="shared" si="346"/>
        <v>0</v>
      </c>
      <c r="AI289" s="523"/>
      <c r="AJ289" s="523"/>
      <c r="AK289" s="523">
        <f t="shared" si="330"/>
        <v>0</v>
      </c>
      <c r="AL289" s="523">
        <f t="shared" si="331"/>
        <v>0</v>
      </c>
      <c r="AM289" s="523">
        <f t="shared" si="331"/>
        <v>0</v>
      </c>
      <c r="AN289" s="523">
        <f t="shared" si="332"/>
        <v>0</v>
      </c>
      <c r="AO289" s="523">
        <f t="shared" si="332"/>
        <v>0</v>
      </c>
      <c r="AP289" s="523"/>
      <c r="AQ289" s="524"/>
      <c r="AR289" s="524"/>
    </row>
    <row r="290" spans="1:44" s="83" customFormat="1" hidden="1" outlineLevel="2">
      <c r="A290" s="521"/>
      <c r="B290" s="522" t="s">
        <v>199</v>
      </c>
      <c r="C290" s="528">
        <f t="shared" si="320"/>
        <v>6</v>
      </c>
      <c r="D290" s="523"/>
      <c r="E290" s="523"/>
      <c r="F290" s="523"/>
      <c r="G290" s="523">
        <v>6</v>
      </c>
      <c r="H290" s="523"/>
      <c r="I290" s="523"/>
      <c r="J290" s="523"/>
      <c r="K290" s="523"/>
      <c r="L290" s="523">
        <f t="shared" si="339"/>
        <v>0</v>
      </c>
      <c r="M290" s="523"/>
      <c r="N290" s="523"/>
      <c r="O290" s="523">
        <f t="shared" si="340"/>
        <v>6</v>
      </c>
      <c r="P290" s="543">
        <f t="shared" si="334"/>
        <v>0</v>
      </c>
      <c r="Q290" s="543">
        <f t="shared" si="335"/>
        <v>6</v>
      </c>
      <c r="R290" s="523"/>
      <c r="S290" s="523"/>
      <c r="T290" s="523"/>
      <c r="U290" s="523">
        <f t="shared" si="341"/>
        <v>6</v>
      </c>
      <c r="V290" s="523"/>
      <c r="W290" s="523">
        <v>6</v>
      </c>
      <c r="X290" s="523"/>
      <c r="Y290" s="523"/>
      <c r="Z290" s="523"/>
      <c r="AA290" s="523"/>
      <c r="AB290" s="523"/>
      <c r="AC290" s="523"/>
      <c r="AD290" s="523"/>
      <c r="AE290" s="523"/>
      <c r="AF290" s="523"/>
      <c r="AG290" s="523"/>
      <c r="AH290" s="523"/>
      <c r="AI290" s="523"/>
      <c r="AJ290" s="523"/>
      <c r="AK290" s="523"/>
      <c r="AL290" s="523"/>
      <c r="AM290" s="523"/>
      <c r="AN290" s="523"/>
      <c r="AO290" s="523"/>
      <c r="AP290" s="523"/>
      <c r="AQ290" s="524"/>
      <c r="AR290" s="524"/>
    </row>
    <row r="291" spans="1:44" s="83" customFormat="1" hidden="1" outlineLevel="2">
      <c r="A291" s="521"/>
      <c r="B291" s="522" t="s">
        <v>464</v>
      </c>
      <c r="C291" s="528">
        <f t="shared" si="320"/>
        <v>0</v>
      </c>
      <c r="D291" s="523">
        <v>0</v>
      </c>
      <c r="E291" s="523">
        <v>0</v>
      </c>
      <c r="F291" s="523">
        <v>0</v>
      </c>
      <c r="G291" s="523">
        <v>0</v>
      </c>
      <c r="H291" s="523">
        <f>I291+L291</f>
        <v>6</v>
      </c>
      <c r="I291" s="523">
        <f>J291+K291</f>
        <v>6</v>
      </c>
      <c r="J291" s="523"/>
      <c r="K291" s="523">
        <v>6</v>
      </c>
      <c r="L291" s="523">
        <f t="shared" si="339"/>
        <v>0</v>
      </c>
      <c r="M291" s="536"/>
      <c r="N291" s="523"/>
      <c r="O291" s="523">
        <f t="shared" si="340"/>
        <v>6</v>
      </c>
      <c r="P291" s="543">
        <f t="shared" si="334"/>
        <v>0</v>
      </c>
      <c r="Q291" s="543">
        <f t="shared" si="335"/>
        <v>6</v>
      </c>
      <c r="R291" s="523">
        <f>S291+T291</f>
        <v>6</v>
      </c>
      <c r="S291" s="523"/>
      <c r="T291" s="523">
        <v>6</v>
      </c>
      <c r="U291" s="523">
        <f t="shared" si="341"/>
        <v>0</v>
      </c>
      <c r="V291" s="523"/>
      <c r="W291" s="523"/>
      <c r="X291" s="523">
        <f t="shared" si="342"/>
        <v>0</v>
      </c>
      <c r="Y291" s="523">
        <f>Z291+AA291</f>
        <v>0</v>
      </c>
      <c r="Z291" s="523"/>
      <c r="AA291" s="523"/>
      <c r="AB291" s="523">
        <f>AC291+AD291</f>
        <v>0</v>
      </c>
      <c r="AC291" s="523"/>
      <c r="AD291" s="523"/>
      <c r="AE291" s="523">
        <f t="shared" si="345"/>
        <v>0</v>
      </c>
      <c r="AF291" s="523"/>
      <c r="AG291" s="523"/>
      <c r="AH291" s="523">
        <f t="shared" si="346"/>
        <v>0</v>
      </c>
      <c r="AI291" s="523"/>
      <c r="AJ291" s="523"/>
      <c r="AK291" s="523">
        <f t="shared" si="330"/>
        <v>0</v>
      </c>
      <c r="AL291" s="523">
        <f t="shared" si="331"/>
        <v>0</v>
      </c>
      <c r="AM291" s="523">
        <f t="shared" si="331"/>
        <v>0</v>
      </c>
      <c r="AN291" s="523">
        <f t="shared" si="332"/>
        <v>0</v>
      </c>
      <c r="AO291" s="523">
        <f t="shared" si="332"/>
        <v>0</v>
      </c>
      <c r="AP291" s="523"/>
      <c r="AQ291" s="524"/>
      <c r="AR291" s="524"/>
    </row>
    <row r="292" spans="1:44" s="83" customFormat="1" hidden="1" outlineLevel="2">
      <c r="A292" s="521"/>
      <c r="B292" s="522" t="s">
        <v>2167</v>
      </c>
      <c r="C292" s="528">
        <f t="shared" si="320"/>
        <v>2295.971</v>
      </c>
      <c r="D292" s="523">
        <v>0</v>
      </c>
      <c r="E292" s="523">
        <f>2782.971-487</f>
        <v>2295.971</v>
      </c>
      <c r="F292" s="523">
        <v>0</v>
      </c>
      <c r="G292" s="523">
        <v>0</v>
      </c>
      <c r="H292" s="523">
        <f t="shared" si="337"/>
        <v>0</v>
      </c>
      <c r="I292" s="523">
        <f>J292+K292</f>
        <v>0</v>
      </c>
      <c r="J292" s="523"/>
      <c r="K292" s="523"/>
      <c r="L292" s="523">
        <f t="shared" si="339"/>
        <v>0</v>
      </c>
      <c r="M292" s="523"/>
      <c r="N292" s="523"/>
      <c r="O292" s="523">
        <f t="shared" si="340"/>
        <v>0</v>
      </c>
      <c r="P292" s="543">
        <f t="shared" si="334"/>
        <v>0</v>
      </c>
      <c r="Q292" s="543">
        <f t="shared" si="335"/>
        <v>0</v>
      </c>
      <c r="R292" s="523"/>
      <c r="S292" s="523"/>
      <c r="T292" s="523"/>
      <c r="U292" s="523"/>
      <c r="V292" s="523"/>
      <c r="W292" s="523"/>
      <c r="X292" s="523">
        <f t="shared" si="342"/>
        <v>0</v>
      </c>
      <c r="Y292" s="523">
        <f t="shared" si="343"/>
        <v>0</v>
      </c>
      <c r="Z292" s="523"/>
      <c r="AA292" s="523"/>
      <c r="AB292" s="523">
        <f t="shared" si="344"/>
        <v>0</v>
      </c>
      <c r="AC292" s="523"/>
      <c r="AD292" s="523"/>
      <c r="AE292" s="523">
        <f t="shared" si="345"/>
        <v>0</v>
      </c>
      <c r="AF292" s="523"/>
      <c r="AG292" s="523"/>
      <c r="AH292" s="523">
        <f t="shared" si="346"/>
        <v>0</v>
      </c>
      <c r="AI292" s="523"/>
      <c r="AJ292" s="523"/>
      <c r="AK292" s="523">
        <f t="shared" si="330"/>
        <v>2295.971</v>
      </c>
      <c r="AL292" s="523">
        <f t="shared" si="331"/>
        <v>0</v>
      </c>
      <c r="AM292" s="523">
        <f t="shared" si="331"/>
        <v>2295.971</v>
      </c>
      <c r="AN292" s="523">
        <f t="shared" si="332"/>
        <v>0</v>
      </c>
      <c r="AO292" s="523">
        <f t="shared" si="332"/>
        <v>0</v>
      </c>
      <c r="AP292" s="523"/>
      <c r="AQ292" s="524">
        <v>2295.971</v>
      </c>
      <c r="AR292" s="524"/>
    </row>
    <row r="293" spans="1:44" s="83" customFormat="1" ht="31.2" hidden="1" outlineLevel="1">
      <c r="A293" s="521" t="s">
        <v>410</v>
      </c>
      <c r="B293" s="522" t="s">
        <v>525</v>
      </c>
      <c r="C293" s="523">
        <f t="shared" ref="C293:AR293" si="347">C294+C295</f>
        <v>2217</v>
      </c>
      <c r="D293" s="523">
        <f t="shared" si="347"/>
        <v>0</v>
      </c>
      <c r="E293" s="523">
        <f t="shared" si="347"/>
        <v>2217</v>
      </c>
      <c r="F293" s="523">
        <f t="shared" si="347"/>
        <v>0</v>
      </c>
      <c r="G293" s="523">
        <f t="shared" si="347"/>
        <v>0</v>
      </c>
      <c r="H293" s="523">
        <f t="shared" si="347"/>
        <v>2355</v>
      </c>
      <c r="I293" s="523">
        <f t="shared" si="347"/>
        <v>2355</v>
      </c>
      <c r="J293" s="523">
        <f t="shared" si="347"/>
        <v>0</v>
      </c>
      <c r="K293" s="523">
        <f t="shared" si="347"/>
        <v>2355</v>
      </c>
      <c r="L293" s="523">
        <f t="shared" si="347"/>
        <v>0</v>
      </c>
      <c r="M293" s="523">
        <f t="shared" si="347"/>
        <v>0</v>
      </c>
      <c r="N293" s="523">
        <f t="shared" si="347"/>
        <v>0</v>
      </c>
      <c r="O293" s="523">
        <f t="shared" si="347"/>
        <v>3510</v>
      </c>
      <c r="P293" s="543">
        <f t="shared" si="334"/>
        <v>0</v>
      </c>
      <c r="Q293" s="543">
        <f t="shared" si="335"/>
        <v>3510</v>
      </c>
      <c r="R293" s="523">
        <f t="shared" si="347"/>
        <v>3510</v>
      </c>
      <c r="S293" s="523">
        <f t="shared" si="347"/>
        <v>0</v>
      </c>
      <c r="T293" s="523">
        <f t="shared" si="347"/>
        <v>3510</v>
      </c>
      <c r="U293" s="523">
        <f t="shared" si="347"/>
        <v>0</v>
      </c>
      <c r="V293" s="523">
        <f t="shared" si="347"/>
        <v>0</v>
      </c>
      <c r="W293" s="523">
        <f t="shared" si="347"/>
        <v>0</v>
      </c>
      <c r="X293" s="523">
        <f t="shared" si="347"/>
        <v>0</v>
      </c>
      <c r="Y293" s="523">
        <f t="shared" si="347"/>
        <v>0</v>
      </c>
      <c r="Z293" s="523">
        <f t="shared" si="347"/>
        <v>0</v>
      </c>
      <c r="AA293" s="523">
        <f t="shared" si="347"/>
        <v>0</v>
      </c>
      <c r="AB293" s="523">
        <f t="shared" si="347"/>
        <v>0</v>
      </c>
      <c r="AC293" s="523">
        <f t="shared" si="347"/>
        <v>0</v>
      </c>
      <c r="AD293" s="523">
        <f t="shared" si="347"/>
        <v>0</v>
      </c>
      <c r="AE293" s="523">
        <f t="shared" si="347"/>
        <v>0</v>
      </c>
      <c r="AF293" s="523">
        <f t="shared" si="347"/>
        <v>0</v>
      </c>
      <c r="AG293" s="523">
        <f t="shared" si="347"/>
        <v>0</v>
      </c>
      <c r="AH293" s="523">
        <f t="shared" si="347"/>
        <v>0</v>
      </c>
      <c r="AI293" s="523">
        <f t="shared" si="347"/>
        <v>0</v>
      </c>
      <c r="AJ293" s="523">
        <f t="shared" si="347"/>
        <v>0</v>
      </c>
      <c r="AK293" s="523">
        <f t="shared" si="347"/>
        <v>1062</v>
      </c>
      <c r="AL293" s="523">
        <f t="shared" si="347"/>
        <v>0</v>
      </c>
      <c r="AM293" s="523">
        <f t="shared" si="347"/>
        <v>1062</v>
      </c>
      <c r="AN293" s="523">
        <f t="shared" si="347"/>
        <v>0</v>
      </c>
      <c r="AO293" s="523">
        <f t="shared" si="347"/>
        <v>0</v>
      </c>
      <c r="AP293" s="523"/>
      <c r="AQ293" s="524">
        <f t="shared" si="347"/>
        <v>1062</v>
      </c>
      <c r="AR293" s="524">
        <f t="shared" si="347"/>
        <v>0</v>
      </c>
    </row>
    <row r="294" spans="1:44" s="83" customFormat="1" hidden="1" outlineLevel="2">
      <c r="A294" s="521"/>
      <c r="B294" s="522" t="s">
        <v>2168</v>
      </c>
      <c r="C294" s="528">
        <f t="shared" si="320"/>
        <v>1155</v>
      </c>
      <c r="D294" s="523">
        <v>0</v>
      </c>
      <c r="E294" s="523">
        <v>1155</v>
      </c>
      <c r="F294" s="523">
        <v>0</v>
      </c>
      <c r="G294" s="523">
        <v>0</v>
      </c>
      <c r="H294" s="523">
        <f>I294+L294</f>
        <v>2355</v>
      </c>
      <c r="I294" s="523">
        <f>J294+K294</f>
        <v>2355</v>
      </c>
      <c r="J294" s="523"/>
      <c r="K294" s="523">
        <v>2355</v>
      </c>
      <c r="L294" s="523"/>
      <c r="M294" s="523"/>
      <c r="N294" s="523"/>
      <c r="O294" s="523">
        <f t="shared" ref="O294" si="348">R294+U294</f>
        <v>3510</v>
      </c>
      <c r="P294" s="543">
        <f t="shared" si="334"/>
        <v>0</v>
      </c>
      <c r="Q294" s="543">
        <f t="shared" si="335"/>
        <v>3510</v>
      </c>
      <c r="R294" s="523">
        <f>S294+T294</f>
        <v>3510</v>
      </c>
      <c r="S294" s="523"/>
      <c r="T294" s="523">
        <v>3510</v>
      </c>
      <c r="U294" s="523"/>
      <c r="V294" s="523"/>
      <c r="W294" s="523"/>
      <c r="X294" s="523"/>
      <c r="Y294" s="523"/>
      <c r="Z294" s="523"/>
      <c r="AA294" s="523"/>
      <c r="AB294" s="523"/>
      <c r="AC294" s="523"/>
      <c r="AD294" s="523"/>
      <c r="AE294" s="523"/>
      <c r="AF294" s="523"/>
      <c r="AG294" s="523"/>
      <c r="AH294" s="523"/>
      <c r="AI294" s="523"/>
      <c r="AJ294" s="523"/>
      <c r="AK294" s="523">
        <f t="shared" si="330"/>
        <v>0</v>
      </c>
      <c r="AL294" s="523">
        <f t="shared" si="331"/>
        <v>0</v>
      </c>
      <c r="AM294" s="523">
        <f t="shared" si="331"/>
        <v>0</v>
      </c>
      <c r="AN294" s="523">
        <f t="shared" si="332"/>
        <v>0</v>
      </c>
      <c r="AO294" s="523">
        <f t="shared" si="332"/>
        <v>0</v>
      </c>
      <c r="AP294" s="523"/>
      <c r="AQ294" s="524"/>
      <c r="AR294" s="524"/>
    </row>
    <row r="295" spans="1:44" s="83" customFormat="1" hidden="1" outlineLevel="2">
      <c r="A295" s="521"/>
      <c r="B295" s="522" t="s">
        <v>478</v>
      </c>
      <c r="C295" s="528">
        <f t="shared" si="320"/>
        <v>1062</v>
      </c>
      <c r="D295" s="523">
        <v>0</v>
      </c>
      <c r="E295" s="523">
        <v>1062</v>
      </c>
      <c r="F295" s="523">
        <v>0</v>
      </c>
      <c r="G295" s="523">
        <v>0</v>
      </c>
      <c r="H295" s="523"/>
      <c r="I295" s="523"/>
      <c r="J295" s="523"/>
      <c r="K295" s="523"/>
      <c r="L295" s="523"/>
      <c r="M295" s="523"/>
      <c r="N295" s="523"/>
      <c r="O295" s="523"/>
      <c r="P295" s="543">
        <f t="shared" si="334"/>
        <v>0</v>
      </c>
      <c r="Q295" s="543">
        <f t="shared" si="335"/>
        <v>0</v>
      </c>
      <c r="R295" s="523"/>
      <c r="S295" s="523"/>
      <c r="T295" s="523"/>
      <c r="U295" s="523"/>
      <c r="V295" s="523"/>
      <c r="W295" s="523"/>
      <c r="X295" s="523"/>
      <c r="Y295" s="523"/>
      <c r="Z295" s="523"/>
      <c r="AA295" s="523"/>
      <c r="AB295" s="523"/>
      <c r="AC295" s="523"/>
      <c r="AD295" s="523"/>
      <c r="AE295" s="523"/>
      <c r="AF295" s="523"/>
      <c r="AG295" s="523"/>
      <c r="AH295" s="523"/>
      <c r="AI295" s="523"/>
      <c r="AJ295" s="523"/>
      <c r="AK295" s="523">
        <f t="shared" si="330"/>
        <v>1062</v>
      </c>
      <c r="AL295" s="523">
        <f t="shared" si="331"/>
        <v>0</v>
      </c>
      <c r="AM295" s="523">
        <f t="shared" si="331"/>
        <v>1062</v>
      </c>
      <c r="AN295" s="523">
        <f t="shared" si="332"/>
        <v>0</v>
      </c>
      <c r="AO295" s="523">
        <f t="shared" si="332"/>
        <v>0</v>
      </c>
      <c r="AP295" s="523"/>
      <c r="AQ295" s="524">
        <v>1062</v>
      </c>
      <c r="AR295" s="524"/>
    </row>
    <row r="296" spans="1:44" s="83" customFormat="1" hidden="1" outlineLevel="1">
      <c r="A296" s="541" t="s">
        <v>411</v>
      </c>
      <c r="B296" s="536" t="s">
        <v>526</v>
      </c>
      <c r="C296" s="546">
        <f t="shared" ref="C296:G296" si="349">SUM(C297:C308)</f>
        <v>1351.52</v>
      </c>
      <c r="D296" s="546">
        <f t="shared" si="349"/>
        <v>0</v>
      </c>
      <c r="E296" s="546">
        <f t="shared" si="349"/>
        <v>0</v>
      </c>
      <c r="F296" s="546">
        <f t="shared" si="349"/>
        <v>0</v>
      </c>
      <c r="G296" s="546">
        <f t="shared" si="349"/>
        <v>1351.52</v>
      </c>
      <c r="H296" s="546">
        <f>SUM(H297:H308)</f>
        <v>806</v>
      </c>
      <c r="I296" s="546">
        <f t="shared" ref="I296:AJ296" si="350">SUM(I297:I308)</f>
        <v>0</v>
      </c>
      <c r="J296" s="546">
        <f t="shared" si="350"/>
        <v>0</v>
      </c>
      <c r="K296" s="546">
        <f t="shared" si="350"/>
        <v>0</v>
      </c>
      <c r="L296" s="546">
        <f t="shared" si="350"/>
        <v>806</v>
      </c>
      <c r="M296" s="546">
        <f t="shared" si="350"/>
        <v>0</v>
      </c>
      <c r="N296" s="546">
        <f t="shared" si="350"/>
        <v>806</v>
      </c>
      <c r="O296" s="546">
        <f t="shared" si="350"/>
        <v>1444.0699999999997</v>
      </c>
      <c r="P296" s="543">
        <f t="shared" si="334"/>
        <v>0</v>
      </c>
      <c r="Q296" s="543">
        <f t="shared" si="335"/>
        <v>1444.0699999999997</v>
      </c>
      <c r="R296" s="546">
        <f t="shared" si="350"/>
        <v>0</v>
      </c>
      <c r="S296" s="546">
        <f t="shared" si="350"/>
        <v>0</v>
      </c>
      <c r="T296" s="546">
        <f t="shared" si="350"/>
        <v>0</v>
      </c>
      <c r="U296" s="546">
        <f t="shared" si="350"/>
        <v>1444.0699999999997</v>
      </c>
      <c r="V296" s="546">
        <f t="shared" si="350"/>
        <v>0</v>
      </c>
      <c r="W296" s="546">
        <f t="shared" si="350"/>
        <v>1444.0699999999997</v>
      </c>
      <c r="X296" s="546">
        <f t="shared" si="350"/>
        <v>713.45000000000016</v>
      </c>
      <c r="Y296" s="546">
        <f t="shared" si="350"/>
        <v>0</v>
      </c>
      <c r="Z296" s="546">
        <f t="shared" si="350"/>
        <v>0</v>
      </c>
      <c r="AA296" s="546">
        <f t="shared" si="350"/>
        <v>0</v>
      </c>
      <c r="AB296" s="546">
        <f t="shared" si="350"/>
        <v>713.45000000000016</v>
      </c>
      <c r="AC296" s="546">
        <f t="shared" si="350"/>
        <v>0</v>
      </c>
      <c r="AD296" s="546">
        <f t="shared" si="350"/>
        <v>713.45000000000016</v>
      </c>
      <c r="AE296" s="546">
        <f t="shared" si="350"/>
        <v>0</v>
      </c>
      <c r="AF296" s="546">
        <f t="shared" si="350"/>
        <v>0</v>
      </c>
      <c r="AG296" s="546">
        <f t="shared" si="350"/>
        <v>0</v>
      </c>
      <c r="AH296" s="546">
        <f t="shared" si="350"/>
        <v>0</v>
      </c>
      <c r="AI296" s="546">
        <f t="shared" si="350"/>
        <v>0</v>
      </c>
      <c r="AJ296" s="546">
        <f t="shared" si="350"/>
        <v>0</v>
      </c>
      <c r="AK296" s="546">
        <f t="shared" si="330"/>
        <v>1.1368683772161603E-13</v>
      </c>
      <c r="AL296" s="546">
        <f t="shared" si="331"/>
        <v>0</v>
      </c>
      <c r="AM296" s="546">
        <f t="shared" si="331"/>
        <v>0</v>
      </c>
      <c r="AN296" s="546">
        <f t="shared" si="332"/>
        <v>0</v>
      </c>
      <c r="AO296" s="546">
        <f t="shared" si="332"/>
        <v>1.1368683772161603E-13</v>
      </c>
      <c r="AP296" s="546"/>
      <c r="AQ296" s="547"/>
      <c r="AR296" s="547"/>
    </row>
    <row r="297" spans="1:44" s="83" customFormat="1" hidden="1" outlineLevel="2">
      <c r="A297" s="521"/>
      <c r="B297" s="522" t="s">
        <v>188</v>
      </c>
      <c r="C297" s="528">
        <f t="shared" si="320"/>
        <v>0</v>
      </c>
      <c r="D297" s="523">
        <v>0</v>
      </c>
      <c r="E297" s="523">
        <v>0</v>
      </c>
      <c r="F297" s="523">
        <v>0</v>
      </c>
      <c r="G297" s="523">
        <v>0</v>
      </c>
      <c r="H297" s="523">
        <f t="shared" ref="H297:H324" si="351">I297+L297</f>
        <v>0</v>
      </c>
      <c r="I297" s="523">
        <f>J297+K297</f>
        <v>0</v>
      </c>
      <c r="J297" s="523">
        <v>0</v>
      </c>
      <c r="K297" s="523"/>
      <c r="L297" s="523">
        <f>M297+N297</f>
        <v>0</v>
      </c>
      <c r="M297" s="523"/>
      <c r="N297" s="523"/>
      <c r="O297" s="523">
        <f t="shared" ref="O297:O323" si="352">R297+U297</f>
        <v>0</v>
      </c>
      <c r="P297" s="543">
        <f t="shared" si="334"/>
        <v>0</v>
      </c>
      <c r="Q297" s="543">
        <f t="shared" si="335"/>
        <v>0</v>
      </c>
      <c r="R297" s="523"/>
      <c r="S297" s="523"/>
      <c r="T297" s="523"/>
      <c r="U297" s="523">
        <f>V297+W297</f>
        <v>0</v>
      </c>
      <c r="V297" s="523"/>
      <c r="W297" s="523"/>
      <c r="X297" s="523">
        <f t="shared" ref="X297:X308" si="353">Y297+AB297+AE297+AH297</f>
        <v>0</v>
      </c>
      <c r="Y297" s="523">
        <f t="shared" ref="Y297:Y308" si="354">Z297+AA297</f>
        <v>0</v>
      </c>
      <c r="Z297" s="523"/>
      <c r="AA297" s="523"/>
      <c r="AB297" s="523">
        <f t="shared" ref="AB297:AB308" si="355">AC297+AD297</f>
        <v>0</v>
      </c>
      <c r="AC297" s="523"/>
      <c r="AD297" s="523"/>
      <c r="AE297" s="523">
        <f t="shared" ref="AE297:AE308" si="356">AF297+AG297</f>
        <v>0</v>
      </c>
      <c r="AF297" s="523"/>
      <c r="AG297" s="523"/>
      <c r="AH297" s="523">
        <f t="shared" ref="AH297:AH308" si="357">AI297+AJ297</f>
        <v>0</v>
      </c>
      <c r="AI297" s="523"/>
      <c r="AJ297" s="523"/>
      <c r="AK297" s="523">
        <f t="shared" si="330"/>
        <v>0</v>
      </c>
      <c r="AL297" s="523">
        <f t="shared" si="331"/>
        <v>0</v>
      </c>
      <c r="AM297" s="523">
        <f t="shared" si="331"/>
        <v>0</v>
      </c>
      <c r="AN297" s="523">
        <f t="shared" si="332"/>
        <v>0</v>
      </c>
      <c r="AO297" s="523">
        <f t="shared" si="332"/>
        <v>0</v>
      </c>
      <c r="AP297" s="523"/>
      <c r="AQ297" s="524"/>
      <c r="AR297" s="524"/>
    </row>
    <row r="298" spans="1:44" s="83" customFormat="1" hidden="1" outlineLevel="2">
      <c r="A298" s="521"/>
      <c r="B298" s="522" t="s">
        <v>200</v>
      </c>
      <c r="C298" s="528">
        <f t="shared" si="320"/>
        <v>295.02</v>
      </c>
      <c r="D298" s="523">
        <v>0</v>
      </c>
      <c r="E298" s="523">
        <v>0</v>
      </c>
      <c r="F298" s="523">
        <v>0</v>
      </c>
      <c r="G298" s="523">
        <v>295.02</v>
      </c>
      <c r="H298" s="523">
        <f t="shared" si="351"/>
        <v>206</v>
      </c>
      <c r="I298" s="523">
        <f t="shared" ref="I298:I308" si="358">J298+K298</f>
        <v>0</v>
      </c>
      <c r="J298" s="523">
        <v>0</v>
      </c>
      <c r="K298" s="523"/>
      <c r="L298" s="523">
        <f t="shared" ref="L298:L307" si="359">M298+N298</f>
        <v>206</v>
      </c>
      <c r="M298" s="523"/>
      <c r="N298" s="523">
        <v>206</v>
      </c>
      <c r="O298" s="523">
        <f t="shared" si="352"/>
        <v>501.02</v>
      </c>
      <c r="P298" s="543">
        <f t="shared" si="334"/>
        <v>0</v>
      </c>
      <c r="Q298" s="543">
        <f t="shared" si="335"/>
        <v>501.02</v>
      </c>
      <c r="R298" s="523"/>
      <c r="S298" s="523"/>
      <c r="T298" s="523"/>
      <c r="U298" s="523">
        <f>V298+W298</f>
        <v>501.02</v>
      </c>
      <c r="V298" s="523"/>
      <c r="W298" s="523">
        <f>N298+G298</f>
        <v>501.02</v>
      </c>
      <c r="X298" s="523">
        <f t="shared" si="353"/>
        <v>0</v>
      </c>
      <c r="Y298" s="523">
        <f t="shared" si="354"/>
        <v>0</v>
      </c>
      <c r="Z298" s="523"/>
      <c r="AA298" s="523"/>
      <c r="AB298" s="523">
        <f t="shared" si="355"/>
        <v>0</v>
      </c>
      <c r="AC298" s="523"/>
      <c r="AD298" s="523"/>
      <c r="AE298" s="523">
        <f t="shared" si="356"/>
        <v>0</v>
      </c>
      <c r="AF298" s="523"/>
      <c r="AG298" s="523"/>
      <c r="AH298" s="523">
        <f t="shared" si="357"/>
        <v>0</v>
      </c>
      <c r="AI298" s="523"/>
      <c r="AJ298" s="523"/>
      <c r="AK298" s="523">
        <f t="shared" si="330"/>
        <v>0</v>
      </c>
      <c r="AL298" s="523">
        <f t="shared" ref="AL298:AM324" si="360">D298+J298-S298-Z298-AF298</f>
        <v>0</v>
      </c>
      <c r="AM298" s="523">
        <f t="shared" si="360"/>
        <v>0</v>
      </c>
      <c r="AN298" s="523">
        <f t="shared" ref="AN298:AO324" si="361">F298+M298-V298-AC298-AI298</f>
        <v>0</v>
      </c>
      <c r="AO298" s="523">
        <f t="shared" si="361"/>
        <v>0</v>
      </c>
      <c r="AP298" s="523"/>
      <c r="AQ298" s="524"/>
      <c r="AR298" s="524"/>
    </row>
    <row r="299" spans="1:44" s="83" customFormat="1" hidden="1" outlineLevel="2">
      <c r="A299" s="521"/>
      <c r="B299" s="522" t="s">
        <v>197</v>
      </c>
      <c r="C299" s="528">
        <f t="shared" si="320"/>
        <v>107</v>
      </c>
      <c r="D299" s="523">
        <v>0</v>
      </c>
      <c r="E299" s="523">
        <v>0</v>
      </c>
      <c r="F299" s="523">
        <v>0</v>
      </c>
      <c r="G299" s="523">
        <v>107</v>
      </c>
      <c r="H299" s="523">
        <f t="shared" si="351"/>
        <v>0</v>
      </c>
      <c r="I299" s="523">
        <f t="shared" si="358"/>
        <v>0</v>
      </c>
      <c r="J299" s="523">
        <v>0</v>
      </c>
      <c r="K299" s="523"/>
      <c r="L299" s="523">
        <f t="shared" si="359"/>
        <v>0</v>
      </c>
      <c r="M299" s="523"/>
      <c r="N299" s="523"/>
      <c r="O299" s="523">
        <f t="shared" si="352"/>
        <v>0</v>
      </c>
      <c r="P299" s="543">
        <f t="shared" si="334"/>
        <v>0</v>
      </c>
      <c r="Q299" s="543">
        <f t="shared" si="335"/>
        <v>0</v>
      </c>
      <c r="R299" s="523"/>
      <c r="S299" s="523"/>
      <c r="T299" s="523"/>
      <c r="U299" s="523">
        <f t="shared" ref="U299:U306" si="362">V299+W299</f>
        <v>0</v>
      </c>
      <c r="V299" s="523"/>
      <c r="W299" s="523"/>
      <c r="X299" s="523">
        <f t="shared" si="353"/>
        <v>107</v>
      </c>
      <c r="Y299" s="523">
        <f t="shared" si="354"/>
        <v>0</v>
      </c>
      <c r="Z299" s="523"/>
      <c r="AA299" s="523"/>
      <c r="AB299" s="523">
        <f t="shared" si="355"/>
        <v>107</v>
      </c>
      <c r="AC299" s="523"/>
      <c r="AD299" s="523">
        <v>107</v>
      </c>
      <c r="AE299" s="523">
        <f t="shared" si="356"/>
        <v>0</v>
      </c>
      <c r="AF299" s="523"/>
      <c r="AG299" s="523"/>
      <c r="AH299" s="523">
        <f t="shared" si="357"/>
        <v>0</v>
      </c>
      <c r="AI299" s="523"/>
      <c r="AJ299" s="523"/>
      <c r="AK299" s="523">
        <f t="shared" si="330"/>
        <v>0</v>
      </c>
      <c r="AL299" s="523">
        <f t="shared" si="360"/>
        <v>0</v>
      </c>
      <c r="AM299" s="523">
        <f t="shared" si="360"/>
        <v>0</v>
      </c>
      <c r="AN299" s="523">
        <f t="shared" si="361"/>
        <v>0</v>
      </c>
      <c r="AO299" s="523">
        <f t="shared" si="361"/>
        <v>0</v>
      </c>
      <c r="AP299" s="523"/>
      <c r="AQ299" s="524"/>
      <c r="AR299" s="524"/>
    </row>
    <row r="300" spans="1:44" s="83" customFormat="1" hidden="1" outlineLevel="2">
      <c r="A300" s="521"/>
      <c r="B300" s="522" t="s">
        <v>198</v>
      </c>
      <c r="C300" s="528">
        <f t="shared" si="320"/>
        <v>731.63</v>
      </c>
      <c r="D300" s="523">
        <v>0</v>
      </c>
      <c r="E300" s="523">
        <v>0</v>
      </c>
      <c r="F300" s="523">
        <v>0</v>
      </c>
      <c r="G300" s="523">
        <v>731.63</v>
      </c>
      <c r="H300" s="523">
        <f t="shared" si="351"/>
        <v>600</v>
      </c>
      <c r="I300" s="523">
        <f t="shared" si="358"/>
        <v>0</v>
      </c>
      <c r="J300" s="523">
        <v>0</v>
      </c>
      <c r="K300" s="523"/>
      <c r="L300" s="523">
        <f t="shared" si="359"/>
        <v>600</v>
      </c>
      <c r="M300" s="523"/>
      <c r="N300" s="523">
        <v>600</v>
      </c>
      <c r="O300" s="523">
        <f t="shared" si="352"/>
        <v>778.18</v>
      </c>
      <c r="P300" s="543">
        <f t="shared" si="334"/>
        <v>0</v>
      </c>
      <c r="Q300" s="543">
        <f t="shared" si="335"/>
        <v>778.18</v>
      </c>
      <c r="R300" s="523"/>
      <c r="S300" s="523"/>
      <c r="T300" s="523"/>
      <c r="U300" s="523">
        <f t="shared" si="362"/>
        <v>778.18</v>
      </c>
      <c r="V300" s="523"/>
      <c r="W300" s="523">
        <v>778.18</v>
      </c>
      <c r="X300" s="523">
        <f t="shared" si="353"/>
        <v>553.45000000000016</v>
      </c>
      <c r="Y300" s="523">
        <f t="shared" si="354"/>
        <v>0</v>
      </c>
      <c r="Z300" s="523"/>
      <c r="AA300" s="523"/>
      <c r="AB300" s="523">
        <f t="shared" si="355"/>
        <v>553.45000000000016</v>
      </c>
      <c r="AC300" s="523"/>
      <c r="AD300" s="523">
        <v>553.45000000000016</v>
      </c>
      <c r="AE300" s="523">
        <f t="shared" si="356"/>
        <v>0</v>
      </c>
      <c r="AF300" s="523"/>
      <c r="AG300" s="523"/>
      <c r="AH300" s="523">
        <f t="shared" si="357"/>
        <v>0</v>
      </c>
      <c r="AI300" s="523"/>
      <c r="AJ300" s="523"/>
      <c r="AK300" s="523">
        <f t="shared" si="330"/>
        <v>0</v>
      </c>
      <c r="AL300" s="523">
        <f t="shared" si="360"/>
        <v>0</v>
      </c>
      <c r="AM300" s="523">
        <f t="shared" si="360"/>
        <v>0</v>
      </c>
      <c r="AN300" s="523">
        <f t="shared" si="361"/>
        <v>0</v>
      </c>
      <c r="AO300" s="523">
        <f t="shared" si="361"/>
        <v>0</v>
      </c>
      <c r="AP300" s="523"/>
      <c r="AQ300" s="524"/>
      <c r="AR300" s="524"/>
    </row>
    <row r="301" spans="1:44" s="83" customFormat="1" hidden="1" outlineLevel="2">
      <c r="A301" s="521"/>
      <c r="B301" s="522" t="s">
        <v>194</v>
      </c>
      <c r="C301" s="528">
        <f t="shared" si="320"/>
        <v>12</v>
      </c>
      <c r="D301" s="523">
        <v>0</v>
      </c>
      <c r="E301" s="523">
        <v>0</v>
      </c>
      <c r="F301" s="523">
        <v>0</v>
      </c>
      <c r="G301" s="523">
        <v>12</v>
      </c>
      <c r="H301" s="523">
        <f t="shared" si="351"/>
        <v>0</v>
      </c>
      <c r="I301" s="523">
        <f t="shared" si="358"/>
        <v>0</v>
      </c>
      <c r="J301" s="523">
        <v>0</v>
      </c>
      <c r="K301" s="523"/>
      <c r="L301" s="523">
        <f t="shared" si="359"/>
        <v>0</v>
      </c>
      <c r="M301" s="523"/>
      <c r="N301" s="523"/>
      <c r="O301" s="523">
        <f t="shared" si="352"/>
        <v>12</v>
      </c>
      <c r="P301" s="543">
        <f t="shared" si="334"/>
        <v>0</v>
      </c>
      <c r="Q301" s="543">
        <f t="shared" si="335"/>
        <v>12</v>
      </c>
      <c r="R301" s="523">
        <f>S301+T301</f>
        <v>0</v>
      </c>
      <c r="S301" s="523"/>
      <c r="T301" s="523"/>
      <c r="U301" s="523">
        <f t="shared" si="362"/>
        <v>12</v>
      </c>
      <c r="V301" s="523"/>
      <c r="W301" s="523">
        <v>12</v>
      </c>
      <c r="X301" s="523">
        <f t="shared" si="353"/>
        <v>0</v>
      </c>
      <c r="Y301" s="523">
        <f t="shared" si="354"/>
        <v>0</v>
      </c>
      <c r="Z301" s="523"/>
      <c r="AA301" s="523"/>
      <c r="AB301" s="523">
        <f t="shared" si="355"/>
        <v>0</v>
      </c>
      <c r="AC301" s="523"/>
      <c r="AD301" s="523"/>
      <c r="AE301" s="523">
        <f t="shared" si="356"/>
        <v>0</v>
      </c>
      <c r="AF301" s="523"/>
      <c r="AG301" s="523"/>
      <c r="AH301" s="523">
        <f t="shared" si="357"/>
        <v>0</v>
      </c>
      <c r="AI301" s="523"/>
      <c r="AJ301" s="523"/>
      <c r="AK301" s="523">
        <f t="shared" si="330"/>
        <v>0</v>
      </c>
      <c r="AL301" s="523">
        <f t="shared" si="360"/>
        <v>0</v>
      </c>
      <c r="AM301" s="523">
        <f t="shared" si="360"/>
        <v>0</v>
      </c>
      <c r="AN301" s="523">
        <f t="shared" si="361"/>
        <v>0</v>
      </c>
      <c r="AO301" s="523">
        <f t="shared" si="361"/>
        <v>0</v>
      </c>
      <c r="AP301" s="523"/>
      <c r="AQ301" s="524"/>
      <c r="AR301" s="524"/>
    </row>
    <row r="302" spans="1:44" s="83" customFormat="1" hidden="1" outlineLevel="2">
      <c r="A302" s="521"/>
      <c r="B302" s="522" t="s">
        <v>388</v>
      </c>
      <c r="C302" s="528">
        <f t="shared" si="320"/>
        <v>0</v>
      </c>
      <c r="D302" s="523">
        <v>0</v>
      </c>
      <c r="E302" s="523">
        <v>0</v>
      </c>
      <c r="F302" s="523">
        <v>0</v>
      </c>
      <c r="G302" s="523">
        <v>0</v>
      </c>
      <c r="H302" s="523">
        <f t="shared" si="351"/>
        <v>0</v>
      </c>
      <c r="I302" s="523">
        <f t="shared" si="358"/>
        <v>0</v>
      </c>
      <c r="J302" s="523">
        <v>0</v>
      </c>
      <c r="K302" s="523"/>
      <c r="L302" s="523">
        <f t="shared" si="359"/>
        <v>0</v>
      </c>
      <c r="M302" s="523"/>
      <c r="N302" s="523"/>
      <c r="O302" s="523">
        <f t="shared" si="352"/>
        <v>0</v>
      </c>
      <c r="P302" s="543">
        <f t="shared" si="334"/>
        <v>0</v>
      </c>
      <c r="Q302" s="543">
        <f t="shared" si="335"/>
        <v>0</v>
      </c>
      <c r="R302" s="523"/>
      <c r="S302" s="523"/>
      <c r="T302" s="523"/>
      <c r="U302" s="523">
        <f t="shared" si="362"/>
        <v>0</v>
      </c>
      <c r="V302" s="523"/>
      <c r="W302" s="523"/>
      <c r="X302" s="523">
        <f t="shared" si="353"/>
        <v>0</v>
      </c>
      <c r="Y302" s="523">
        <f t="shared" si="354"/>
        <v>0</v>
      </c>
      <c r="Z302" s="523"/>
      <c r="AA302" s="523"/>
      <c r="AB302" s="523">
        <f t="shared" si="355"/>
        <v>0</v>
      </c>
      <c r="AC302" s="523"/>
      <c r="AD302" s="523"/>
      <c r="AE302" s="523">
        <f t="shared" si="356"/>
        <v>0</v>
      </c>
      <c r="AF302" s="523"/>
      <c r="AG302" s="523"/>
      <c r="AH302" s="523">
        <f t="shared" si="357"/>
        <v>0</v>
      </c>
      <c r="AI302" s="523"/>
      <c r="AJ302" s="523"/>
      <c r="AK302" s="523">
        <f t="shared" si="330"/>
        <v>0</v>
      </c>
      <c r="AL302" s="523">
        <f t="shared" si="360"/>
        <v>0</v>
      </c>
      <c r="AM302" s="523">
        <f t="shared" si="360"/>
        <v>0</v>
      </c>
      <c r="AN302" s="523">
        <f t="shared" si="361"/>
        <v>0</v>
      </c>
      <c r="AO302" s="523">
        <f t="shared" si="361"/>
        <v>0</v>
      </c>
      <c r="AP302" s="523"/>
      <c r="AQ302" s="524"/>
      <c r="AR302" s="524"/>
    </row>
    <row r="303" spans="1:44" s="83" customFormat="1" hidden="1" outlineLevel="2">
      <c r="A303" s="521"/>
      <c r="B303" s="522" t="s">
        <v>199</v>
      </c>
      <c r="C303" s="528">
        <f t="shared" si="320"/>
        <v>152.87</v>
      </c>
      <c r="D303" s="523">
        <v>0</v>
      </c>
      <c r="E303" s="523">
        <v>0</v>
      </c>
      <c r="F303" s="523">
        <v>0</v>
      </c>
      <c r="G303" s="523">
        <v>152.87</v>
      </c>
      <c r="H303" s="523">
        <f t="shared" si="351"/>
        <v>0</v>
      </c>
      <c r="I303" s="523">
        <f t="shared" si="358"/>
        <v>0</v>
      </c>
      <c r="J303" s="523"/>
      <c r="K303" s="523"/>
      <c r="L303" s="523">
        <f t="shared" si="359"/>
        <v>0</v>
      </c>
      <c r="M303" s="523"/>
      <c r="N303" s="523"/>
      <c r="O303" s="523">
        <f t="shared" si="352"/>
        <v>152.87</v>
      </c>
      <c r="P303" s="543">
        <f t="shared" si="334"/>
        <v>0</v>
      </c>
      <c r="Q303" s="543">
        <f t="shared" si="335"/>
        <v>152.87</v>
      </c>
      <c r="R303" s="523"/>
      <c r="S303" s="523"/>
      <c r="T303" s="523"/>
      <c r="U303" s="523">
        <f>V303+W303</f>
        <v>152.87</v>
      </c>
      <c r="V303" s="523"/>
      <c r="W303" s="523">
        <v>152.87</v>
      </c>
      <c r="X303" s="523">
        <f t="shared" si="353"/>
        <v>0</v>
      </c>
      <c r="Y303" s="523">
        <f t="shared" si="354"/>
        <v>0</v>
      </c>
      <c r="Z303" s="523"/>
      <c r="AA303" s="523"/>
      <c r="AB303" s="523">
        <f t="shared" si="355"/>
        <v>0</v>
      </c>
      <c r="AC303" s="523"/>
      <c r="AD303" s="523"/>
      <c r="AE303" s="523">
        <f t="shared" si="356"/>
        <v>0</v>
      </c>
      <c r="AF303" s="523"/>
      <c r="AG303" s="523"/>
      <c r="AH303" s="523">
        <f t="shared" si="357"/>
        <v>0</v>
      </c>
      <c r="AI303" s="523"/>
      <c r="AJ303" s="523"/>
      <c r="AK303" s="523">
        <f t="shared" si="330"/>
        <v>0</v>
      </c>
      <c r="AL303" s="523">
        <f t="shared" si="360"/>
        <v>0</v>
      </c>
      <c r="AM303" s="523">
        <f t="shared" si="360"/>
        <v>0</v>
      </c>
      <c r="AN303" s="523">
        <f t="shared" si="361"/>
        <v>0</v>
      </c>
      <c r="AO303" s="523">
        <f t="shared" si="361"/>
        <v>0</v>
      </c>
      <c r="AP303" s="523"/>
      <c r="AQ303" s="524"/>
      <c r="AR303" s="524"/>
    </row>
    <row r="304" spans="1:44" s="83" customFormat="1" hidden="1" outlineLevel="2">
      <c r="A304" s="521"/>
      <c r="B304" s="522" t="s">
        <v>196</v>
      </c>
      <c r="C304" s="528">
        <f t="shared" si="320"/>
        <v>0</v>
      </c>
      <c r="D304" s="523">
        <v>0</v>
      </c>
      <c r="E304" s="523">
        <v>0</v>
      </c>
      <c r="F304" s="523">
        <v>0</v>
      </c>
      <c r="G304" s="523"/>
      <c r="H304" s="523">
        <f t="shared" si="351"/>
        <v>0</v>
      </c>
      <c r="I304" s="523">
        <f t="shared" si="358"/>
        <v>0</v>
      </c>
      <c r="J304" s="523">
        <v>0</v>
      </c>
      <c r="K304" s="523"/>
      <c r="L304" s="523">
        <f t="shared" si="359"/>
        <v>0</v>
      </c>
      <c r="M304" s="523"/>
      <c r="N304" s="523"/>
      <c r="O304" s="523">
        <f t="shared" si="352"/>
        <v>0</v>
      </c>
      <c r="P304" s="543">
        <f t="shared" si="334"/>
        <v>0</v>
      </c>
      <c r="Q304" s="543">
        <f t="shared" si="335"/>
        <v>0</v>
      </c>
      <c r="R304" s="523"/>
      <c r="S304" s="523"/>
      <c r="T304" s="523"/>
      <c r="U304" s="523">
        <f t="shared" si="362"/>
        <v>0</v>
      </c>
      <c r="V304" s="523"/>
      <c r="W304" s="523"/>
      <c r="X304" s="523">
        <f t="shared" si="353"/>
        <v>0</v>
      </c>
      <c r="Y304" s="523">
        <f t="shared" si="354"/>
        <v>0</v>
      </c>
      <c r="Z304" s="523"/>
      <c r="AA304" s="523"/>
      <c r="AB304" s="523">
        <f t="shared" si="355"/>
        <v>0</v>
      </c>
      <c r="AC304" s="523"/>
      <c r="AD304" s="523"/>
      <c r="AE304" s="523">
        <f t="shared" si="356"/>
        <v>0</v>
      </c>
      <c r="AF304" s="523"/>
      <c r="AG304" s="523"/>
      <c r="AH304" s="523">
        <f t="shared" si="357"/>
        <v>0</v>
      </c>
      <c r="AI304" s="523"/>
      <c r="AJ304" s="523"/>
      <c r="AK304" s="523">
        <f t="shared" si="330"/>
        <v>0</v>
      </c>
      <c r="AL304" s="523">
        <f t="shared" si="360"/>
        <v>0</v>
      </c>
      <c r="AM304" s="523">
        <f t="shared" si="360"/>
        <v>0</v>
      </c>
      <c r="AN304" s="523">
        <f t="shared" si="361"/>
        <v>0</v>
      </c>
      <c r="AO304" s="523">
        <f t="shared" si="361"/>
        <v>0</v>
      </c>
      <c r="AP304" s="523"/>
      <c r="AQ304" s="524"/>
      <c r="AR304" s="524"/>
    </row>
    <row r="305" spans="1:44" s="83" customFormat="1" hidden="1" outlineLevel="1">
      <c r="A305" s="521"/>
      <c r="B305" s="522" t="s">
        <v>193</v>
      </c>
      <c r="C305" s="528">
        <f t="shared" si="320"/>
        <v>0</v>
      </c>
      <c r="D305" s="523">
        <v>0</v>
      </c>
      <c r="E305" s="523">
        <v>0</v>
      </c>
      <c r="F305" s="523">
        <v>0</v>
      </c>
      <c r="G305" s="523"/>
      <c r="H305" s="523">
        <f t="shared" si="351"/>
        <v>0</v>
      </c>
      <c r="I305" s="523">
        <f t="shared" si="358"/>
        <v>0</v>
      </c>
      <c r="J305" s="523">
        <v>0</v>
      </c>
      <c r="K305" s="523"/>
      <c r="L305" s="523">
        <f t="shared" si="359"/>
        <v>0</v>
      </c>
      <c r="M305" s="523"/>
      <c r="N305" s="523"/>
      <c r="O305" s="523">
        <f t="shared" si="352"/>
        <v>0</v>
      </c>
      <c r="P305" s="543">
        <f t="shared" si="334"/>
        <v>0</v>
      </c>
      <c r="Q305" s="543">
        <f t="shared" si="335"/>
        <v>0</v>
      </c>
      <c r="R305" s="523">
        <v>0</v>
      </c>
      <c r="S305" s="523">
        <v>0</v>
      </c>
      <c r="T305" s="523">
        <v>0</v>
      </c>
      <c r="U305" s="523">
        <f t="shared" si="362"/>
        <v>0</v>
      </c>
      <c r="V305" s="523">
        <v>0</v>
      </c>
      <c r="W305" s="523"/>
      <c r="X305" s="523">
        <f t="shared" si="353"/>
        <v>0</v>
      </c>
      <c r="Y305" s="523">
        <f t="shared" si="354"/>
        <v>0</v>
      </c>
      <c r="Z305" s="523"/>
      <c r="AA305" s="523"/>
      <c r="AB305" s="523">
        <f t="shared" si="355"/>
        <v>0</v>
      </c>
      <c r="AC305" s="523"/>
      <c r="AD305" s="523"/>
      <c r="AE305" s="523">
        <f t="shared" si="356"/>
        <v>0</v>
      </c>
      <c r="AF305" s="523"/>
      <c r="AG305" s="523"/>
      <c r="AH305" s="523">
        <f t="shared" si="357"/>
        <v>0</v>
      </c>
      <c r="AI305" s="523"/>
      <c r="AJ305" s="523"/>
      <c r="AK305" s="523">
        <f t="shared" si="330"/>
        <v>0</v>
      </c>
      <c r="AL305" s="523">
        <f t="shared" si="360"/>
        <v>0</v>
      </c>
      <c r="AM305" s="523">
        <f t="shared" si="360"/>
        <v>0</v>
      </c>
      <c r="AN305" s="523">
        <f t="shared" si="361"/>
        <v>0</v>
      </c>
      <c r="AO305" s="523">
        <f t="shared" si="361"/>
        <v>0</v>
      </c>
      <c r="AP305" s="523"/>
      <c r="AQ305" s="524"/>
      <c r="AR305" s="524"/>
    </row>
    <row r="306" spans="1:44" s="83" customFormat="1" hidden="1" outlineLevel="1">
      <c r="A306" s="521"/>
      <c r="B306" s="522" t="s">
        <v>192</v>
      </c>
      <c r="C306" s="528">
        <f t="shared" si="320"/>
        <v>53</v>
      </c>
      <c r="D306" s="523">
        <v>0</v>
      </c>
      <c r="E306" s="523">
        <v>0</v>
      </c>
      <c r="F306" s="523">
        <v>0</v>
      </c>
      <c r="G306" s="523">
        <v>53</v>
      </c>
      <c r="H306" s="523">
        <f t="shared" si="351"/>
        <v>0</v>
      </c>
      <c r="I306" s="523">
        <f t="shared" si="358"/>
        <v>0</v>
      </c>
      <c r="J306" s="523">
        <v>0</v>
      </c>
      <c r="K306" s="523"/>
      <c r="L306" s="523">
        <f t="shared" si="359"/>
        <v>0</v>
      </c>
      <c r="M306" s="523"/>
      <c r="N306" s="523"/>
      <c r="O306" s="523">
        <f t="shared" si="352"/>
        <v>0</v>
      </c>
      <c r="P306" s="543">
        <f t="shared" si="334"/>
        <v>0</v>
      </c>
      <c r="Q306" s="543">
        <f t="shared" si="335"/>
        <v>0</v>
      </c>
      <c r="R306" s="523">
        <v>0</v>
      </c>
      <c r="S306" s="523">
        <v>0</v>
      </c>
      <c r="T306" s="523">
        <v>0</v>
      </c>
      <c r="U306" s="523">
        <f t="shared" si="362"/>
        <v>0</v>
      </c>
      <c r="V306" s="523">
        <v>0</v>
      </c>
      <c r="W306" s="523"/>
      <c r="X306" s="523">
        <f t="shared" si="353"/>
        <v>53</v>
      </c>
      <c r="Y306" s="523">
        <f t="shared" si="354"/>
        <v>0</v>
      </c>
      <c r="Z306" s="523"/>
      <c r="AA306" s="523"/>
      <c r="AB306" s="523">
        <f t="shared" si="355"/>
        <v>53</v>
      </c>
      <c r="AC306" s="523"/>
      <c r="AD306" s="523">
        <v>53</v>
      </c>
      <c r="AE306" s="523">
        <f t="shared" si="356"/>
        <v>0</v>
      </c>
      <c r="AF306" s="523"/>
      <c r="AG306" s="523"/>
      <c r="AH306" s="523">
        <f t="shared" si="357"/>
        <v>0</v>
      </c>
      <c r="AI306" s="523"/>
      <c r="AJ306" s="523"/>
      <c r="AK306" s="523">
        <f t="shared" si="330"/>
        <v>0</v>
      </c>
      <c r="AL306" s="523">
        <f t="shared" si="360"/>
        <v>0</v>
      </c>
      <c r="AM306" s="523">
        <f t="shared" si="360"/>
        <v>0</v>
      </c>
      <c r="AN306" s="523">
        <f t="shared" si="361"/>
        <v>0</v>
      </c>
      <c r="AO306" s="523">
        <f t="shared" si="361"/>
        <v>0</v>
      </c>
      <c r="AP306" s="523"/>
      <c r="AQ306" s="524"/>
      <c r="AR306" s="524"/>
    </row>
    <row r="307" spans="1:44" s="83" customFormat="1" hidden="1" outlineLevel="1">
      <c r="A307" s="521"/>
      <c r="B307" s="536" t="s">
        <v>522</v>
      </c>
      <c r="C307" s="528">
        <f t="shared" si="320"/>
        <v>0</v>
      </c>
      <c r="D307" s="546">
        <v>0</v>
      </c>
      <c r="E307" s="546">
        <v>0</v>
      </c>
      <c r="F307" s="546">
        <v>0</v>
      </c>
      <c r="G307" s="546">
        <v>0</v>
      </c>
      <c r="H307" s="546">
        <f t="shared" si="351"/>
        <v>0</v>
      </c>
      <c r="I307" s="546">
        <f t="shared" si="358"/>
        <v>0</v>
      </c>
      <c r="J307" s="546">
        <v>0</v>
      </c>
      <c r="K307" s="546"/>
      <c r="L307" s="546">
        <f t="shared" si="359"/>
        <v>0</v>
      </c>
      <c r="M307" s="546"/>
      <c r="N307" s="546"/>
      <c r="O307" s="546">
        <f t="shared" si="352"/>
        <v>0</v>
      </c>
      <c r="P307" s="543">
        <f t="shared" si="334"/>
        <v>0</v>
      </c>
      <c r="Q307" s="543">
        <f t="shared" si="335"/>
        <v>0</v>
      </c>
      <c r="R307" s="546">
        <f>S307+T307</f>
        <v>0</v>
      </c>
      <c r="S307" s="546"/>
      <c r="T307" s="546"/>
      <c r="U307" s="546"/>
      <c r="V307" s="546"/>
      <c r="W307" s="546"/>
      <c r="X307" s="546">
        <f t="shared" si="353"/>
        <v>0</v>
      </c>
      <c r="Y307" s="546">
        <f t="shared" si="354"/>
        <v>0</v>
      </c>
      <c r="Z307" s="546"/>
      <c r="AA307" s="546"/>
      <c r="AB307" s="546">
        <f t="shared" si="355"/>
        <v>0</v>
      </c>
      <c r="AC307" s="546"/>
      <c r="AD307" s="546"/>
      <c r="AE307" s="523">
        <f t="shared" si="356"/>
        <v>0</v>
      </c>
      <c r="AF307" s="523"/>
      <c r="AG307" s="523"/>
      <c r="AH307" s="523">
        <f t="shared" si="357"/>
        <v>0</v>
      </c>
      <c r="AI307" s="546"/>
      <c r="AJ307" s="546"/>
      <c r="AK307" s="546">
        <f t="shared" si="330"/>
        <v>0</v>
      </c>
      <c r="AL307" s="546">
        <f t="shared" si="360"/>
        <v>0</v>
      </c>
      <c r="AM307" s="546">
        <f t="shared" si="360"/>
        <v>0</v>
      </c>
      <c r="AN307" s="546">
        <f t="shared" si="361"/>
        <v>0</v>
      </c>
      <c r="AO307" s="546">
        <f t="shared" si="361"/>
        <v>0</v>
      </c>
      <c r="AP307" s="546"/>
      <c r="AQ307" s="547"/>
      <c r="AR307" s="547"/>
    </row>
    <row r="308" spans="1:44" s="83" customFormat="1" hidden="1" outlineLevel="1">
      <c r="A308" s="526"/>
      <c r="B308" s="536" t="s">
        <v>484</v>
      </c>
      <c r="C308" s="528">
        <f t="shared" si="320"/>
        <v>0</v>
      </c>
      <c r="D308" s="546">
        <v>0</v>
      </c>
      <c r="E308" s="546">
        <v>0</v>
      </c>
      <c r="F308" s="546">
        <v>0</v>
      </c>
      <c r="G308" s="546">
        <v>0</v>
      </c>
      <c r="H308" s="546">
        <f t="shared" si="351"/>
        <v>0</v>
      </c>
      <c r="I308" s="546">
        <f t="shared" si="358"/>
        <v>0</v>
      </c>
      <c r="J308" s="546"/>
      <c r="K308" s="546"/>
      <c r="L308" s="546">
        <v>0</v>
      </c>
      <c r="M308" s="546">
        <v>0</v>
      </c>
      <c r="N308" s="546">
        <v>0</v>
      </c>
      <c r="O308" s="546">
        <f t="shared" si="352"/>
        <v>0</v>
      </c>
      <c r="P308" s="543">
        <f t="shared" si="334"/>
        <v>0</v>
      </c>
      <c r="Q308" s="543">
        <f t="shared" si="335"/>
        <v>0</v>
      </c>
      <c r="R308" s="546"/>
      <c r="S308" s="546"/>
      <c r="T308" s="546"/>
      <c r="U308" s="546"/>
      <c r="V308" s="546"/>
      <c r="W308" s="546"/>
      <c r="X308" s="546">
        <f t="shared" si="353"/>
        <v>0</v>
      </c>
      <c r="Y308" s="546">
        <f t="shared" si="354"/>
        <v>0</v>
      </c>
      <c r="Z308" s="546"/>
      <c r="AA308" s="546"/>
      <c r="AB308" s="546">
        <f t="shared" si="355"/>
        <v>0</v>
      </c>
      <c r="AC308" s="546"/>
      <c r="AD308" s="546"/>
      <c r="AE308" s="523">
        <f t="shared" si="356"/>
        <v>0</v>
      </c>
      <c r="AF308" s="523"/>
      <c r="AG308" s="523"/>
      <c r="AH308" s="523">
        <f t="shared" si="357"/>
        <v>0</v>
      </c>
      <c r="AI308" s="546"/>
      <c r="AJ308" s="546"/>
      <c r="AK308" s="546">
        <f t="shared" si="330"/>
        <v>0</v>
      </c>
      <c r="AL308" s="546">
        <f t="shared" si="360"/>
        <v>0</v>
      </c>
      <c r="AM308" s="546">
        <f t="shared" si="360"/>
        <v>0</v>
      </c>
      <c r="AN308" s="546">
        <f t="shared" si="361"/>
        <v>0</v>
      </c>
      <c r="AO308" s="546">
        <f t="shared" si="361"/>
        <v>0</v>
      </c>
      <c r="AP308" s="546"/>
      <c r="AQ308" s="547"/>
      <c r="AR308" s="547"/>
    </row>
    <row r="309" spans="1:44" s="83" customFormat="1" ht="31.2" hidden="1" outlineLevel="1">
      <c r="A309" s="545" t="s">
        <v>413</v>
      </c>
      <c r="B309" s="554" t="s">
        <v>527</v>
      </c>
      <c r="C309" s="523">
        <f t="shared" ref="C309:F309" si="363">SUM(C310:C324)-C322-C323</f>
        <v>11184.737439999999</v>
      </c>
      <c r="D309" s="523">
        <f t="shared" si="363"/>
        <v>0</v>
      </c>
      <c r="E309" s="523">
        <f t="shared" si="363"/>
        <v>1747.4140000000016</v>
      </c>
      <c r="F309" s="523">
        <f t="shared" si="363"/>
        <v>0</v>
      </c>
      <c r="G309" s="523">
        <f>SUM(G310:G324)-G322-G323</f>
        <v>9437.3234399999983</v>
      </c>
      <c r="H309" s="523">
        <f t="shared" ref="H309:M309" si="364">SUM(H310:H324)-H322-H323</f>
        <v>52673</v>
      </c>
      <c r="I309" s="523">
        <f t="shared" si="364"/>
        <v>15947</v>
      </c>
      <c r="J309" s="523">
        <f t="shared" si="364"/>
        <v>0</v>
      </c>
      <c r="K309" s="523">
        <f t="shared" si="364"/>
        <v>15947</v>
      </c>
      <c r="L309" s="523">
        <f t="shared" si="364"/>
        <v>36726</v>
      </c>
      <c r="M309" s="523">
        <f t="shared" si="364"/>
        <v>0</v>
      </c>
      <c r="N309" s="523">
        <f t="shared" ref="N309" si="365">SUM(N310:N324)-N322-N323</f>
        <v>36726</v>
      </c>
      <c r="O309" s="523">
        <f t="shared" ref="O309" si="366">SUM(O310:O324)-O322-O323</f>
        <v>36320.316999999995</v>
      </c>
      <c r="P309" s="543">
        <f t="shared" si="334"/>
        <v>0</v>
      </c>
      <c r="Q309" s="543">
        <f t="shared" si="335"/>
        <v>36320.316999999995</v>
      </c>
      <c r="R309" s="523">
        <f t="shared" ref="R309:AO309" si="367">SUM(R310:R324)-R322-R323</f>
        <v>2967</v>
      </c>
      <c r="S309" s="523">
        <f t="shared" si="367"/>
        <v>0</v>
      </c>
      <c r="T309" s="523">
        <f t="shared" si="367"/>
        <v>2967</v>
      </c>
      <c r="U309" s="523">
        <f t="shared" si="367"/>
        <v>33353.316999999995</v>
      </c>
      <c r="V309" s="523">
        <f t="shared" si="367"/>
        <v>0</v>
      </c>
      <c r="W309" s="523">
        <f t="shared" si="367"/>
        <v>33353.316999999995</v>
      </c>
      <c r="X309" s="523">
        <f t="shared" si="367"/>
        <v>7810.9489999999996</v>
      </c>
      <c r="Y309" s="523">
        <f t="shared" si="367"/>
        <v>0</v>
      </c>
      <c r="Z309" s="523">
        <f t="shared" si="367"/>
        <v>0</v>
      </c>
      <c r="AA309" s="523">
        <f t="shared" si="367"/>
        <v>0</v>
      </c>
      <c r="AB309" s="523">
        <f t="shared" si="367"/>
        <v>7810.9489999999996</v>
      </c>
      <c r="AC309" s="523">
        <f t="shared" si="367"/>
        <v>0</v>
      </c>
      <c r="AD309" s="523">
        <f t="shared" si="367"/>
        <v>7810.9489999999996</v>
      </c>
      <c r="AE309" s="523">
        <f t="shared" si="367"/>
        <v>0</v>
      </c>
      <c r="AF309" s="523">
        <f t="shared" si="367"/>
        <v>0</v>
      </c>
      <c r="AG309" s="523">
        <f t="shared" si="367"/>
        <v>0</v>
      </c>
      <c r="AH309" s="523">
        <f t="shared" si="367"/>
        <v>0</v>
      </c>
      <c r="AI309" s="523">
        <f t="shared" si="367"/>
        <v>0</v>
      </c>
      <c r="AJ309" s="523">
        <f t="shared" si="367"/>
        <v>0</v>
      </c>
      <c r="AK309" s="523">
        <f t="shared" si="367"/>
        <v>19726.471440000001</v>
      </c>
      <c r="AL309" s="523">
        <f t="shared" si="367"/>
        <v>0</v>
      </c>
      <c r="AM309" s="523">
        <f t="shared" si="367"/>
        <v>14727.414000000001</v>
      </c>
      <c r="AN309" s="523">
        <f t="shared" si="367"/>
        <v>0</v>
      </c>
      <c r="AO309" s="523">
        <f t="shared" si="367"/>
        <v>4999.0574399999996</v>
      </c>
      <c r="AP309" s="523"/>
      <c r="AQ309" s="524">
        <f t="shared" ref="AQ309:AR309" si="368">SUM(AQ310:AQ324)-AQ322-AQ323</f>
        <v>14727.414000000001</v>
      </c>
      <c r="AR309" s="524">
        <f t="shared" si="368"/>
        <v>0</v>
      </c>
    </row>
    <row r="310" spans="1:44" s="83" customFormat="1" hidden="1" outlineLevel="1">
      <c r="A310" s="521"/>
      <c r="B310" s="522" t="s">
        <v>188</v>
      </c>
      <c r="C310" s="528">
        <f t="shared" si="320"/>
        <v>632.55544000000009</v>
      </c>
      <c r="D310" s="523">
        <v>0</v>
      </c>
      <c r="E310" s="523">
        <v>0</v>
      </c>
      <c r="F310" s="523">
        <v>0</v>
      </c>
      <c r="G310" s="523">
        <v>632.55544000000009</v>
      </c>
      <c r="H310" s="523">
        <f t="shared" si="351"/>
        <v>3859</v>
      </c>
      <c r="I310" s="523">
        <f t="shared" ref="I310:I323" si="369">J310+K310</f>
        <v>0</v>
      </c>
      <c r="J310" s="523"/>
      <c r="K310" s="523">
        <v>0</v>
      </c>
      <c r="L310" s="523">
        <f t="shared" ref="L310:L323" si="370">M310+N310</f>
        <v>3859</v>
      </c>
      <c r="M310" s="523"/>
      <c r="N310" s="523">
        <v>3859</v>
      </c>
      <c r="O310" s="523">
        <f t="shared" si="352"/>
        <v>3005.643</v>
      </c>
      <c r="P310" s="543">
        <f t="shared" si="334"/>
        <v>0</v>
      </c>
      <c r="Q310" s="543">
        <f t="shared" si="335"/>
        <v>3005.643</v>
      </c>
      <c r="R310" s="523"/>
      <c r="S310" s="523"/>
      <c r="T310" s="523"/>
      <c r="U310" s="523">
        <f t="shared" ref="U310:U319" si="371">V310+W310</f>
        <v>3005.643</v>
      </c>
      <c r="V310" s="523"/>
      <c r="W310" s="523">
        <v>3005.643</v>
      </c>
      <c r="X310" s="523">
        <f t="shared" ref="X310:X324" si="372">Y310+AB310+AE310+AH310</f>
        <v>1200</v>
      </c>
      <c r="Y310" s="523">
        <f t="shared" ref="Y310:Y315" si="373">Z310+AA310</f>
        <v>0</v>
      </c>
      <c r="Z310" s="523"/>
      <c r="AA310" s="523"/>
      <c r="AB310" s="523">
        <f t="shared" ref="AB310:AB323" si="374">AC310+AD310</f>
        <v>1200</v>
      </c>
      <c r="AC310" s="523"/>
      <c r="AD310" s="523">
        <v>1200</v>
      </c>
      <c r="AE310" s="523">
        <f t="shared" ref="AE310:AE324" si="375">AF310+AG310</f>
        <v>0</v>
      </c>
      <c r="AF310" s="523"/>
      <c r="AG310" s="523"/>
      <c r="AH310" s="523">
        <f t="shared" ref="AH310:AH324" si="376">AI310+AJ310</f>
        <v>0</v>
      </c>
      <c r="AI310" s="523"/>
      <c r="AJ310" s="523"/>
      <c r="AK310" s="523">
        <f t="shared" si="330"/>
        <v>285.91244000000006</v>
      </c>
      <c r="AL310" s="523">
        <f t="shared" si="360"/>
        <v>0</v>
      </c>
      <c r="AM310" s="523">
        <f t="shared" si="360"/>
        <v>0</v>
      </c>
      <c r="AN310" s="523">
        <f t="shared" si="361"/>
        <v>0</v>
      </c>
      <c r="AO310" s="523">
        <f t="shared" si="361"/>
        <v>285.91244000000006</v>
      </c>
      <c r="AP310" s="523"/>
      <c r="AQ310" s="524"/>
      <c r="AR310" s="524"/>
    </row>
    <row r="311" spans="1:44" s="83" customFormat="1" hidden="1" outlineLevel="1">
      <c r="A311" s="521"/>
      <c r="B311" s="522" t="s">
        <v>407</v>
      </c>
      <c r="C311" s="528">
        <f t="shared" si="320"/>
        <v>0</v>
      </c>
      <c r="D311" s="523">
        <v>0</v>
      </c>
      <c r="E311" s="523">
        <v>0</v>
      </c>
      <c r="F311" s="523">
        <v>0</v>
      </c>
      <c r="G311" s="523">
        <v>0</v>
      </c>
      <c r="H311" s="523">
        <f t="shared" si="351"/>
        <v>5442</v>
      </c>
      <c r="I311" s="523">
        <f t="shared" si="369"/>
        <v>0</v>
      </c>
      <c r="J311" s="523"/>
      <c r="K311" s="523"/>
      <c r="L311" s="523">
        <f t="shared" si="370"/>
        <v>5442</v>
      </c>
      <c r="M311" s="523"/>
      <c r="N311" s="523">
        <v>5442</v>
      </c>
      <c r="O311" s="523">
        <f t="shared" si="352"/>
        <v>4700</v>
      </c>
      <c r="P311" s="543">
        <f t="shared" si="334"/>
        <v>0</v>
      </c>
      <c r="Q311" s="543">
        <f t="shared" si="335"/>
        <v>4700</v>
      </c>
      <c r="R311" s="523"/>
      <c r="S311" s="523"/>
      <c r="T311" s="523"/>
      <c r="U311" s="523">
        <f t="shared" si="371"/>
        <v>4700</v>
      </c>
      <c r="V311" s="523"/>
      <c r="W311" s="523">
        <v>4700</v>
      </c>
      <c r="X311" s="523">
        <f t="shared" si="372"/>
        <v>0</v>
      </c>
      <c r="Y311" s="523">
        <f t="shared" si="373"/>
        <v>0</v>
      </c>
      <c r="Z311" s="523"/>
      <c r="AA311" s="523"/>
      <c r="AB311" s="523">
        <f t="shared" si="374"/>
        <v>0</v>
      </c>
      <c r="AC311" s="523"/>
      <c r="AD311" s="523"/>
      <c r="AE311" s="523">
        <f t="shared" si="375"/>
        <v>0</v>
      </c>
      <c r="AF311" s="523"/>
      <c r="AG311" s="523"/>
      <c r="AH311" s="523">
        <f t="shared" si="376"/>
        <v>0</v>
      </c>
      <c r="AI311" s="523"/>
      <c r="AJ311" s="523"/>
      <c r="AK311" s="523">
        <f t="shared" si="330"/>
        <v>742</v>
      </c>
      <c r="AL311" s="523">
        <f t="shared" si="360"/>
        <v>0</v>
      </c>
      <c r="AM311" s="523">
        <f t="shared" si="360"/>
        <v>0</v>
      </c>
      <c r="AN311" s="523">
        <f t="shared" si="361"/>
        <v>0</v>
      </c>
      <c r="AO311" s="523">
        <f t="shared" si="361"/>
        <v>742</v>
      </c>
      <c r="AP311" s="523"/>
      <c r="AQ311" s="524"/>
      <c r="AR311" s="524"/>
    </row>
    <row r="312" spans="1:44" s="83" customFormat="1" hidden="1" outlineLevel="1">
      <c r="A312" s="521"/>
      <c r="B312" s="522" t="s">
        <v>197</v>
      </c>
      <c r="C312" s="528">
        <f t="shared" si="320"/>
        <v>1109.3569999999995</v>
      </c>
      <c r="D312" s="523">
        <v>0</v>
      </c>
      <c r="E312" s="523">
        <v>0</v>
      </c>
      <c r="F312" s="523">
        <v>0</v>
      </c>
      <c r="G312" s="523">
        <v>1109.3569999999995</v>
      </c>
      <c r="H312" s="523">
        <f t="shared" si="351"/>
        <v>2991</v>
      </c>
      <c r="I312" s="523">
        <f t="shared" si="369"/>
        <v>0</v>
      </c>
      <c r="J312" s="523"/>
      <c r="K312" s="523">
        <v>0</v>
      </c>
      <c r="L312" s="523">
        <f t="shared" si="370"/>
        <v>2991</v>
      </c>
      <c r="M312" s="523"/>
      <c r="N312" s="523">
        <v>2991</v>
      </c>
      <c r="O312" s="523">
        <f t="shared" si="352"/>
        <v>3115.1990000000001</v>
      </c>
      <c r="P312" s="543">
        <f t="shared" si="334"/>
        <v>0</v>
      </c>
      <c r="Q312" s="543">
        <f t="shared" si="335"/>
        <v>3115.1990000000001</v>
      </c>
      <c r="R312" s="523"/>
      <c r="S312" s="523"/>
      <c r="T312" s="523"/>
      <c r="U312" s="523">
        <f t="shared" si="371"/>
        <v>3115.1990000000001</v>
      </c>
      <c r="V312" s="523"/>
      <c r="W312" s="523">
        <f>656.081+2459.118</f>
        <v>3115.1990000000001</v>
      </c>
      <c r="X312" s="523">
        <f t="shared" si="372"/>
        <v>865</v>
      </c>
      <c r="Y312" s="523">
        <f t="shared" si="373"/>
        <v>0</v>
      </c>
      <c r="Z312" s="523"/>
      <c r="AA312" s="523"/>
      <c r="AB312" s="523">
        <f t="shared" si="374"/>
        <v>865</v>
      </c>
      <c r="AC312" s="523"/>
      <c r="AD312" s="523">
        <f>453.288+411.712</f>
        <v>865</v>
      </c>
      <c r="AE312" s="523">
        <f t="shared" si="375"/>
        <v>0</v>
      </c>
      <c r="AF312" s="523"/>
      <c r="AG312" s="523"/>
      <c r="AH312" s="523">
        <f t="shared" si="376"/>
        <v>0</v>
      </c>
      <c r="AI312" s="523"/>
      <c r="AJ312" s="523"/>
      <c r="AK312" s="523">
        <f t="shared" si="330"/>
        <v>120.1579999999999</v>
      </c>
      <c r="AL312" s="523">
        <f t="shared" si="360"/>
        <v>0</v>
      </c>
      <c r="AM312" s="523">
        <f t="shared" si="360"/>
        <v>0</v>
      </c>
      <c r="AN312" s="523">
        <f t="shared" si="361"/>
        <v>0</v>
      </c>
      <c r="AO312" s="523">
        <f t="shared" si="361"/>
        <v>120.1579999999999</v>
      </c>
      <c r="AP312" s="523"/>
      <c r="AQ312" s="524"/>
      <c r="AR312" s="524"/>
    </row>
    <row r="313" spans="1:44" s="83" customFormat="1" hidden="1" outlineLevel="1">
      <c r="A313" s="521"/>
      <c r="B313" s="522" t="s">
        <v>198</v>
      </c>
      <c r="C313" s="528">
        <f t="shared" si="320"/>
        <v>218.38400000000001</v>
      </c>
      <c r="D313" s="523">
        <v>0</v>
      </c>
      <c r="E313" s="523">
        <v>0</v>
      </c>
      <c r="F313" s="523">
        <v>0</v>
      </c>
      <c r="G313" s="523">
        <v>218.38400000000001</v>
      </c>
      <c r="H313" s="523">
        <f t="shared" si="351"/>
        <v>1956</v>
      </c>
      <c r="I313" s="523">
        <f t="shared" si="369"/>
        <v>0</v>
      </c>
      <c r="J313" s="523"/>
      <c r="K313" s="523">
        <v>0</v>
      </c>
      <c r="L313" s="523">
        <f t="shared" si="370"/>
        <v>1956</v>
      </c>
      <c r="M313" s="523"/>
      <c r="N313" s="523">
        <v>1956</v>
      </c>
      <c r="O313" s="523">
        <f t="shared" si="352"/>
        <v>1533.1379999999999</v>
      </c>
      <c r="P313" s="543">
        <f t="shared" si="334"/>
        <v>0</v>
      </c>
      <c r="Q313" s="543">
        <f t="shared" si="335"/>
        <v>1533.1379999999999</v>
      </c>
      <c r="R313" s="523"/>
      <c r="S313" s="523"/>
      <c r="T313" s="523"/>
      <c r="U313" s="523">
        <f t="shared" si="371"/>
        <v>1533.1379999999999</v>
      </c>
      <c r="V313" s="523"/>
      <c r="W313" s="523">
        <v>1533.1379999999999</v>
      </c>
      <c r="X313" s="523">
        <f t="shared" si="372"/>
        <v>554</v>
      </c>
      <c r="Y313" s="523">
        <f t="shared" si="373"/>
        <v>0</v>
      </c>
      <c r="Z313" s="523"/>
      <c r="AA313" s="523"/>
      <c r="AB313" s="523">
        <f t="shared" si="374"/>
        <v>554</v>
      </c>
      <c r="AC313" s="523"/>
      <c r="AD313" s="523">
        <v>554</v>
      </c>
      <c r="AE313" s="523">
        <f t="shared" si="375"/>
        <v>0</v>
      </c>
      <c r="AF313" s="523"/>
      <c r="AG313" s="523"/>
      <c r="AH313" s="523">
        <f t="shared" si="376"/>
        <v>0</v>
      </c>
      <c r="AI313" s="523"/>
      <c r="AJ313" s="523"/>
      <c r="AK313" s="523">
        <f t="shared" si="330"/>
        <v>87.246000000000095</v>
      </c>
      <c r="AL313" s="523">
        <f t="shared" si="360"/>
        <v>0</v>
      </c>
      <c r="AM313" s="523">
        <f t="shared" si="360"/>
        <v>0</v>
      </c>
      <c r="AN313" s="523">
        <f t="shared" si="361"/>
        <v>0</v>
      </c>
      <c r="AO313" s="523">
        <f t="shared" si="361"/>
        <v>87.246000000000095</v>
      </c>
      <c r="AP313" s="523"/>
      <c r="AQ313" s="524"/>
      <c r="AR313" s="524"/>
    </row>
    <row r="314" spans="1:44" s="83" customFormat="1" hidden="1" outlineLevel="1">
      <c r="A314" s="521"/>
      <c r="B314" s="522" t="s">
        <v>194</v>
      </c>
      <c r="C314" s="528">
        <f t="shared" si="320"/>
        <v>1018.1350000000002</v>
      </c>
      <c r="D314" s="523">
        <v>0</v>
      </c>
      <c r="E314" s="523">
        <v>0</v>
      </c>
      <c r="F314" s="523">
        <v>0</v>
      </c>
      <c r="G314" s="523">
        <f>2776.135-1746-12</f>
        <v>1018.1350000000002</v>
      </c>
      <c r="H314" s="523">
        <f t="shared" si="351"/>
        <v>5636</v>
      </c>
      <c r="I314" s="523">
        <f t="shared" si="369"/>
        <v>0</v>
      </c>
      <c r="J314" s="523"/>
      <c r="K314" s="523">
        <v>0</v>
      </c>
      <c r="L314" s="523">
        <f t="shared" si="370"/>
        <v>5636</v>
      </c>
      <c r="M314" s="523"/>
      <c r="N314" s="523">
        <v>5636</v>
      </c>
      <c r="O314" s="523">
        <f t="shared" si="352"/>
        <v>4642.87</v>
      </c>
      <c r="P314" s="543">
        <f t="shared" si="334"/>
        <v>0</v>
      </c>
      <c r="Q314" s="543">
        <f t="shared" si="335"/>
        <v>4642.87</v>
      </c>
      <c r="R314" s="523">
        <f>S314+T314</f>
        <v>0</v>
      </c>
      <c r="S314" s="523"/>
      <c r="T314" s="523"/>
      <c r="U314" s="523">
        <f t="shared" si="371"/>
        <v>4642.87</v>
      </c>
      <c r="V314" s="523"/>
      <c r="W314" s="523">
        <v>4642.87</v>
      </c>
      <c r="X314" s="523">
        <f t="shared" si="372"/>
        <v>1532</v>
      </c>
      <c r="Y314" s="523">
        <f t="shared" si="373"/>
        <v>0</v>
      </c>
      <c r="Z314" s="523"/>
      <c r="AA314" s="523"/>
      <c r="AB314" s="523">
        <f t="shared" si="374"/>
        <v>1532</v>
      </c>
      <c r="AC314" s="523"/>
      <c r="AD314" s="523">
        <f>3290-1746-12</f>
        <v>1532</v>
      </c>
      <c r="AE314" s="523">
        <f t="shared" si="375"/>
        <v>0</v>
      </c>
      <c r="AF314" s="523"/>
      <c r="AG314" s="523"/>
      <c r="AH314" s="523">
        <f t="shared" si="376"/>
        <v>0</v>
      </c>
      <c r="AI314" s="523"/>
      <c r="AJ314" s="523"/>
      <c r="AK314" s="523">
        <f t="shared" si="330"/>
        <v>479.26500000000033</v>
      </c>
      <c r="AL314" s="523">
        <f t="shared" si="360"/>
        <v>0</v>
      </c>
      <c r="AM314" s="523">
        <f t="shared" si="360"/>
        <v>0</v>
      </c>
      <c r="AN314" s="523">
        <f t="shared" si="361"/>
        <v>0</v>
      </c>
      <c r="AO314" s="523">
        <f t="shared" si="361"/>
        <v>479.26500000000033</v>
      </c>
      <c r="AP314" s="523"/>
      <c r="AQ314" s="524"/>
      <c r="AR314" s="524"/>
    </row>
    <row r="315" spans="1:44" s="83" customFormat="1" hidden="1" outlineLevel="1">
      <c r="A315" s="521"/>
      <c r="B315" s="522" t="s">
        <v>388</v>
      </c>
      <c r="C315" s="528">
        <f t="shared" si="320"/>
        <v>2404.8149999999996</v>
      </c>
      <c r="D315" s="523">
        <v>0</v>
      </c>
      <c r="E315" s="523">
        <v>0</v>
      </c>
      <c r="F315" s="523">
        <v>0</v>
      </c>
      <c r="G315" s="523">
        <v>2404.8149999999996</v>
      </c>
      <c r="H315" s="523">
        <f t="shared" si="351"/>
        <v>5351</v>
      </c>
      <c r="I315" s="523">
        <f t="shared" si="369"/>
        <v>0</v>
      </c>
      <c r="J315" s="523"/>
      <c r="K315" s="523">
        <v>0</v>
      </c>
      <c r="L315" s="523">
        <f t="shared" si="370"/>
        <v>5351</v>
      </c>
      <c r="M315" s="523"/>
      <c r="N315" s="523">
        <v>5351</v>
      </c>
      <c r="O315" s="523">
        <f t="shared" si="352"/>
        <v>5694.2359999999999</v>
      </c>
      <c r="P315" s="543">
        <f t="shared" si="334"/>
        <v>0</v>
      </c>
      <c r="Q315" s="543">
        <f t="shared" si="335"/>
        <v>5694.2359999999999</v>
      </c>
      <c r="R315" s="523"/>
      <c r="S315" s="523"/>
      <c r="T315" s="523"/>
      <c r="U315" s="523">
        <f t="shared" si="371"/>
        <v>5694.2359999999999</v>
      </c>
      <c r="V315" s="523"/>
      <c r="W315" s="523">
        <v>5694.2359999999999</v>
      </c>
      <c r="X315" s="523">
        <f t="shared" si="372"/>
        <v>322</v>
      </c>
      <c r="Y315" s="523">
        <f t="shared" si="373"/>
        <v>0</v>
      </c>
      <c r="Z315" s="523"/>
      <c r="AA315" s="523"/>
      <c r="AB315" s="523">
        <f t="shared" si="374"/>
        <v>322</v>
      </c>
      <c r="AC315" s="523"/>
      <c r="AD315" s="523">
        <v>322</v>
      </c>
      <c r="AE315" s="523">
        <f t="shared" si="375"/>
        <v>0</v>
      </c>
      <c r="AF315" s="523"/>
      <c r="AG315" s="523"/>
      <c r="AH315" s="523">
        <f t="shared" si="376"/>
        <v>0</v>
      </c>
      <c r="AI315" s="523"/>
      <c r="AJ315" s="523"/>
      <c r="AK315" s="523">
        <f t="shared" si="330"/>
        <v>1739.5789999999997</v>
      </c>
      <c r="AL315" s="523">
        <f t="shared" si="360"/>
        <v>0</v>
      </c>
      <c r="AM315" s="523">
        <f t="shared" si="360"/>
        <v>0</v>
      </c>
      <c r="AN315" s="523">
        <f t="shared" si="361"/>
        <v>0</v>
      </c>
      <c r="AO315" s="523">
        <f t="shared" si="361"/>
        <v>1739.5789999999997</v>
      </c>
      <c r="AP315" s="523"/>
      <c r="AQ315" s="524"/>
      <c r="AR315" s="524"/>
    </row>
    <row r="316" spans="1:44" s="83" customFormat="1" hidden="1" outlineLevel="1">
      <c r="A316" s="521"/>
      <c r="B316" s="522" t="s">
        <v>199</v>
      </c>
      <c r="C316" s="528">
        <f t="shared" si="320"/>
        <v>856.50599999999986</v>
      </c>
      <c r="D316" s="523">
        <v>0</v>
      </c>
      <c r="E316" s="523">
        <v>0</v>
      </c>
      <c r="F316" s="523">
        <v>0</v>
      </c>
      <c r="G316" s="523">
        <v>856.50599999999986</v>
      </c>
      <c r="H316" s="523">
        <f t="shared" si="351"/>
        <v>902</v>
      </c>
      <c r="I316" s="523"/>
      <c r="J316" s="523"/>
      <c r="K316" s="523"/>
      <c r="L316" s="523">
        <f t="shared" si="370"/>
        <v>902</v>
      </c>
      <c r="M316" s="523"/>
      <c r="N316" s="523">
        <v>902</v>
      </c>
      <c r="O316" s="523">
        <f t="shared" si="352"/>
        <v>1060.5700000000002</v>
      </c>
      <c r="P316" s="543">
        <f t="shared" si="334"/>
        <v>0</v>
      </c>
      <c r="Q316" s="543">
        <f t="shared" si="335"/>
        <v>1060.5700000000002</v>
      </c>
      <c r="R316" s="523"/>
      <c r="S316" s="523"/>
      <c r="T316" s="523"/>
      <c r="U316" s="523">
        <f>V316+W316</f>
        <v>1060.5700000000002</v>
      </c>
      <c r="V316" s="523"/>
      <c r="W316" s="523">
        <f>926.74+43.57+90.26</f>
        <v>1060.5700000000002</v>
      </c>
      <c r="X316" s="523">
        <f t="shared" si="372"/>
        <v>523.57999999999993</v>
      </c>
      <c r="Y316" s="523"/>
      <c r="Z316" s="523"/>
      <c r="AA316" s="523"/>
      <c r="AB316" s="523">
        <f t="shared" si="374"/>
        <v>523.57999999999993</v>
      </c>
      <c r="AC316" s="523"/>
      <c r="AD316" s="523">
        <f>464.71+58.87</f>
        <v>523.57999999999993</v>
      </c>
      <c r="AE316" s="523">
        <f t="shared" si="375"/>
        <v>0</v>
      </c>
      <c r="AF316" s="523"/>
      <c r="AG316" s="523"/>
      <c r="AH316" s="523">
        <f t="shared" si="376"/>
        <v>0</v>
      </c>
      <c r="AI316" s="523"/>
      <c r="AJ316" s="523"/>
      <c r="AK316" s="523">
        <f t="shared" si="330"/>
        <v>174.35599999999977</v>
      </c>
      <c r="AL316" s="523">
        <f t="shared" si="360"/>
        <v>0</v>
      </c>
      <c r="AM316" s="523">
        <f t="shared" si="360"/>
        <v>0</v>
      </c>
      <c r="AN316" s="523">
        <f t="shared" si="361"/>
        <v>0</v>
      </c>
      <c r="AO316" s="523">
        <f t="shared" si="361"/>
        <v>174.35599999999977</v>
      </c>
      <c r="AP316" s="523"/>
      <c r="AQ316" s="524"/>
      <c r="AR316" s="524"/>
    </row>
    <row r="317" spans="1:44" s="83" customFormat="1" hidden="1" outlineLevel="1">
      <c r="A317" s="521"/>
      <c r="B317" s="522" t="s">
        <v>196</v>
      </c>
      <c r="C317" s="528">
        <f t="shared" si="320"/>
        <v>366.86099999999988</v>
      </c>
      <c r="D317" s="523">
        <v>0</v>
      </c>
      <c r="E317" s="523">
        <v>0</v>
      </c>
      <c r="F317" s="523">
        <v>0</v>
      </c>
      <c r="G317" s="523">
        <v>366.86099999999988</v>
      </c>
      <c r="H317" s="523">
        <f t="shared" si="351"/>
        <v>2996</v>
      </c>
      <c r="I317" s="523">
        <f t="shared" si="369"/>
        <v>0</v>
      </c>
      <c r="J317" s="523"/>
      <c r="K317" s="523">
        <v>0</v>
      </c>
      <c r="L317" s="523">
        <f t="shared" si="370"/>
        <v>2996</v>
      </c>
      <c r="M317" s="523"/>
      <c r="N317" s="523">
        <v>2996</v>
      </c>
      <c r="O317" s="523">
        <f t="shared" si="352"/>
        <v>3027.451</v>
      </c>
      <c r="P317" s="543">
        <f t="shared" si="334"/>
        <v>0</v>
      </c>
      <c r="Q317" s="543">
        <f t="shared" si="335"/>
        <v>3027.451</v>
      </c>
      <c r="R317" s="523"/>
      <c r="S317" s="523"/>
      <c r="T317" s="523"/>
      <c r="U317" s="523">
        <f t="shared" si="371"/>
        <v>3027.451</v>
      </c>
      <c r="V317" s="523"/>
      <c r="W317" s="523">
        <v>3027.451</v>
      </c>
      <c r="X317" s="523">
        <f t="shared" si="372"/>
        <v>326.459</v>
      </c>
      <c r="Y317" s="523">
        <f t="shared" ref="Y317:Y323" si="377">Z317+AA317</f>
        <v>0</v>
      </c>
      <c r="Z317" s="523"/>
      <c r="AA317" s="523"/>
      <c r="AB317" s="523">
        <f t="shared" si="374"/>
        <v>326.459</v>
      </c>
      <c r="AC317" s="523"/>
      <c r="AD317" s="523">
        <v>326.459</v>
      </c>
      <c r="AE317" s="523">
        <f t="shared" si="375"/>
        <v>0</v>
      </c>
      <c r="AF317" s="523"/>
      <c r="AG317" s="523"/>
      <c r="AH317" s="523">
        <f t="shared" si="376"/>
        <v>0</v>
      </c>
      <c r="AI317" s="523"/>
      <c r="AJ317" s="523"/>
      <c r="AK317" s="523">
        <f t="shared" si="330"/>
        <v>8.9509999999998513</v>
      </c>
      <c r="AL317" s="523">
        <f t="shared" si="360"/>
        <v>0</v>
      </c>
      <c r="AM317" s="523">
        <f t="shared" si="360"/>
        <v>0</v>
      </c>
      <c r="AN317" s="523">
        <f t="shared" si="361"/>
        <v>0</v>
      </c>
      <c r="AO317" s="523">
        <f t="shared" si="361"/>
        <v>8.9509999999998513</v>
      </c>
      <c r="AP317" s="523"/>
      <c r="AQ317" s="524"/>
      <c r="AR317" s="524"/>
    </row>
    <row r="318" spans="1:44" s="83" customFormat="1" hidden="1" outlineLevel="1">
      <c r="A318" s="521"/>
      <c r="B318" s="522" t="s">
        <v>193</v>
      </c>
      <c r="C318" s="528">
        <f t="shared" si="320"/>
        <v>550.46</v>
      </c>
      <c r="D318" s="523">
        <v>0</v>
      </c>
      <c r="E318" s="523">
        <v>0</v>
      </c>
      <c r="F318" s="523">
        <v>0</v>
      </c>
      <c r="G318" s="523">
        <v>550.46</v>
      </c>
      <c r="H318" s="523">
        <f t="shared" si="351"/>
        <v>2882</v>
      </c>
      <c r="I318" s="523">
        <f t="shared" si="369"/>
        <v>0</v>
      </c>
      <c r="J318" s="523"/>
      <c r="K318" s="523">
        <v>0</v>
      </c>
      <c r="L318" s="523">
        <f t="shared" si="370"/>
        <v>2882</v>
      </c>
      <c r="M318" s="523"/>
      <c r="N318" s="523">
        <v>2882</v>
      </c>
      <c r="O318" s="523">
        <f t="shared" si="352"/>
        <v>2391.2800000000002</v>
      </c>
      <c r="P318" s="543">
        <f t="shared" si="334"/>
        <v>0</v>
      </c>
      <c r="Q318" s="543">
        <f t="shared" si="335"/>
        <v>2391.2800000000002</v>
      </c>
      <c r="R318" s="523"/>
      <c r="S318" s="523"/>
      <c r="T318" s="523"/>
      <c r="U318" s="523">
        <f t="shared" si="371"/>
        <v>2391.2800000000002</v>
      </c>
      <c r="V318" s="523"/>
      <c r="W318" s="523">
        <v>2391.2800000000002</v>
      </c>
      <c r="X318" s="523">
        <f t="shared" si="372"/>
        <v>550.46</v>
      </c>
      <c r="Y318" s="523">
        <f t="shared" si="377"/>
        <v>0</v>
      </c>
      <c r="Z318" s="523"/>
      <c r="AA318" s="523"/>
      <c r="AB318" s="523">
        <f t="shared" si="374"/>
        <v>550.46</v>
      </c>
      <c r="AC318" s="523"/>
      <c r="AD318" s="523">
        <v>550.46</v>
      </c>
      <c r="AE318" s="523">
        <f t="shared" si="375"/>
        <v>0</v>
      </c>
      <c r="AF318" s="523"/>
      <c r="AG318" s="523"/>
      <c r="AH318" s="523">
        <f t="shared" si="376"/>
        <v>0</v>
      </c>
      <c r="AI318" s="523"/>
      <c r="AJ318" s="523"/>
      <c r="AK318" s="523">
        <f t="shared" si="330"/>
        <v>490.7199999999998</v>
      </c>
      <c r="AL318" s="523">
        <f t="shared" si="360"/>
        <v>0</v>
      </c>
      <c r="AM318" s="523">
        <f t="shared" si="360"/>
        <v>0</v>
      </c>
      <c r="AN318" s="523">
        <f t="shared" si="361"/>
        <v>0</v>
      </c>
      <c r="AO318" s="523">
        <f t="shared" si="361"/>
        <v>490.7199999999998</v>
      </c>
      <c r="AP318" s="523"/>
      <c r="AQ318" s="524"/>
      <c r="AR318" s="524"/>
    </row>
    <row r="319" spans="1:44" s="83" customFormat="1" hidden="1" outlineLevel="1">
      <c r="A319" s="521"/>
      <c r="B319" s="522" t="s">
        <v>192</v>
      </c>
      <c r="C319" s="528">
        <f t="shared" si="320"/>
        <v>2280.25</v>
      </c>
      <c r="D319" s="523">
        <v>0</v>
      </c>
      <c r="E319" s="523">
        <v>0</v>
      </c>
      <c r="F319" s="523">
        <v>0</v>
      </c>
      <c r="G319" s="523">
        <v>2280.25</v>
      </c>
      <c r="H319" s="523">
        <f t="shared" si="351"/>
        <v>4711</v>
      </c>
      <c r="I319" s="523">
        <f t="shared" si="369"/>
        <v>0</v>
      </c>
      <c r="J319" s="523"/>
      <c r="K319" s="523">
        <v>0</v>
      </c>
      <c r="L319" s="523">
        <f t="shared" si="370"/>
        <v>4711</v>
      </c>
      <c r="M319" s="523"/>
      <c r="N319" s="523">
        <v>4711</v>
      </c>
      <c r="O319" s="523">
        <f t="shared" si="352"/>
        <v>4182.93</v>
      </c>
      <c r="P319" s="543">
        <f t="shared" si="334"/>
        <v>0</v>
      </c>
      <c r="Q319" s="543">
        <f t="shared" si="335"/>
        <v>4182.93</v>
      </c>
      <c r="R319" s="523"/>
      <c r="S319" s="523"/>
      <c r="T319" s="523"/>
      <c r="U319" s="523">
        <f t="shared" si="371"/>
        <v>4182.93</v>
      </c>
      <c r="V319" s="523"/>
      <c r="W319" s="523">
        <v>4182.93</v>
      </c>
      <c r="X319" s="523">
        <f t="shared" si="372"/>
        <v>1937.45</v>
      </c>
      <c r="Y319" s="523">
        <f t="shared" si="377"/>
        <v>0</v>
      </c>
      <c r="Z319" s="523"/>
      <c r="AA319" s="523"/>
      <c r="AB319" s="523">
        <f t="shared" si="374"/>
        <v>1937.45</v>
      </c>
      <c r="AC319" s="523"/>
      <c r="AD319" s="523">
        <v>1937.45</v>
      </c>
      <c r="AE319" s="523">
        <f t="shared" si="375"/>
        <v>0</v>
      </c>
      <c r="AF319" s="523"/>
      <c r="AG319" s="523"/>
      <c r="AH319" s="523">
        <f t="shared" si="376"/>
        <v>0</v>
      </c>
      <c r="AI319" s="523"/>
      <c r="AJ319" s="523"/>
      <c r="AK319" s="523">
        <f t="shared" si="330"/>
        <v>870.86999999999966</v>
      </c>
      <c r="AL319" s="523">
        <f t="shared" si="360"/>
        <v>0</v>
      </c>
      <c r="AM319" s="523">
        <f t="shared" si="360"/>
        <v>0</v>
      </c>
      <c r="AN319" s="523">
        <f t="shared" si="361"/>
        <v>0</v>
      </c>
      <c r="AO319" s="523">
        <f t="shared" si="361"/>
        <v>870.86999999999966</v>
      </c>
      <c r="AP319" s="523"/>
      <c r="AQ319" s="524"/>
      <c r="AR319" s="524"/>
    </row>
    <row r="320" spans="1:44" s="83" customFormat="1" hidden="1" outlineLevel="1">
      <c r="A320" s="521"/>
      <c r="B320" s="522" t="s">
        <v>528</v>
      </c>
      <c r="C320" s="528">
        <f t="shared" si="320"/>
        <v>0</v>
      </c>
      <c r="D320" s="523">
        <v>0</v>
      </c>
      <c r="E320" s="523">
        <v>0</v>
      </c>
      <c r="F320" s="523">
        <v>0</v>
      </c>
      <c r="G320" s="523">
        <v>0</v>
      </c>
      <c r="H320" s="523">
        <f t="shared" si="351"/>
        <v>1311</v>
      </c>
      <c r="I320" s="523">
        <f t="shared" si="369"/>
        <v>1311</v>
      </c>
      <c r="J320" s="523"/>
      <c r="K320" s="523">
        <f>839+472</f>
        <v>1311</v>
      </c>
      <c r="L320" s="523">
        <f t="shared" si="370"/>
        <v>0</v>
      </c>
      <c r="M320" s="523"/>
      <c r="N320" s="523"/>
      <c r="O320" s="523">
        <f t="shared" si="352"/>
        <v>1149</v>
      </c>
      <c r="P320" s="543">
        <f t="shared" si="334"/>
        <v>0</v>
      </c>
      <c r="Q320" s="543">
        <f t="shared" si="335"/>
        <v>1149</v>
      </c>
      <c r="R320" s="523">
        <f>S320+T320</f>
        <v>1149</v>
      </c>
      <c r="S320" s="523"/>
      <c r="T320" s="523">
        <v>1149</v>
      </c>
      <c r="U320" s="523"/>
      <c r="V320" s="523"/>
      <c r="W320" s="523"/>
      <c r="X320" s="523">
        <f t="shared" si="372"/>
        <v>0</v>
      </c>
      <c r="Y320" s="523">
        <f t="shared" si="377"/>
        <v>0</v>
      </c>
      <c r="Z320" s="523"/>
      <c r="AA320" s="523"/>
      <c r="AB320" s="523">
        <f t="shared" si="374"/>
        <v>0</v>
      </c>
      <c r="AC320" s="523"/>
      <c r="AD320" s="523"/>
      <c r="AE320" s="523">
        <f t="shared" si="375"/>
        <v>0</v>
      </c>
      <c r="AF320" s="523"/>
      <c r="AG320" s="523"/>
      <c r="AH320" s="523">
        <f t="shared" si="376"/>
        <v>0</v>
      </c>
      <c r="AI320" s="523"/>
      <c r="AJ320" s="523"/>
      <c r="AK320" s="523">
        <f t="shared" si="330"/>
        <v>162</v>
      </c>
      <c r="AL320" s="523">
        <f t="shared" si="360"/>
        <v>0</v>
      </c>
      <c r="AM320" s="523">
        <f t="shared" si="360"/>
        <v>162</v>
      </c>
      <c r="AN320" s="523">
        <f t="shared" si="361"/>
        <v>0</v>
      </c>
      <c r="AO320" s="523">
        <f t="shared" si="361"/>
        <v>0</v>
      </c>
      <c r="AP320" s="523"/>
      <c r="AQ320" s="524">
        <v>162</v>
      </c>
      <c r="AR320" s="524"/>
    </row>
    <row r="321" spans="1:44" s="83" customFormat="1" hidden="1" outlineLevel="1">
      <c r="A321" s="521"/>
      <c r="B321" s="522" t="s">
        <v>2147</v>
      </c>
      <c r="C321" s="528">
        <f t="shared" si="320"/>
        <v>545</v>
      </c>
      <c r="D321" s="523">
        <v>0</v>
      </c>
      <c r="E321" s="523">
        <f>E322+E323</f>
        <v>545</v>
      </c>
      <c r="F321" s="523">
        <v>0</v>
      </c>
      <c r="G321" s="523">
        <v>0</v>
      </c>
      <c r="H321" s="523">
        <f t="shared" si="351"/>
        <v>1562</v>
      </c>
      <c r="I321" s="523">
        <f t="shared" si="369"/>
        <v>1562</v>
      </c>
      <c r="J321" s="523"/>
      <c r="K321" s="523">
        <v>1562</v>
      </c>
      <c r="L321" s="523">
        <f t="shared" si="370"/>
        <v>0</v>
      </c>
      <c r="M321" s="523"/>
      <c r="N321" s="523"/>
      <c r="O321" s="523">
        <f t="shared" si="352"/>
        <v>1818</v>
      </c>
      <c r="P321" s="543">
        <f t="shared" si="334"/>
        <v>0</v>
      </c>
      <c r="Q321" s="543">
        <f t="shared" si="335"/>
        <v>1818</v>
      </c>
      <c r="R321" s="523">
        <f>S321+T321</f>
        <v>1818</v>
      </c>
      <c r="S321" s="523"/>
      <c r="T321" s="523">
        <v>1818</v>
      </c>
      <c r="U321" s="523"/>
      <c r="V321" s="523"/>
      <c r="W321" s="523"/>
      <c r="X321" s="523">
        <f t="shared" si="372"/>
        <v>0</v>
      </c>
      <c r="Y321" s="523">
        <f t="shared" si="377"/>
        <v>0</v>
      </c>
      <c r="Z321" s="523"/>
      <c r="AA321" s="523"/>
      <c r="AB321" s="523">
        <f t="shared" si="374"/>
        <v>0</v>
      </c>
      <c r="AC321" s="523"/>
      <c r="AD321" s="523"/>
      <c r="AE321" s="523">
        <f t="shared" si="375"/>
        <v>0</v>
      </c>
      <c r="AF321" s="523"/>
      <c r="AG321" s="523"/>
      <c r="AH321" s="523">
        <f t="shared" si="376"/>
        <v>0</v>
      </c>
      <c r="AI321" s="523"/>
      <c r="AJ321" s="523"/>
      <c r="AK321" s="523">
        <f t="shared" si="330"/>
        <v>289</v>
      </c>
      <c r="AL321" s="523">
        <f t="shared" si="360"/>
        <v>0</v>
      </c>
      <c r="AM321" s="523">
        <f t="shared" si="360"/>
        <v>289</v>
      </c>
      <c r="AN321" s="523">
        <f t="shared" si="361"/>
        <v>0</v>
      </c>
      <c r="AO321" s="523">
        <f t="shared" si="361"/>
        <v>0</v>
      </c>
      <c r="AP321" s="523"/>
      <c r="AQ321" s="524">
        <v>289</v>
      </c>
      <c r="AR321" s="524"/>
    </row>
    <row r="322" spans="1:44" s="86" customFormat="1" hidden="1" outlineLevel="1">
      <c r="A322" s="555"/>
      <c r="B322" s="556" t="s">
        <v>2169</v>
      </c>
      <c r="C322" s="557">
        <f t="shared" si="320"/>
        <v>257</v>
      </c>
      <c r="D322" s="558">
        <v>0</v>
      </c>
      <c r="E322" s="558">
        <v>257</v>
      </c>
      <c r="F322" s="558">
        <v>0</v>
      </c>
      <c r="G322" s="558">
        <v>0</v>
      </c>
      <c r="H322" s="558">
        <f t="shared" si="351"/>
        <v>0</v>
      </c>
      <c r="I322" s="558">
        <f t="shared" si="369"/>
        <v>0</v>
      </c>
      <c r="J322" s="558"/>
      <c r="K322" s="558"/>
      <c r="L322" s="558">
        <f t="shared" si="370"/>
        <v>0</v>
      </c>
      <c r="M322" s="558"/>
      <c r="N322" s="558"/>
      <c r="O322" s="558">
        <f t="shared" si="352"/>
        <v>0</v>
      </c>
      <c r="P322" s="543">
        <f t="shared" si="334"/>
        <v>0</v>
      </c>
      <c r="Q322" s="543">
        <f t="shared" si="335"/>
        <v>0</v>
      </c>
      <c r="R322" s="558">
        <f>S322+T322</f>
        <v>0</v>
      </c>
      <c r="S322" s="558"/>
      <c r="T322" s="558"/>
      <c r="U322" s="558"/>
      <c r="V322" s="558"/>
      <c r="W322" s="558"/>
      <c r="X322" s="558">
        <f t="shared" si="372"/>
        <v>0</v>
      </c>
      <c r="Y322" s="558">
        <f t="shared" si="377"/>
        <v>0</v>
      </c>
      <c r="Z322" s="558"/>
      <c r="AA322" s="558"/>
      <c r="AB322" s="558">
        <f t="shared" si="374"/>
        <v>0</v>
      </c>
      <c r="AC322" s="558"/>
      <c r="AD322" s="558"/>
      <c r="AE322" s="558">
        <f t="shared" si="375"/>
        <v>0</v>
      </c>
      <c r="AF322" s="558"/>
      <c r="AG322" s="558"/>
      <c r="AH322" s="558">
        <f t="shared" si="376"/>
        <v>0</v>
      </c>
      <c r="AI322" s="558"/>
      <c r="AJ322" s="558"/>
      <c r="AK322" s="558">
        <f t="shared" si="330"/>
        <v>257</v>
      </c>
      <c r="AL322" s="558">
        <f t="shared" si="360"/>
        <v>0</v>
      </c>
      <c r="AM322" s="558">
        <f t="shared" si="360"/>
        <v>257</v>
      </c>
      <c r="AN322" s="558">
        <f t="shared" si="361"/>
        <v>0</v>
      </c>
      <c r="AO322" s="558">
        <f t="shared" si="361"/>
        <v>0</v>
      </c>
      <c r="AP322" s="558"/>
      <c r="AQ322" s="559">
        <v>257</v>
      </c>
      <c r="AR322" s="559"/>
    </row>
    <row r="323" spans="1:44" s="86" customFormat="1" hidden="1" outlineLevel="1">
      <c r="A323" s="555"/>
      <c r="B323" s="556" t="s">
        <v>2170</v>
      </c>
      <c r="C323" s="557">
        <f t="shared" si="320"/>
        <v>288</v>
      </c>
      <c r="D323" s="558">
        <v>0</v>
      </c>
      <c r="E323" s="558">
        <v>288</v>
      </c>
      <c r="F323" s="558">
        <v>0</v>
      </c>
      <c r="G323" s="558">
        <v>0</v>
      </c>
      <c r="H323" s="558">
        <f t="shared" si="351"/>
        <v>0</v>
      </c>
      <c r="I323" s="558">
        <f t="shared" si="369"/>
        <v>0</v>
      </c>
      <c r="J323" s="558"/>
      <c r="K323" s="558"/>
      <c r="L323" s="558">
        <f t="shared" si="370"/>
        <v>0</v>
      </c>
      <c r="M323" s="558"/>
      <c r="N323" s="558"/>
      <c r="O323" s="558">
        <f t="shared" si="352"/>
        <v>0</v>
      </c>
      <c r="P323" s="543">
        <f t="shared" si="334"/>
        <v>0</v>
      </c>
      <c r="Q323" s="543">
        <f t="shared" si="335"/>
        <v>0</v>
      </c>
      <c r="R323" s="558">
        <f>S323+T323</f>
        <v>0</v>
      </c>
      <c r="S323" s="558"/>
      <c r="T323" s="558"/>
      <c r="U323" s="558"/>
      <c r="V323" s="558"/>
      <c r="W323" s="558"/>
      <c r="X323" s="558">
        <f t="shared" si="372"/>
        <v>0</v>
      </c>
      <c r="Y323" s="558">
        <f t="shared" si="377"/>
        <v>0</v>
      </c>
      <c r="Z323" s="558"/>
      <c r="AA323" s="558"/>
      <c r="AB323" s="558">
        <f t="shared" si="374"/>
        <v>0</v>
      </c>
      <c r="AC323" s="558"/>
      <c r="AD323" s="558"/>
      <c r="AE323" s="558">
        <f t="shared" si="375"/>
        <v>0</v>
      </c>
      <c r="AF323" s="558"/>
      <c r="AG323" s="558"/>
      <c r="AH323" s="558">
        <f t="shared" si="376"/>
        <v>0</v>
      </c>
      <c r="AI323" s="558"/>
      <c r="AJ323" s="558"/>
      <c r="AK323" s="558">
        <f t="shared" si="330"/>
        <v>288</v>
      </c>
      <c r="AL323" s="558">
        <f t="shared" si="360"/>
        <v>0</v>
      </c>
      <c r="AM323" s="558">
        <f t="shared" si="360"/>
        <v>288</v>
      </c>
      <c r="AN323" s="558">
        <f t="shared" si="361"/>
        <v>0</v>
      </c>
      <c r="AO323" s="558">
        <f t="shared" si="361"/>
        <v>0</v>
      </c>
      <c r="AP323" s="558"/>
      <c r="AQ323" s="559">
        <v>288</v>
      </c>
      <c r="AR323" s="559"/>
    </row>
    <row r="324" spans="1:44" s="83" customFormat="1" hidden="1" outlineLevel="1">
      <c r="A324" s="521"/>
      <c r="B324" s="522" t="s">
        <v>484</v>
      </c>
      <c r="C324" s="528">
        <f t="shared" si="320"/>
        <v>1202.4140000000014</v>
      </c>
      <c r="D324" s="523">
        <v>0</v>
      </c>
      <c r="E324" s="523">
        <v>1202.4140000000014</v>
      </c>
      <c r="F324" s="523">
        <v>0</v>
      </c>
      <c r="G324" s="523">
        <v>0</v>
      </c>
      <c r="H324" s="523">
        <f t="shared" si="351"/>
        <v>13074</v>
      </c>
      <c r="I324" s="523">
        <f>J324+K324</f>
        <v>13074</v>
      </c>
      <c r="J324" s="523"/>
      <c r="K324" s="523">
        <v>13074</v>
      </c>
      <c r="L324" s="523">
        <f>M324+N324</f>
        <v>0</v>
      </c>
      <c r="M324" s="523"/>
      <c r="N324" s="523"/>
      <c r="O324" s="523">
        <f>R324+U324</f>
        <v>0</v>
      </c>
      <c r="P324" s="543">
        <f t="shared" si="334"/>
        <v>0</v>
      </c>
      <c r="Q324" s="543">
        <f t="shared" si="335"/>
        <v>0</v>
      </c>
      <c r="R324" s="523">
        <v>0</v>
      </c>
      <c r="S324" s="523"/>
      <c r="T324" s="523">
        <v>0</v>
      </c>
      <c r="U324" s="523"/>
      <c r="V324" s="523"/>
      <c r="W324" s="523"/>
      <c r="X324" s="523">
        <f t="shared" si="372"/>
        <v>0</v>
      </c>
      <c r="Y324" s="523">
        <f>Z324+AA324</f>
        <v>0</v>
      </c>
      <c r="Z324" s="523"/>
      <c r="AA324" s="523"/>
      <c r="AB324" s="523">
        <f>AC324+AD324</f>
        <v>0</v>
      </c>
      <c r="AC324" s="523"/>
      <c r="AD324" s="523"/>
      <c r="AE324" s="523">
        <f t="shared" si="375"/>
        <v>0</v>
      </c>
      <c r="AF324" s="523"/>
      <c r="AG324" s="523"/>
      <c r="AH324" s="523">
        <f t="shared" si="376"/>
        <v>0</v>
      </c>
      <c r="AI324" s="523"/>
      <c r="AJ324" s="523"/>
      <c r="AK324" s="523">
        <f t="shared" si="330"/>
        <v>14276.414000000001</v>
      </c>
      <c r="AL324" s="523">
        <f t="shared" si="360"/>
        <v>0</v>
      </c>
      <c r="AM324" s="523">
        <f t="shared" si="360"/>
        <v>14276.414000000001</v>
      </c>
      <c r="AN324" s="523">
        <f t="shared" si="361"/>
        <v>0</v>
      </c>
      <c r="AO324" s="523">
        <f t="shared" si="361"/>
        <v>0</v>
      </c>
      <c r="AP324" s="523"/>
      <c r="AQ324" s="524">
        <v>14276.414000000001</v>
      </c>
      <c r="AR324" s="524"/>
    </row>
    <row r="325" spans="1:44" s="83" customFormat="1" ht="46.8" hidden="1" outlineLevel="1">
      <c r="A325" s="541" t="s">
        <v>2171</v>
      </c>
      <c r="B325" s="560" t="s">
        <v>530</v>
      </c>
      <c r="C325" s="528">
        <f>SUM(D325:G325)</f>
        <v>30.36</v>
      </c>
      <c r="D325" s="561">
        <v>0</v>
      </c>
      <c r="E325" s="561">
        <v>0</v>
      </c>
      <c r="F325" s="561">
        <v>0</v>
      </c>
      <c r="G325" s="561">
        <v>30.36</v>
      </c>
      <c r="H325" s="561">
        <f t="shared" ref="H325:AO325" si="378">SUM(H326:H329)</f>
        <v>3000</v>
      </c>
      <c r="I325" s="561">
        <f t="shared" si="378"/>
        <v>3000</v>
      </c>
      <c r="J325" s="561">
        <f t="shared" si="378"/>
        <v>0</v>
      </c>
      <c r="K325" s="561">
        <f t="shared" si="378"/>
        <v>3000</v>
      </c>
      <c r="L325" s="561">
        <f t="shared" si="378"/>
        <v>0</v>
      </c>
      <c r="M325" s="561">
        <f t="shared" si="378"/>
        <v>0</v>
      </c>
      <c r="N325" s="561">
        <f t="shared" si="378"/>
        <v>0</v>
      </c>
      <c r="O325" s="561">
        <f t="shared" si="378"/>
        <v>3030.36</v>
      </c>
      <c r="P325" s="543">
        <f t="shared" si="334"/>
        <v>0</v>
      </c>
      <c r="Q325" s="543">
        <f t="shared" si="335"/>
        <v>3030.36</v>
      </c>
      <c r="R325" s="561">
        <f t="shared" si="378"/>
        <v>3000</v>
      </c>
      <c r="S325" s="561">
        <f t="shared" si="378"/>
        <v>0</v>
      </c>
      <c r="T325" s="561">
        <f t="shared" si="378"/>
        <v>3000</v>
      </c>
      <c r="U325" s="561">
        <f t="shared" si="378"/>
        <v>30.36</v>
      </c>
      <c r="V325" s="561">
        <f t="shared" si="378"/>
        <v>0</v>
      </c>
      <c r="W325" s="561">
        <f t="shared" si="378"/>
        <v>30.36</v>
      </c>
      <c r="X325" s="561">
        <f t="shared" si="378"/>
        <v>0</v>
      </c>
      <c r="Y325" s="561">
        <f t="shared" si="378"/>
        <v>0</v>
      </c>
      <c r="Z325" s="561">
        <f t="shared" si="378"/>
        <v>0</v>
      </c>
      <c r="AA325" s="561">
        <f t="shared" si="378"/>
        <v>0</v>
      </c>
      <c r="AB325" s="561">
        <f t="shared" si="378"/>
        <v>0</v>
      </c>
      <c r="AC325" s="561">
        <f t="shared" si="378"/>
        <v>0</v>
      </c>
      <c r="AD325" s="561">
        <f t="shared" si="378"/>
        <v>0</v>
      </c>
      <c r="AE325" s="561">
        <f t="shared" si="378"/>
        <v>0</v>
      </c>
      <c r="AF325" s="561">
        <f t="shared" si="378"/>
        <v>0</v>
      </c>
      <c r="AG325" s="561">
        <f t="shared" si="378"/>
        <v>0</v>
      </c>
      <c r="AH325" s="561">
        <f t="shared" si="378"/>
        <v>0</v>
      </c>
      <c r="AI325" s="561">
        <f t="shared" si="378"/>
        <v>0</v>
      </c>
      <c r="AJ325" s="561">
        <f t="shared" si="378"/>
        <v>0</v>
      </c>
      <c r="AK325" s="561">
        <f t="shared" si="378"/>
        <v>0</v>
      </c>
      <c r="AL325" s="561">
        <f t="shared" si="378"/>
        <v>0</v>
      </c>
      <c r="AM325" s="561">
        <f t="shared" si="378"/>
        <v>0</v>
      </c>
      <c r="AN325" s="561">
        <f t="shared" si="378"/>
        <v>0</v>
      </c>
      <c r="AO325" s="561">
        <f t="shared" si="378"/>
        <v>0</v>
      </c>
      <c r="AP325" s="561"/>
      <c r="AQ325" s="562"/>
      <c r="AR325" s="562"/>
    </row>
    <row r="326" spans="1:44" s="83" customFormat="1" hidden="1" outlineLevel="1">
      <c r="A326" s="526"/>
      <c r="B326" s="522" t="s">
        <v>2147</v>
      </c>
      <c r="C326" s="528">
        <f>SUM(D326:G326)</f>
        <v>0</v>
      </c>
      <c r="D326" s="563">
        <v>0</v>
      </c>
      <c r="E326" s="563">
        <v>0</v>
      </c>
      <c r="F326" s="563">
        <v>0</v>
      </c>
      <c r="G326" s="563">
        <v>0</v>
      </c>
      <c r="H326" s="563">
        <f>I326+L326</f>
        <v>0</v>
      </c>
      <c r="I326" s="563">
        <f>J326+K326</f>
        <v>0</v>
      </c>
      <c r="J326" s="563"/>
      <c r="K326" s="563"/>
      <c r="L326" s="563">
        <f>M326+N326</f>
        <v>0</v>
      </c>
      <c r="M326" s="563"/>
      <c r="N326" s="563"/>
      <c r="O326" s="563">
        <f>R326+U326</f>
        <v>0</v>
      </c>
      <c r="P326" s="543">
        <f t="shared" si="334"/>
        <v>0</v>
      </c>
      <c r="Q326" s="543">
        <f t="shared" si="335"/>
        <v>0</v>
      </c>
      <c r="R326" s="563">
        <f>S326+T326</f>
        <v>0</v>
      </c>
      <c r="S326" s="563"/>
      <c r="T326" s="563"/>
      <c r="U326" s="563">
        <f>V326+W326</f>
        <v>0</v>
      </c>
      <c r="V326" s="563">
        <f>W326+X326</f>
        <v>0</v>
      </c>
      <c r="W326" s="563"/>
      <c r="X326" s="563">
        <f>Y326+AB326+AE326+AH326</f>
        <v>0</v>
      </c>
      <c r="Y326" s="563">
        <f>Z326+AA326</f>
        <v>0</v>
      </c>
      <c r="Z326" s="563"/>
      <c r="AA326" s="563"/>
      <c r="AB326" s="563">
        <f>AC326+AD326</f>
        <v>0</v>
      </c>
      <c r="AC326" s="563"/>
      <c r="AD326" s="563"/>
      <c r="AE326" s="523">
        <f>AF326+AG326</f>
        <v>0</v>
      </c>
      <c r="AF326" s="523"/>
      <c r="AG326" s="523"/>
      <c r="AH326" s="523">
        <f>AI326+AJ326</f>
        <v>0</v>
      </c>
      <c r="AI326" s="563"/>
      <c r="AJ326" s="563"/>
      <c r="AK326" s="563">
        <f>SUM(AL326:AO326)</f>
        <v>0</v>
      </c>
      <c r="AL326" s="563">
        <f>D326+J326-S326-Z326-AF326</f>
        <v>0</v>
      </c>
      <c r="AM326" s="563">
        <f>E326+K326-T326-AA326-AG326</f>
        <v>0</v>
      </c>
      <c r="AN326" s="563">
        <f t="shared" ref="AN326:AO338" si="379">F326+M326-V326-AC326-AI326</f>
        <v>0</v>
      </c>
      <c r="AO326" s="563">
        <f t="shared" si="379"/>
        <v>0</v>
      </c>
      <c r="AP326" s="563"/>
      <c r="AQ326" s="564"/>
      <c r="AR326" s="564"/>
    </row>
    <row r="327" spans="1:44" s="83" customFormat="1" hidden="1" outlineLevel="1">
      <c r="A327" s="526"/>
      <c r="B327" s="522" t="s">
        <v>522</v>
      </c>
      <c r="C327" s="528">
        <f>SUM(D327:G327)</f>
        <v>0</v>
      </c>
      <c r="D327" s="563">
        <v>0</v>
      </c>
      <c r="E327" s="563">
        <v>0</v>
      </c>
      <c r="F327" s="563">
        <v>0</v>
      </c>
      <c r="G327" s="563">
        <v>0</v>
      </c>
      <c r="H327" s="563">
        <f t="shared" ref="H327:H329" si="380">I327+L327</f>
        <v>3000</v>
      </c>
      <c r="I327" s="563">
        <f t="shared" ref="I327:I329" si="381">J327+K327</f>
        <v>3000</v>
      </c>
      <c r="J327" s="563"/>
      <c r="K327" s="563">
        <v>3000</v>
      </c>
      <c r="L327" s="563">
        <f t="shared" ref="L327:L329" si="382">M327+N327</f>
        <v>0</v>
      </c>
      <c r="M327" s="563"/>
      <c r="N327" s="563"/>
      <c r="O327" s="563">
        <f>R327+U327</f>
        <v>3000</v>
      </c>
      <c r="P327" s="543">
        <f t="shared" si="334"/>
        <v>0</v>
      </c>
      <c r="Q327" s="543">
        <f t="shared" si="335"/>
        <v>3000</v>
      </c>
      <c r="R327" s="563">
        <f>S327+T327</f>
        <v>3000</v>
      </c>
      <c r="S327" s="563"/>
      <c r="T327" s="563">
        <v>3000</v>
      </c>
      <c r="U327" s="563">
        <f>V327+W327</f>
        <v>0</v>
      </c>
      <c r="V327" s="563"/>
      <c r="W327" s="563"/>
      <c r="X327" s="563">
        <f>Y327+AB327+AE327+AH327</f>
        <v>0</v>
      </c>
      <c r="Y327" s="563"/>
      <c r="Z327" s="563"/>
      <c r="AA327" s="563"/>
      <c r="AB327" s="563"/>
      <c r="AC327" s="563"/>
      <c r="AD327" s="563"/>
      <c r="AE327" s="523">
        <f>AF327+AG327</f>
        <v>0</v>
      </c>
      <c r="AF327" s="523"/>
      <c r="AG327" s="523"/>
      <c r="AH327" s="523">
        <f>AI327+AJ327</f>
        <v>0</v>
      </c>
      <c r="AI327" s="563"/>
      <c r="AJ327" s="563"/>
      <c r="AK327" s="563">
        <f>SUM(AL327:AO327)</f>
        <v>0</v>
      </c>
      <c r="AL327" s="563">
        <f t="shared" ref="AL327:AM338" si="383">D327+J327-S327-Z327-AF327</f>
        <v>0</v>
      </c>
      <c r="AM327" s="563">
        <f t="shared" si="383"/>
        <v>0</v>
      </c>
      <c r="AN327" s="563">
        <f t="shared" si="379"/>
        <v>0</v>
      </c>
      <c r="AO327" s="563">
        <f t="shared" si="379"/>
        <v>0</v>
      </c>
      <c r="AP327" s="563"/>
      <c r="AQ327" s="564"/>
      <c r="AR327" s="564"/>
    </row>
    <row r="328" spans="1:44" s="83" customFormat="1" hidden="1" outlineLevel="1">
      <c r="A328" s="526"/>
      <c r="B328" s="522" t="s">
        <v>535</v>
      </c>
      <c r="C328" s="528"/>
      <c r="D328" s="563"/>
      <c r="E328" s="563"/>
      <c r="F328" s="563"/>
      <c r="G328" s="563"/>
      <c r="H328" s="563">
        <f t="shared" si="380"/>
        <v>0</v>
      </c>
      <c r="I328" s="563">
        <f t="shared" si="381"/>
        <v>0</v>
      </c>
      <c r="J328" s="563"/>
      <c r="K328" s="563"/>
      <c r="L328" s="563">
        <f t="shared" si="382"/>
        <v>0</v>
      </c>
      <c r="M328" s="563"/>
      <c r="N328" s="563"/>
      <c r="O328" s="523">
        <f t="shared" ref="O328" si="384">R328+U328</f>
        <v>0</v>
      </c>
      <c r="P328" s="543">
        <f t="shared" si="334"/>
        <v>0</v>
      </c>
      <c r="Q328" s="543">
        <f t="shared" si="335"/>
        <v>0</v>
      </c>
      <c r="R328" s="523"/>
      <c r="S328" s="523"/>
      <c r="T328" s="523"/>
      <c r="U328" s="523">
        <f t="shared" ref="U328" si="385">V328+W328</f>
        <v>0</v>
      </c>
      <c r="V328" s="563"/>
      <c r="W328" s="563"/>
      <c r="X328" s="563"/>
      <c r="Y328" s="563"/>
      <c r="Z328" s="563"/>
      <c r="AA328" s="563"/>
      <c r="AB328" s="563"/>
      <c r="AC328" s="563"/>
      <c r="AD328" s="563"/>
      <c r="AE328" s="523"/>
      <c r="AF328" s="523"/>
      <c r="AG328" s="523"/>
      <c r="AH328" s="523"/>
      <c r="AI328" s="563"/>
      <c r="AJ328" s="563"/>
      <c r="AK328" s="523">
        <f t="shared" ref="AK328" si="386">SUM(AL328:AO328)</f>
        <v>0</v>
      </c>
      <c r="AL328" s="523">
        <f t="shared" si="383"/>
        <v>0</v>
      </c>
      <c r="AM328" s="523">
        <f t="shared" si="383"/>
        <v>0</v>
      </c>
      <c r="AN328" s="523">
        <f t="shared" si="379"/>
        <v>0</v>
      </c>
      <c r="AO328" s="523">
        <f t="shared" si="379"/>
        <v>0</v>
      </c>
      <c r="AP328" s="523"/>
      <c r="AQ328" s="524"/>
      <c r="AR328" s="524"/>
    </row>
    <row r="329" spans="1:44" s="83" customFormat="1" hidden="1" outlineLevel="1">
      <c r="A329" s="526"/>
      <c r="B329" s="565" t="s">
        <v>531</v>
      </c>
      <c r="C329" s="528">
        <f t="shared" ref="C329:C340" si="387">SUM(D329:G329)</f>
        <v>30.36</v>
      </c>
      <c r="D329" s="563">
        <v>0</v>
      </c>
      <c r="E329" s="563">
        <v>0</v>
      </c>
      <c r="F329" s="563">
        <v>0</v>
      </c>
      <c r="G329" s="563">
        <v>30.36</v>
      </c>
      <c r="H329" s="563">
        <f t="shared" si="380"/>
        <v>0</v>
      </c>
      <c r="I329" s="563">
        <f t="shared" si="381"/>
        <v>0</v>
      </c>
      <c r="J329" s="563"/>
      <c r="K329" s="563"/>
      <c r="L329" s="563">
        <f t="shared" si="382"/>
        <v>0</v>
      </c>
      <c r="M329" s="563"/>
      <c r="N329" s="563"/>
      <c r="O329" s="563">
        <f>R329+U329</f>
        <v>30.36</v>
      </c>
      <c r="P329" s="543">
        <f t="shared" si="334"/>
        <v>0</v>
      </c>
      <c r="Q329" s="543">
        <f t="shared" si="335"/>
        <v>30.36</v>
      </c>
      <c r="R329" s="563">
        <f>S329+T329</f>
        <v>0</v>
      </c>
      <c r="S329" s="563"/>
      <c r="T329" s="563"/>
      <c r="U329" s="563">
        <f>V329+W329</f>
        <v>30.36</v>
      </c>
      <c r="V329" s="563"/>
      <c r="W329" s="563">
        <v>30.36</v>
      </c>
      <c r="X329" s="563">
        <f>Y329+AB329+AE329+AH329</f>
        <v>0</v>
      </c>
      <c r="Y329" s="563">
        <f>Z329+AA329</f>
        <v>0</v>
      </c>
      <c r="Z329" s="563"/>
      <c r="AA329" s="563"/>
      <c r="AB329" s="563">
        <f>AC329+AD329</f>
        <v>0</v>
      </c>
      <c r="AC329" s="563"/>
      <c r="AD329" s="563"/>
      <c r="AE329" s="523">
        <f>AF329+AG329</f>
        <v>0</v>
      </c>
      <c r="AF329" s="523"/>
      <c r="AG329" s="523"/>
      <c r="AH329" s="523">
        <f>AI329+AJ329</f>
        <v>0</v>
      </c>
      <c r="AI329" s="563"/>
      <c r="AJ329" s="563"/>
      <c r="AK329" s="563">
        <f t="shared" ref="AK329:AK338" si="388">SUM(AL329:AO329)</f>
        <v>0</v>
      </c>
      <c r="AL329" s="563">
        <f t="shared" si="383"/>
        <v>0</v>
      </c>
      <c r="AM329" s="563">
        <f t="shared" si="383"/>
        <v>0</v>
      </c>
      <c r="AN329" s="563">
        <f t="shared" si="379"/>
        <v>0</v>
      </c>
      <c r="AO329" s="563">
        <f t="shared" si="379"/>
        <v>0</v>
      </c>
      <c r="AP329" s="563"/>
      <c r="AQ329" s="564"/>
      <c r="AR329" s="564"/>
    </row>
    <row r="330" spans="1:44" s="83" customFormat="1" ht="31.2" hidden="1" outlineLevel="1">
      <c r="A330" s="541" t="s">
        <v>2172</v>
      </c>
      <c r="B330" s="560" t="s">
        <v>2173</v>
      </c>
      <c r="C330" s="561">
        <f t="shared" ref="C330:AR330" si="389">SUM(C331:C334)</f>
        <v>6.2</v>
      </c>
      <c r="D330" s="561">
        <f t="shared" si="389"/>
        <v>0</v>
      </c>
      <c r="E330" s="561">
        <f t="shared" si="389"/>
        <v>0</v>
      </c>
      <c r="F330" s="561">
        <f t="shared" si="389"/>
        <v>0</v>
      </c>
      <c r="G330" s="561">
        <f t="shared" si="389"/>
        <v>6.2</v>
      </c>
      <c r="H330" s="561">
        <f t="shared" si="389"/>
        <v>1155.8900000000001</v>
      </c>
      <c r="I330" s="561">
        <f t="shared" si="389"/>
        <v>1068</v>
      </c>
      <c r="J330" s="561">
        <f t="shared" si="389"/>
        <v>0</v>
      </c>
      <c r="K330" s="561">
        <f t="shared" si="389"/>
        <v>1068</v>
      </c>
      <c r="L330" s="561">
        <f t="shared" si="389"/>
        <v>87.89</v>
      </c>
      <c r="M330" s="561">
        <f t="shared" si="389"/>
        <v>0</v>
      </c>
      <c r="N330" s="561">
        <f t="shared" si="389"/>
        <v>87.89</v>
      </c>
      <c r="O330" s="561">
        <f t="shared" si="389"/>
        <v>8.34</v>
      </c>
      <c r="P330" s="543">
        <f t="shared" si="334"/>
        <v>0</v>
      </c>
      <c r="Q330" s="543">
        <f t="shared" si="335"/>
        <v>8.34</v>
      </c>
      <c r="R330" s="561">
        <f t="shared" si="389"/>
        <v>0</v>
      </c>
      <c r="S330" s="561">
        <f t="shared" si="389"/>
        <v>0</v>
      </c>
      <c r="T330" s="561">
        <f t="shared" si="389"/>
        <v>0</v>
      </c>
      <c r="U330" s="561">
        <f t="shared" si="389"/>
        <v>8.34</v>
      </c>
      <c r="V330" s="561">
        <f t="shared" si="389"/>
        <v>0</v>
      </c>
      <c r="W330" s="561">
        <f t="shared" si="389"/>
        <v>8.34</v>
      </c>
      <c r="X330" s="561">
        <f t="shared" si="389"/>
        <v>13.2</v>
      </c>
      <c r="Y330" s="561">
        <f t="shared" si="389"/>
        <v>0</v>
      </c>
      <c r="Z330" s="561">
        <f t="shared" si="389"/>
        <v>0</v>
      </c>
      <c r="AA330" s="561">
        <f t="shared" si="389"/>
        <v>0</v>
      </c>
      <c r="AB330" s="561">
        <f t="shared" si="389"/>
        <v>13.2</v>
      </c>
      <c r="AC330" s="561">
        <f t="shared" si="389"/>
        <v>0</v>
      </c>
      <c r="AD330" s="561">
        <f t="shared" si="389"/>
        <v>13.2</v>
      </c>
      <c r="AE330" s="561">
        <f t="shared" si="389"/>
        <v>0</v>
      </c>
      <c r="AF330" s="561">
        <f t="shared" si="389"/>
        <v>0</v>
      </c>
      <c r="AG330" s="561">
        <f t="shared" si="389"/>
        <v>0</v>
      </c>
      <c r="AH330" s="561">
        <f t="shared" si="389"/>
        <v>0</v>
      </c>
      <c r="AI330" s="561">
        <f t="shared" si="389"/>
        <v>0</v>
      </c>
      <c r="AJ330" s="561">
        <f t="shared" si="389"/>
        <v>0</v>
      </c>
      <c r="AK330" s="561">
        <f t="shared" si="389"/>
        <v>1140.55</v>
      </c>
      <c r="AL330" s="561">
        <f t="shared" si="389"/>
        <v>0</v>
      </c>
      <c r="AM330" s="561">
        <f t="shared" si="389"/>
        <v>1068</v>
      </c>
      <c r="AN330" s="561">
        <f t="shared" si="389"/>
        <v>0</v>
      </c>
      <c r="AO330" s="561">
        <f t="shared" si="389"/>
        <v>72.55</v>
      </c>
      <c r="AP330" s="561"/>
      <c r="AQ330" s="562">
        <f t="shared" si="389"/>
        <v>1068</v>
      </c>
      <c r="AR330" s="562">
        <f t="shared" si="389"/>
        <v>0</v>
      </c>
    </row>
    <row r="331" spans="1:44" s="83" customFormat="1" hidden="1" outlineLevel="1">
      <c r="A331" s="526"/>
      <c r="B331" s="522" t="s">
        <v>522</v>
      </c>
      <c r="C331" s="528">
        <f t="shared" si="387"/>
        <v>0</v>
      </c>
      <c r="D331" s="563">
        <v>0</v>
      </c>
      <c r="E331" s="563">
        <v>0</v>
      </c>
      <c r="F331" s="563">
        <v>0</v>
      </c>
      <c r="G331" s="563">
        <v>0</v>
      </c>
      <c r="H331" s="563">
        <f>I331+L331</f>
        <v>0</v>
      </c>
      <c r="I331" s="563">
        <f>J331+K331</f>
        <v>0</v>
      </c>
      <c r="J331" s="563"/>
      <c r="K331" s="563"/>
      <c r="L331" s="563">
        <f>M331+N331</f>
        <v>0</v>
      </c>
      <c r="M331" s="563"/>
      <c r="N331" s="563"/>
      <c r="O331" s="563">
        <f>R331+U331</f>
        <v>0</v>
      </c>
      <c r="P331" s="543">
        <f t="shared" si="334"/>
        <v>0</v>
      </c>
      <c r="Q331" s="543">
        <f t="shared" si="335"/>
        <v>0</v>
      </c>
      <c r="R331" s="563">
        <f>S331+T331</f>
        <v>0</v>
      </c>
      <c r="S331" s="563"/>
      <c r="T331" s="563"/>
      <c r="U331" s="563"/>
      <c r="V331" s="563"/>
      <c r="W331" s="563"/>
      <c r="X331" s="563">
        <f>Y331+AB331+AE331+AH331</f>
        <v>0</v>
      </c>
      <c r="Y331" s="563">
        <f>Z331+AA331</f>
        <v>0</v>
      </c>
      <c r="Z331" s="563"/>
      <c r="AA331" s="563"/>
      <c r="AB331" s="563">
        <f>AC331+AD331</f>
        <v>0</v>
      </c>
      <c r="AC331" s="563"/>
      <c r="AD331" s="563"/>
      <c r="AE331" s="523">
        <f>AF331+AG331</f>
        <v>0</v>
      </c>
      <c r="AF331" s="523"/>
      <c r="AG331" s="523"/>
      <c r="AH331" s="523">
        <f>AI331+AJ331</f>
        <v>0</v>
      </c>
      <c r="AI331" s="563"/>
      <c r="AJ331" s="563"/>
      <c r="AK331" s="563">
        <f t="shared" si="388"/>
        <v>0</v>
      </c>
      <c r="AL331" s="563">
        <f t="shared" si="383"/>
        <v>0</v>
      </c>
      <c r="AM331" s="563">
        <f t="shared" si="383"/>
        <v>0</v>
      </c>
      <c r="AN331" s="563">
        <f t="shared" si="379"/>
        <v>0</v>
      </c>
      <c r="AO331" s="563">
        <f t="shared" si="379"/>
        <v>0</v>
      </c>
      <c r="AP331" s="563"/>
      <c r="AQ331" s="564"/>
      <c r="AR331" s="564"/>
    </row>
    <row r="332" spans="1:44" s="83" customFormat="1" hidden="1" outlineLevel="1">
      <c r="A332" s="526"/>
      <c r="B332" s="522" t="s">
        <v>2174</v>
      </c>
      <c r="C332" s="528">
        <f t="shared" si="387"/>
        <v>0</v>
      </c>
      <c r="D332" s="563">
        <v>0</v>
      </c>
      <c r="E332" s="563">
        <v>0</v>
      </c>
      <c r="F332" s="563">
        <v>0</v>
      </c>
      <c r="G332" s="563">
        <v>0</v>
      </c>
      <c r="H332" s="523">
        <f>I332+L332</f>
        <v>1068</v>
      </c>
      <c r="I332" s="523">
        <f>J332+K332</f>
        <v>1068</v>
      </c>
      <c r="J332" s="563"/>
      <c r="K332" s="563">
        <v>1068</v>
      </c>
      <c r="L332" s="563"/>
      <c r="M332" s="563"/>
      <c r="N332" s="563"/>
      <c r="O332" s="563">
        <f>R332+U332</f>
        <v>0</v>
      </c>
      <c r="P332" s="543">
        <f t="shared" si="334"/>
        <v>0</v>
      </c>
      <c r="Q332" s="543">
        <f t="shared" si="335"/>
        <v>0</v>
      </c>
      <c r="R332" s="563">
        <f>S332+T332</f>
        <v>0</v>
      </c>
      <c r="S332" s="563"/>
      <c r="T332" s="563"/>
      <c r="U332" s="563"/>
      <c r="V332" s="563"/>
      <c r="W332" s="563"/>
      <c r="X332" s="563"/>
      <c r="Y332" s="563"/>
      <c r="Z332" s="563"/>
      <c r="AA332" s="563"/>
      <c r="AB332" s="563"/>
      <c r="AC332" s="563"/>
      <c r="AD332" s="563"/>
      <c r="AE332" s="523"/>
      <c r="AF332" s="523"/>
      <c r="AG332" s="523"/>
      <c r="AH332" s="523"/>
      <c r="AI332" s="563"/>
      <c r="AJ332" s="563"/>
      <c r="AK332" s="563">
        <f t="shared" si="388"/>
        <v>1068</v>
      </c>
      <c r="AL332" s="563">
        <f t="shared" si="383"/>
        <v>0</v>
      </c>
      <c r="AM332" s="563">
        <f t="shared" si="383"/>
        <v>1068</v>
      </c>
      <c r="AN332" s="563">
        <f t="shared" si="379"/>
        <v>0</v>
      </c>
      <c r="AO332" s="563">
        <f t="shared" si="379"/>
        <v>0</v>
      </c>
      <c r="AP332" s="563"/>
      <c r="AQ332" s="564">
        <v>1068</v>
      </c>
      <c r="AR332" s="564"/>
    </row>
    <row r="333" spans="1:44" s="83" customFormat="1" hidden="1" outlineLevel="1">
      <c r="A333" s="526"/>
      <c r="B333" s="522" t="s">
        <v>531</v>
      </c>
      <c r="C333" s="528">
        <f t="shared" si="387"/>
        <v>6.2</v>
      </c>
      <c r="D333" s="563">
        <v>0</v>
      </c>
      <c r="E333" s="563">
        <v>0</v>
      </c>
      <c r="F333" s="563">
        <v>0</v>
      </c>
      <c r="G333" s="563">
        <v>6.2</v>
      </c>
      <c r="H333" s="523">
        <f>I333+L333</f>
        <v>7</v>
      </c>
      <c r="I333" s="523">
        <f>J333+K333</f>
        <v>0</v>
      </c>
      <c r="J333" s="563"/>
      <c r="K333" s="563"/>
      <c r="L333" s="563">
        <f>M333+N333</f>
        <v>7</v>
      </c>
      <c r="M333" s="563"/>
      <c r="N333" s="563">
        <v>7</v>
      </c>
      <c r="O333" s="563"/>
      <c r="P333" s="543">
        <f t="shared" si="334"/>
        <v>0</v>
      </c>
      <c r="Q333" s="543">
        <f t="shared" si="335"/>
        <v>0</v>
      </c>
      <c r="R333" s="563"/>
      <c r="S333" s="563"/>
      <c r="T333" s="563"/>
      <c r="U333" s="563"/>
      <c r="V333" s="563"/>
      <c r="W333" s="563"/>
      <c r="X333" s="523">
        <f t="shared" ref="X333" si="390">Y333+AB333+AE333+AH333</f>
        <v>13.2</v>
      </c>
      <c r="Y333" s="523">
        <f t="shared" ref="Y333" si="391">Z333+AA333</f>
        <v>0</v>
      </c>
      <c r="Z333" s="523"/>
      <c r="AA333" s="523"/>
      <c r="AB333" s="523">
        <f t="shared" ref="AB333" si="392">AC333+AD333</f>
        <v>13.2</v>
      </c>
      <c r="AC333" s="563"/>
      <c r="AD333" s="563">
        <v>13.2</v>
      </c>
      <c r="AE333" s="523"/>
      <c r="AF333" s="523"/>
      <c r="AG333" s="523"/>
      <c r="AH333" s="523"/>
      <c r="AI333" s="563"/>
      <c r="AJ333" s="563"/>
      <c r="AK333" s="563">
        <f t="shared" si="388"/>
        <v>0</v>
      </c>
      <c r="AL333" s="563">
        <f t="shared" si="383"/>
        <v>0</v>
      </c>
      <c r="AM333" s="563">
        <f t="shared" si="383"/>
        <v>0</v>
      </c>
      <c r="AN333" s="563">
        <f t="shared" si="379"/>
        <v>0</v>
      </c>
      <c r="AO333" s="563">
        <f t="shared" si="379"/>
        <v>0</v>
      </c>
      <c r="AP333" s="563"/>
      <c r="AQ333" s="564"/>
      <c r="AR333" s="564"/>
    </row>
    <row r="334" spans="1:44" s="83" customFormat="1" hidden="1" outlineLevel="1">
      <c r="A334" s="526"/>
      <c r="B334" s="522" t="s">
        <v>388</v>
      </c>
      <c r="C334" s="528">
        <f t="shared" si="387"/>
        <v>0</v>
      </c>
      <c r="D334" s="563">
        <v>0</v>
      </c>
      <c r="E334" s="563">
        <v>0</v>
      </c>
      <c r="F334" s="563">
        <v>0</v>
      </c>
      <c r="G334" s="563">
        <f>709.89-G336</f>
        <v>0</v>
      </c>
      <c r="H334" s="523">
        <f>I334+L334</f>
        <v>80.89</v>
      </c>
      <c r="I334" s="523">
        <f>J334+K334</f>
        <v>0</v>
      </c>
      <c r="J334" s="563"/>
      <c r="K334" s="563"/>
      <c r="L334" s="563">
        <f t="shared" ref="L334" si="393">M334+N334</f>
        <v>80.89</v>
      </c>
      <c r="M334" s="563"/>
      <c r="N334" s="563">
        <f>105-24.11</f>
        <v>80.89</v>
      </c>
      <c r="O334" s="523">
        <f t="shared" ref="O334" si="394">R334+U334</f>
        <v>8.34</v>
      </c>
      <c r="P334" s="543">
        <f t="shared" si="334"/>
        <v>0</v>
      </c>
      <c r="Q334" s="543">
        <f t="shared" si="335"/>
        <v>8.34</v>
      </c>
      <c r="R334" s="523"/>
      <c r="S334" s="523"/>
      <c r="T334" s="523"/>
      <c r="U334" s="523">
        <f t="shared" ref="U334" si="395">V334+W334</f>
        <v>8.34</v>
      </c>
      <c r="V334" s="563"/>
      <c r="W334" s="563">
        <v>8.34</v>
      </c>
      <c r="X334" s="563">
        <f>Y334+AB334+AE334+AH334</f>
        <v>0</v>
      </c>
      <c r="Y334" s="563"/>
      <c r="Z334" s="563"/>
      <c r="AA334" s="563"/>
      <c r="AB334" s="563"/>
      <c r="AC334" s="563"/>
      <c r="AD334" s="563"/>
      <c r="AE334" s="523">
        <f>AF334+AG334</f>
        <v>0</v>
      </c>
      <c r="AF334" s="523"/>
      <c r="AG334" s="523"/>
      <c r="AH334" s="523">
        <f>AI334+AJ334</f>
        <v>0</v>
      </c>
      <c r="AI334" s="563"/>
      <c r="AJ334" s="563"/>
      <c r="AK334" s="523">
        <f t="shared" ref="AK334" si="396">SUM(AL334:AO334)</f>
        <v>72.55</v>
      </c>
      <c r="AL334" s="523">
        <f t="shared" si="383"/>
        <v>0</v>
      </c>
      <c r="AM334" s="523">
        <f t="shared" si="383"/>
        <v>0</v>
      </c>
      <c r="AN334" s="523">
        <f t="shared" si="379"/>
        <v>0</v>
      </c>
      <c r="AO334" s="523">
        <f t="shared" si="379"/>
        <v>72.55</v>
      </c>
      <c r="AP334" s="523"/>
      <c r="AQ334" s="524"/>
      <c r="AR334" s="524"/>
    </row>
    <row r="335" spans="1:44" s="83" customFormat="1" ht="31.2" hidden="1" outlineLevel="1">
      <c r="A335" s="526" t="s">
        <v>2175</v>
      </c>
      <c r="B335" s="522" t="s">
        <v>2176</v>
      </c>
      <c r="C335" s="563">
        <f t="shared" ref="C335:F335" si="397">SUM(C336:C337)</f>
        <v>709.89</v>
      </c>
      <c r="D335" s="563">
        <f t="shared" si="397"/>
        <v>0</v>
      </c>
      <c r="E335" s="563">
        <f t="shared" si="397"/>
        <v>0</v>
      </c>
      <c r="F335" s="563">
        <f t="shared" si="397"/>
        <v>0</v>
      </c>
      <c r="G335" s="563">
        <f>SUM(G336:G337)</f>
        <v>709.89</v>
      </c>
      <c r="H335" s="563">
        <f t="shared" ref="H335:AO335" si="398">SUM(H336:H337)</f>
        <v>24.11</v>
      </c>
      <c r="I335" s="563">
        <f t="shared" si="398"/>
        <v>0</v>
      </c>
      <c r="J335" s="563">
        <f t="shared" si="398"/>
        <v>0</v>
      </c>
      <c r="K335" s="563">
        <f t="shared" si="398"/>
        <v>0</v>
      </c>
      <c r="L335" s="563">
        <f t="shared" si="398"/>
        <v>24.11</v>
      </c>
      <c r="M335" s="563">
        <f t="shared" si="398"/>
        <v>0</v>
      </c>
      <c r="N335" s="563">
        <f t="shared" si="398"/>
        <v>24.11</v>
      </c>
      <c r="O335" s="563">
        <f t="shared" si="398"/>
        <v>734</v>
      </c>
      <c r="P335" s="543">
        <f t="shared" ref="P335:P398" si="399">S335+V335</f>
        <v>0</v>
      </c>
      <c r="Q335" s="543">
        <f t="shared" ref="Q335:Q398" si="400">T335+W335</f>
        <v>734</v>
      </c>
      <c r="R335" s="563">
        <f t="shared" si="398"/>
        <v>0</v>
      </c>
      <c r="S335" s="563">
        <f t="shared" si="398"/>
        <v>0</v>
      </c>
      <c r="T335" s="563">
        <f t="shared" si="398"/>
        <v>0</v>
      </c>
      <c r="U335" s="563">
        <f t="shared" si="398"/>
        <v>734</v>
      </c>
      <c r="V335" s="563">
        <f t="shared" si="398"/>
        <v>0</v>
      </c>
      <c r="W335" s="563">
        <f t="shared" si="398"/>
        <v>734</v>
      </c>
      <c r="X335" s="563">
        <f t="shared" si="398"/>
        <v>0</v>
      </c>
      <c r="Y335" s="563">
        <f t="shared" si="398"/>
        <v>0</v>
      </c>
      <c r="Z335" s="563">
        <f t="shared" si="398"/>
        <v>0</v>
      </c>
      <c r="AA335" s="563">
        <f t="shared" si="398"/>
        <v>0</v>
      </c>
      <c r="AB335" s="563">
        <f t="shared" si="398"/>
        <v>0</v>
      </c>
      <c r="AC335" s="563">
        <f t="shared" si="398"/>
        <v>0</v>
      </c>
      <c r="AD335" s="563">
        <f t="shared" si="398"/>
        <v>0</v>
      </c>
      <c r="AE335" s="563">
        <f t="shared" si="398"/>
        <v>0</v>
      </c>
      <c r="AF335" s="563">
        <f t="shared" si="398"/>
        <v>0</v>
      </c>
      <c r="AG335" s="563">
        <f t="shared" si="398"/>
        <v>0</v>
      </c>
      <c r="AH335" s="563">
        <f t="shared" si="398"/>
        <v>0</v>
      </c>
      <c r="AI335" s="563">
        <f t="shared" si="398"/>
        <v>0</v>
      </c>
      <c r="AJ335" s="563">
        <f t="shared" si="398"/>
        <v>0</v>
      </c>
      <c r="AK335" s="563">
        <f t="shared" si="398"/>
        <v>0</v>
      </c>
      <c r="AL335" s="563">
        <f t="shared" si="398"/>
        <v>0</v>
      </c>
      <c r="AM335" s="563">
        <f t="shared" si="398"/>
        <v>0</v>
      </c>
      <c r="AN335" s="563">
        <f t="shared" si="398"/>
        <v>0</v>
      </c>
      <c r="AO335" s="563">
        <f t="shared" si="398"/>
        <v>0</v>
      </c>
      <c r="AP335" s="563"/>
      <c r="AQ335" s="564"/>
      <c r="AR335" s="564"/>
    </row>
    <row r="336" spans="1:44" s="83" customFormat="1" hidden="1" outlineLevel="1">
      <c r="A336" s="526"/>
      <c r="B336" s="522" t="s">
        <v>535</v>
      </c>
      <c r="C336" s="528">
        <f t="shared" si="387"/>
        <v>709.89</v>
      </c>
      <c r="D336" s="563"/>
      <c r="E336" s="563"/>
      <c r="F336" s="563"/>
      <c r="G336" s="563">
        <v>709.89</v>
      </c>
      <c r="H336" s="523">
        <f>I336+L336</f>
        <v>24.11</v>
      </c>
      <c r="I336" s="523">
        <f>J336+K336</f>
        <v>0</v>
      </c>
      <c r="J336" s="563"/>
      <c r="K336" s="563"/>
      <c r="L336" s="563">
        <f t="shared" ref="L336" si="401">M336+N336</f>
        <v>24.11</v>
      </c>
      <c r="M336" s="563"/>
      <c r="N336" s="563">
        <v>24.11</v>
      </c>
      <c r="O336" s="523">
        <f t="shared" ref="O336" si="402">R336+U336</f>
        <v>734</v>
      </c>
      <c r="P336" s="543">
        <f t="shared" si="399"/>
        <v>0</v>
      </c>
      <c r="Q336" s="543">
        <f t="shared" si="400"/>
        <v>734</v>
      </c>
      <c r="R336" s="523"/>
      <c r="S336" s="523"/>
      <c r="T336" s="523"/>
      <c r="U336" s="523">
        <f t="shared" ref="U336" si="403">V336+W336</f>
        <v>734</v>
      </c>
      <c r="V336" s="563"/>
      <c r="W336" s="563">
        <f>H336+G336</f>
        <v>734</v>
      </c>
      <c r="X336" s="563"/>
      <c r="Y336" s="563"/>
      <c r="Z336" s="563"/>
      <c r="AA336" s="563"/>
      <c r="AB336" s="563"/>
      <c r="AC336" s="563"/>
      <c r="AD336" s="563"/>
      <c r="AE336" s="523"/>
      <c r="AF336" s="523"/>
      <c r="AG336" s="523"/>
      <c r="AH336" s="523"/>
      <c r="AI336" s="563"/>
      <c r="AJ336" s="563"/>
      <c r="AK336" s="523">
        <f t="shared" ref="AK336" si="404">SUM(AL336:AO336)</f>
        <v>0</v>
      </c>
      <c r="AL336" s="523">
        <f t="shared" ref="AL336:AM336" si="405">D336+J336-S336-Z336-AF336</f>
        <v>0</v>
      </c>
      <c r="AM336" s="523">
        <f t="shared" si="405"/>
        <v>0</v>
      </c>
      <c r="AN336" s="523">
        <f t="shared" ref="AN336:AO336" si="406">F336+M336-V336-AC336-AI336</f>
        <v>0</v>
      </c>
      <c r="AO336" s="523">
        <f t="shared" si="406"/>
        <v>0</v>
      </c>
      <c r="AP336" s="523"/>
      <c r="AQ336" s="524"/>
      <c r="AR336" s="524"/>
    </row>
    <row r="337" spans="1:45" s="83" customFormat="1" hidden="1" outlineLevel="1">
      <c r="A337" s="526"/>
      <c r="B337" s="522" t="s">
        <v>531</v>
      </c>
      <c r="C337" s="528">
        <f t="shared" si="387"/>
        <v>0</v>
      </c>
      <c r="D337" s="563"/>
      <c r="E337" s="563"/>
      <c r="F337" s="563"/>
      <c r="G337" s="563"/>
      <c r="H337" s="523"/>
      <c r="I337" s="523"/>
      <c r="J337" s="563"/>
      <c r="K337" s="563"/>
      <c r="L337" s="563"/>
      <c r="M337" s="563"/>
      <c r="N337" s="563"/>
      <c r="O337" s="563"/>
      <c r="P337" s="543">
        <f t="shared" si="399"/>
        <v>0</v>
      </c>
      <c r="Q337" s="543">
        <f t="shared" si="400"/>
        <v>0</v>
      </c>
      <c r="R337" s="563"/>
      <c r="S337" s="563"/>
      <c r="T337" s="563"/>
      <c r="U337" s="563"/>
      <c r="V337" s="563"/>
      <c r="W337" s="563"/>
      <c r="X337" s="563"/>
      <c r="Y337" s="563"/>
      <c r="Z337" s="563"/>
      <c r="AA337" s="563"/>
      <c r="AB337" s="563"/>
      <c r="AC337" s="563"/>
      <c r="AD337" s="563"/>
      <c r="AE337" s="523"/>
      <c r="AF337" s="523"/>
      <c r="AG337" s="523"/>
      <c r="AH337" s="523"/>
      <c r="AI337" s="563"/>
      <c r="AJ337" s="563"/>
      <c r="AK337" s="563"/>
      <c r="AL337" s="563"/>
      <c r="AM337" s="563"/>
      <c r="AN337" s="563"/>
      <c r="AO337" s="563"/>
      <c r="AP337" s="563"/>
      <c r="AQ337" s="564"/>
      <c r="AR337" s="564"/>
    </row>
    <row r="338" spans="1:45" s="83" customFormat="1" hidden="1" outlineLevel="1">
      <c r="A338" s="526" t="s">
        <v>2177</v>
      </c>
      <c r="B338" s="522" t="s">
        <v>478</v>
      </c>
      <c r="C338" s="528">
        <f t="shared" si="387"/>
        <v>4988</v>
      </c>
      <c r="D338" s="563">
        <v>0</v>
      </c>
      <c r="E338" s="563">
        <v>4988</v>
      </c>
      <c r="F338" s="563">
        <v>0</v>
      </c>
      <c r="G338" s="563">
        <v>0</v>
      </c>
      <c r="H338" s="523">
        <f>I338+L338</f>
        <v>0</v>
      </c>
      <c r="I338" s="523">
        <f>J338+K338</f>
        <v>0</v>
      </c>
      <c r="J338" s="563"/>
      <c r="K338" s="563"/>
      <c r="L338" s="563"/>
      <c r="M338" s="563"/>
      <c r="N338" s="563"/>
      <c r="O338" s="563"/>
      <c r="P338" s="543">
        <f t="shared" si="399"/>
        <v>0</v>
      </c>
      <c r="Q338" s="543">
        <f t="shared" si="400"/>
        <v>0</v>
      </c>
      <c r="R338" s="563"/>
      <c r="S338" s="563"/>
      <c r="T338" s="563"/>
      <c r="U338" s="563"/>
      <c r="V338" s="563"/>
      <c r="W338" s="563"/>
      <c r="X338" s="563"/>
      <c r="Y338" s="563"/>
      <c r="Z338" s="563"/>
      <c r="AA338" s="563"/>
      <c r="AB338" s="563"/>
      <c r="AC338" s="563"/>
      <c r="AD338" s="563"/>
      <c r="AE338" s="523"/>
      <c r="AF338" s="523"/>
      <c r="AG338" s="523"/>
      <c r="AH338" s="523"/>
      <c r="AI338" s="563"/>
      <c r="AJ338" s="563"/>
      <c r="AK338" s="563">
        <f t="shared" si="388"/>
        <v>4988</v>
      </c>
      <c r="AL338" s="563">
        <f t="shared" si="383"/>
        <v>0</v>
      </c>
      <c r="AM338" s="563">
        <f t="shared" si="383"/>
        <v>4988</v>
      </c>
      <c r="AN338" s="563">
        <f t="shared" si="379"/>
        <v>0</v>
      </c>
      <c r="AO338" s="563">
        <f t="shared" si="379"/>
        <v>0</v>
      </c>
      <c r="AP338" s="563"/>
      <c r="AQ338" s="564">
        <v>4988</v>
      </c>
      <c r="AR338" s="564"/>
    </row>
    <row r="339" spans="1:45" s="83" customFormat="1" ht="31.2" hidden="1" outlineLevel="1">
      <c r="A339" s="521">
        <v>4</v>
      </c>
      <c r="B339" s="522" t="s">
        <v>515</v>
      </c>
      <c r="C339" s="528">
        <f t="shared" si="387"/>
        <v>924</v>
      </c>
      <c r="D339" s="523">
        <v>0</v>
      </c>
      <c r="E339" s="523">
        <v>924</v>
      </c>
      <c r="F339" s="523">
        <v>0</v>
      </c>
      <c r="G339" s="523">
        <v>0</v>
      </c>
      <c r="H339" s="523">
        <f>SUM(H340:H341)</f>
        <v>1500</v>
      </c>
      <c r="I339" s="523">
        <f t="shared" ref="I339:AO339" si="407">SUM(I340:I341)</f>
        <v>1500</v>
      </c>
      <c r="J339" s="523">
        <f t="shared" si="407"/>
        <v>0</v>
      </c>
      <c r="K339" s="523">
        <f t="shared" si="407"/>
        <v>1500</v>
      </c>
      <c r="L339" s="523">
        <f t="shared" si="407"/>
        <v>0</v>
      </c>
      <c r="M339" s="523">
        <f t="shared" si="407"/>
        <v>0</v>
      </c>
      <c r="N339" s="523">
        <f t="shared" si="407"/>
        <v>0</v>
      </c>
      <c r="O339" s="523">
        <f t="shared" si="407"/>
        <v>2058</v>
      </c>
      <c r="P339" s="543">
        <f t="shared" si="399"/>
        <v>0</v>
      </c>
      <c r="Q339" s="543">
        <f t="shared" si="400"/>
        <v>2058</v>
      </c>
      <c r="R339" s="523">
        <f t="shared" si="407"/>
        <v>2058</v>
      </c>
      <c r="S339" s="523">
        <f t="shared" si="407"/>
        <v>0</v>
      </c>
      <c r="T339" s="523">
        <f t="shared" si="407"/>
        <v>2058</v>
      </c>
      <c r="U339" s="523">
        <f t="shared" si="407"/>
        <v>0</v>
      </c>
      <c r="V339" s="523">
        <f t="shared" si="407"/>
        <v>0</v>
      </c>
      <c r="W339" s="523">
        <f t="shared" si="407"/>
        <v>0</v>
      </c>
      <c r="X339" s="523">
        <f t="shared" si="407"/>
        <v>366</v>
      </c>
      <c r="Y339" s="523">
        <f t="shared" si="407"/>
        <v>366</v>
      </c>
      <c r="Z339" s="523">
        <f t="shared" si="407"/>
        <v>0</v>
      </c>
      <c r="AA339" s="523">
        <f t="shared" si="407"/>
        <v>366</v>
      </c>
      <c r="AB339" s="523">
        <f t="shared" si="407"/>
        <v>0</v>
      </c>
      <c r="AC339" s="523">
        <f t="shared" si="407"/>
        <v>0</v>
      </c>
      <c r="AD339" s="523">
        <f t="shared" si="407"/>
        <v>0</v>
      </c>
      <c r="AE339" s="523">
        <f t="shared" si="407"/>
        <v>0</v>
      </c>
      <c r="AF339" s="523">
        <f t="shared" si="407"/>
        <v>0</v>
      </c>
      <c r="AG339" s="523">
        <f t="shared" si="407"/>
        <v>0</v>
      </c>
      <c r="AH339" s="523">
        <f t="shared" si="407"/>
        <v>0</v>
      </c>
      <c r="AI339" s="523">
        <f t="shared" si="407"/>
        <v>0</v>
      </c>
      <c r="AJ339" s="523">
        <f t="shared" si="407"/>
        <v>0</v>
      </c>
      <c r="AK339" s="523">
        <f t="shared" si="407"/>
        <v>0</v>
      </c>
      <c r="AL339" s="523">
        <f t="shared" si="407"/>
        <v>0</v>
      </c>
      <c r="AM339" s="523">
        <f t="shared" si="407"/>
        <v>0</v>
      </c>
      <c r="AN339" s="523">
        <f t="shared" si="407"/>
        <v>0</v>
      </c>
      <c r="AO339" s="523">
        <f t="shared" si="407"/>
        <v>0</v>
      </c>
      <c r="AP339" s="523"/>
      <c r="AQ339" s="524"/>
      <c r="AR339" s="524"/>
    </row>
    <row r="340" spans="1:45" s="83" customFormat="1" hidden="1" outlineLevel="1">
      <c r="A340" s="521"/>
      <c r="B340" s="522" t="s">
        <v>516</v>
      </c>
      <c r="C340" s="528">
        <f t="shared" si="387"/>
        <v>924</v>
      </c>
      <c r="D340" s="523">
        <v>0</v>
      </c>
      <c r="E340" s="523">
        <v>924</v>
      </c>
      <c r="F340" s="523">
        <v>0</v>
      </c>
      <c r="G340" s="523">
        <v>0</v>
      </c>
      <c r="H340" s="523">
        <f>I340+L340</f>
        <v>1134</v>
      </c>
      <c r="I340" s="523">
        <f>J340+K340</f>
        <v>1134</v>
      </c>
      <c r="J340" s="523"/>
      <c r="K340" s="523">
        <f>1037+97</f>
        <v>1134</v>
      </c>
      <c r="L340" s="523"/>
      <c r="M340" s="523"/>
      <c r="N340" s="523"/>
      <c r="O340" s="523">
        <f>R340+U340</f>
        <v>2058</v>
      </c>
      <c r="P340" s="543">
        <f t="shared" si="399"/>
        <v>0</v>
      </c>
      <c r="Q340" s="543">
        <f t="shared" si="400"/>
        <v>2058</v>
      </c>
      <c r="R340" s="523">
        <f>S340+T340</f>
        <v>2058</v>
      </c>
      <c r="S340" s="523"/>
      <c r="T340" s="523">
        <v>2058</v>
      </c>
      <c r="U340" s="523"/>
      <c r="V340" s="523"/>
      <c r="W340" s="523"/>
      <c r="X340" s="523">
        <f>Y340+AB340+AE340+AH340</f>
        <v>0</v>
      </c>
      <c r="Y340" s="523"/>
      <c r="Z340" s="523"/>
      <c r="AA340" s="523"/>
      <c r="AB340" s="523"/>
      <c r="AC340" s="523"/>
      <c r="AD340" s="523"/>
      <c r="AE340" s="523">
        <f>AF340+AG340</f>
        <v>0</v>
      </c>
      <c r="AF340" s="523"/>
      <c r="AG340" s="523"/>
      <c r="AH340" s="523">
        <f>AI340+AJ340</f>
        <v>0</v>
      </c>
      <c r="AI340" s="523"/>
      <c r="AJ340" s="523"/>
      <c r="AK340" s="563">
        <f t="shared" ref="AK340" si="408">SUM(AL340:AO340)</f>
        <v>0</v>
      </c>
      <c r="AL340" s="563">
        <f t="shared" ref="AL340:AM341" si="409">D340+J340-S340-Z340-AF340</f>
        <v>0</v>
      </c>
      <c r="AM340" s="563">
        <f t="shared" si="409"/>
        <v>0</v>
      </c>
      <c r="AN340" s="563">
        <f t="shared" ref="AN340:AO341" si="410">F340+M340-V340-AC340-AI340</f>
        <v>0</v>
      </c>
      <c r="AO340" s="563">
        <f t="shared" si="410"/>
        <v>0</v>
      </c>
      <c r="AP340" s="563"/>
      <c r="AQ340" s="564"/>
      <c r="AR340" s="564"/>
    </row>
    <row r="341" spans="1:45" s="83" customFormat="1" hidden="1" outlineLevel="1">
      <c r="A341" s="521"/>
      <c r="B341" s="522" t="s">
        <v>2167</v>
      </c>
      <c r="C341" s="528"/>
      <c r="D341" s="523"/>
      <c r="E341" s="523"/>
      <c r="F341" s="523"/>
      <c r="G341" s="523"/>
      <c r="H341" s="523">
        <f>I341+L341</f>
        <v>366</v>
      </c>
      <c r="I341" s="523">
        <f>J341+K341</f>
        <v>366</v>
      </c>
      <c r="J341" s="523"/>
      <c r="K341" s="523">
        <f>463-97</f>
        <v>366</v>
      </c>
      <c r="L341" s="523"/>
      <c r="M341" s="523"/>
      <c r="N341" s="523"/>
      <c r="O341" s="523"/>
      <c r="P341" s="543">
        <f t="shared" si="399"/>
        <v>0</v>
      </c>
      <c r="Q341" s="543">
        <f t="shared" si="400"/>
        <v>0</v>
      </c>
      <c r="R341" s="523"/>
      <c r="S341" s="523"/>
      <c r="T341" s="523"/>
      <c r="U341" s="523"/>
      <c r="V341" s="523"/>
      <c r="W341" s="523"/>
      <c r="X341" s="523">
        <f t="shared" ref="X341" si="411">Y341+AB341+AE341+AH341</f>
        <v>366</v>
      </c>
      <c r="Y341" s="523">
        <f t="shared" ref="Y341" si="412">Z341+AA341</f>
        <v>366</v>
      </c>
      <c r="Z341" s="523"/>
      <c r="AA341" s="523">
        <v>366</v>
      </c>
      <c r="AB341" s="523">
        <f t="shared" ref="AB341" si="413">AC341+AD341</f>
        <v>0</v>
      </c>
      <c r="AC341" s="523"/>
      <c r="AD341" s="523"/>
      <c r="AE341" s="523"/>
      <c r="AF341" s="523"/>
      <c r="AG341" s="523"/>
      <c r="AH341" s="523"/>
      <c r="AI341" s="523"/>
      <c r="AJ341" s="523"/>
      <c r="AK341" s="563">
        <f t="shared" ref="AK341" si="414">SUM(AL341:AO341)</f>
        <v>0</v>
      </c>
      <c r="AL341" s="563">
        <f t="shared" si="409"/>
        <v>0</v>
      </c>
      <c r="AM341" s="563">
        <f t="shared" si="409"/>
        <v>0</v>
      </c>
      <c r="AN341" s="563">
        <f t="shared" si="410"/>
        <v>0</v>
      </c>
      <c r="AO341" s="563">
        <f t="shared" si="410"/>
        <v>0</v>
      </c>
      <c r="AP341" s="563"/>
      <c r="AQ341" s="564"/>
      <c r="AR341" s="564"/>
    </row>
    <row r="342" spans="1:45" s="83" customFormat="1" ht="41.4" hidden="1" outlineLevel="1">
      <c r="A342" s="521">
        <v>5</v>
      </c>
      <c r="B342" s="522" t="s">
        <v>2178</v>
      </c>
      <c r="C342" s="528">
        <f t="shared" ref="C342:C357" si="415">SUM(D342:G342)</f>
        <v>17019.3</v>
      </c>
      <c r="D342" s="523">
        <v>0</v>
      </c>
      <c r="E342" s="523">
        <f>SUM(E343:E353)</f>
        <v>15114.3</v>
      </c>
      <c r="F342" s="523">
        <f t="shared" ref="F342:O342" si="416">SUM(F343:F353)</f>
        <v>0</v>
      </c>
      <c r="G342" s="523">
        <f t="shared" si="416"/>
        <v>1905</v>
      </c>
      <c r="H342" s="523">
        <f t="shared" si="416"/>
        <v>7122</v>
      </c>
      <c r="I342" s="523">
        <f t="shared" si="416"/>
        <v>7122</v>
      </c>
      <c r="J342" s="523">
        <f t="shared" si="416"/>
        <v>0</v>
      </c>
      <c r="K342" s="523">
        <f t="shared" si="416"/>
        <v>7122</v>
      </c>
      <c r="L342" s="523">
        <f t="shared" si="416"/>
        <v>0</v>
      </c>
      <c r="M342" s="523">
        <f t="shared" si="416"/>
        <v>0</v>
      </c>
      <c r="N342" s="523">
        <f t="shared" si="416"/>
        <v>0</v>
      </c>
      <c r="O342" s="523">
        <f t="shared" si="416"/>
        <v>2300.75</v>
      </c>
      <c r="P342" s="543">
        <f t="shared" si="399"/>
        <v>0</v>
      </c>
      <c r="Q342" s="543">
        <f t="shared" si="400"/>
        <v>2300.75</v>
      </c>
      <c r="R342" s="523">
        <f t="shared" ref="R342:AR342" si="417">SUM(R343:R353)</f>
        <v>2098</v>
      </c>
      <c r="S342" s="523">
        <f t="shared" si="417"/>
        <v>0</v>
      </c>
      <c r="T342" s="523">
        <f t="shared" si="417"/>
        <v>2098</v>
      </c>
      <c r="U342" s="523">
        <f t="shared" si="417"/>
        <v>202.75</v>
      </c>
      <c r="V342" s="523">
        <f t="shared" si="417"/>
        <v>0</v>
      </c>
      <c r="W342" s="523">
        <f t="shared" si="417"/>
        <v>202.75</v>
      </c>
      <c r="X342" s="523">
        <f t="shared" si="417"/>
        <v>17019.3</v>
      </c>
      <c r="Y342" s="523">
        <f t="shared" si="417"/>
        <v>17019.3</v>
      </c>
      <c r="Z342" s="523">
        <f t="shared" si="417"/>
        <v>0</v>
      </c>
      <c r="AA342" s="523">
        <f t="shared" si="417"/>
        <v>17019.3</v>
      </c>
      <c r="AB342" s="523">
        <f t="shared" si="417"/>
        <v>0</v>
      </c>
      <c r="AC342" s="523">
        <f t="shared" si="417"/>
        <v>0</v>
      </c>
      <c r="AD342" s="523">
        <f t="shared" si="417"/>
        <v>0</v>
      </c>
      <c r="AE342" s="523">
        <f t="shared" si="417"/>
        <v>0</v>
      </c>
      <c r="AF342" s="523">
        <f t="shared" si="417"/>
        <v>0</v>
      </c>
      <c r="AG342" s="523">
        <f t="shared" si="417"/>
        <v>0</v>
      </c>
      <c r="AH342" s="523">
        <f t="shared" si="417"/>
        <v>0</v>
      </c>
      <c r="AI342" s="523">
        <f t="shared" si="417"/>
        <v>0</v>
      </c>
      <c r="AJ342" s="523">
        <f t="shared" si="417"/>
        <v>0</v>
      </c>
      <c r="AK342" s="523">
        <f t="shared" si="417"/>
        <v>4821.25</v>
      </c>
      <c r="AL342" s="523">
        <f t="shared" si="417"/>
        <v>0</v>
      </c>
      <c r="AM342" s="523">
        <f t="shared" si="417"/>
        <v>3119</v>
      </c>
      <c r="AN342" s="523">
        <f t="shared" si="417"/>
        <v>0</v>
      </c>
      <c r="AO342" s="523">
        <f t="shared" si="417"/>
        <v>1702.2500000000002</v>
      </c>
      <c r="AP342" s="523"/>
      <c r="AQ342" s="524">
        <f t="shared" si="417"/>
        <v>3119</v>
      </c>
      <c r="AR342" s="524">
        <f t="shared" si="417"/>
        <v>0</v>
      </c>
      <c r="AS342" s="83" t="s">
        <v>2179</v>
      </c>
    </row>
    <row r="343" spans="1:45" s="83" customFormat="1" hidden="1" outlineLevel="1">
      <c r="A343" s="521"/>
      <c r="B343" s="522" t="s">
        <v>473</v>
      </c>
      <c r="C343" s="528">
        <f>SUM(D343:G343)</f>
        <v>2569</v>
      </c>
      <c r="D343" s="523">
        <v>0</v>
      </c>
      <c r="E343" s="523">
        <v>2569</v>
      </c>
      <c r="F343" s="523">
        <v>0</v>
      </c>
      <c r="G343" s="523"/>
      <c r="H343" s="523">
        <f>I343+L343</f>
        <v>7122</v>
      </c>
      <c r="I343" s="523">
        <f>J343+K343</f>
        <v>7122</v>
      </c>
      <c r="J343" s="523"/>
      <c r="K343" s="523">
        <v>7122</v>
      </c>
      <c r="L343" s="523"/>
      <c r="M343" s="523"/>
      <c r="N343" s="523"/>
      <c r="O343" s="523">
        <f t="shared" ref="O343:O353" si="418">R343+U343</f>
        <v>2098</v>
      </c>
      <c r="P343" s="543">
        <f t="shared" si="399"/>
        <v>0</v>
      </c>
      <c r="Q343" s="543">
        <f t="shared" si="400"/>
        <v>2098</v>
      </c>
      <c r="R343" s="523">
        <f>S343+T343</f>
        <v>2098</v>
      </c>
      <c r="S343" s="523"/>
      <c r="T343" s="523">
        <v>2098</v>
      </c>
      <c r="U343" s="523">
        <f t="shared" ref="U343:U353" si="419">V343+W343</f>
        <v>0</v>
      </c>
      <c r="V343" s="523"/>
      <c r="W343" s="523"/>
      <c r="X343" s="523">
        <f>Y343+AB343</f>
        <v>5134</v>
      </c>
      <c r="Y343" s="523">
        <f>Z343+AA343</f>
        <v>5134</v>
      </c>
      <c r="Z343" s="523"/>
      <c r="AA343" s="523">
        <v>5134</v>
      </c>
      <c r="AB343" s="523"/>
      <c r="AC343" s="523"/>
      <c r="AD343" s="523"/>
      <c r="AE343" s="523"/>
      <c r="AF343" s="523"/>
      <c r="AG343" s="523"/>
      <c r="AH343" s="523"/>
      <c r="AI343" s="523"/>
      <c r="AJ343" s="523"/>
      <c r="AK343" s="523">
        <f>SUM(AL343:AO343)</f>
        <v>2459</v>
      </c>
      <c r="AL343" s="523">
        <f>D343+J343-S343-Z343-AF343</f>
        <v>0</v>
      </c>
      <c r="AM343" s="523">
        <f>E343+K343-T343-AA343-AG343</f>
        <v>2459</v>
      </c>
      <c r="AN343" s="523">
        <f>F343+M343-V343-AC343-AI343</f>
        <v>0</v>
      </c>
      <c r="AO343" s="523">
        <f>G343+N343-W343-AD343-AJ343</f>
        <v>0</v>
      </c>
      <c r="AP343" s="523"/>
      <c r="AQ343" s="524">
        <v>2459</v>
      </c>
      <c r="AR343" s="524"/>
    </row>
    <row r="344" spans="1:45" s="83" customFormat="1" hidden="1" outlineLevel="1">
      <c r="A344" s="521"/>
      <c r="B344" s="522" t="s">
        <v>188</v>
      </c>
      <c r="C344" s="528">
        <f t="shared" ref="C344:C352" si="420">SUM(D344:G344)</f>
        <v>216</v>
      </c>
      <c r="D344" s="523"/>
      <c r="E344" s="523"/>
      <c r="F344" s="523"/>
      <c r="G344" s="523">
        <v>216</v>
      </c>
      <c r="H344" s="523"/>
      <c r="I344" s="523"/>
      <c r="J344" s="523"/>
      <c r="K344" s="523"/>
      <c r="L344" s="523"/>
      <c r="M344" s="523"/>
      <c r="N344" s="523"/>
      <c r="O344" s="523">
        <f t="shared" si="418"/>
        <v>48.6</v>
      </c>
      <c r="P344" s="543">
        <f t="shared" si="399"/>
        <v>0</v>
      </c>
      <c r="Q344" s="543">
        <f t="shared" si="400"/>
        <v>48.6</v>
      </c>
      <c r="R344" s="523"/>
      <c r="S344" s="523"/>
      <c r="T344" s="523"/>
      <c r="U344" s="523">
        <f t="shared" si="419"/>
        <v>48.6</v>
      </c>
      <c r="V344" s="523"/>
      <c r="W344" s="523">
        <v>48.6</v>
      </c>
      <c r="X344" s="523"/>
      <c r="Y344" s="523"/>
      <c r="Z344" s="523"/>
      <c r="AA344" s="523"/>
      <c r="AB344" s="523"/>
      <c r="AC344" s="523"/>
      <c r="AD344" s="523"/>
      <c r="AE344" s="523"/>
      <c r="AF344" s="523"/>
      <c r="AG344" s="523"/>
      <c r="AH344" s="523"/>
      <c r="AI344" s="523"/>
      <c r="AJ344" s="523"/>
      <c r="AK344" s="523">
        <f t="shared" ref="AK344:AK352" si="421">SUM(AL344:AO344)</f>
        <v>167.4</v>
      </c>
      <c r="AL344" s="523">
        <f t="shared" ref="AL344:AM352" si="422">D344+J344-S344-Z344-AF344</f>
        <v>0</v>
      </c>
      <c r="AM344" s="523">
        <f t="shared" si="422"/>
        <v>0</v>
      </c>
      <c r="AN344" s="523">
        <f t="shared" ref="AN344:AO352" si="423">F344+M344-V344-AC344-AI344</f>
        <v>0</v>
      </c>
      <c r="AO344" s="523">
        <f t="shared" si="423"/>
        <v>167.4</v>
      </c>
      <c r="AP344" s="523"/>
      <c r="AQ344" s="524"/>
      <c r="AR344" s="524"/>
    </row>
    <row r="345" spans="1:45" s="83" customFormat="1" hidden="1" outlineLevel="1">
      <c r="A345" s="521"/>
      <c r="B345" s="522" t="s">
        <v>2180</v>
      </c>
      <c r="C345" s="528">
        <f t="shared" si="420"/>
        <v>180</v>
      </c>
      <c r="D345" s="523"/>
      <c r="E345" s="523"/>
      <c r="F345" s="523"/>
      <c r="G345" s="523">
        <v>180</v>
      </c>
      <c r="H345" s="523"/>
      <c r="I345" s="523"/>
      <c r="J345" s="523"/>
      <c r="K345" s="523"/>
      <c r="L345" s="523"/>
      <c r="M345" s="523"/>
      <c r="N345" s="523"/>
      <c r="O345" s="523">
        <f t="shared" si="418"/>
        <v>0</v>
      </c>
      <c r="P345" s="543">
        <f t="shared" si="399"/>
        <v>0</v>
      </c>
      <c r="Q345" s="543">
        <f t="shared" si="400"/>
        <v>0</v>
      </c>
      <c r="R345" s="523"/>
      <c r="S345" s="523"/>
      <c r="T345" s="523"/>
      <c r="U345" s="523">
        <f t="shared" si="419"/>
        <v>0</v>
      </c>
      <c r="V345" s="523"/>
      <c r="W345" s="523"/>
      <c r="X345" s="523"/>
      <c r="Y345" s="523"/>
      <c r="Z345" s="523"/>
      <c r="AA345" s="523"/>
      <c r="AB345" s="523"/>
      <c r="AC345" s="523"/>
      <c r="AD345" s="523"/>
      <c r="AE345" s="523"/>
      <c r="AF345" s="523"/>
      <c r="AG345" s="523"/>
      <c r="AH345" s="523"/>
      <c r="AI345" s="523"/>
      <c r="AJ345" s="523"/>
      <c r="AK345" s="523">
        <f t="shared" si="421"/>
        <v>180</v>
      </c>
      <c r="AL345" s="523">
        <f t="shared" si="422"/>
        <v>0</v>
      </c>
      <c r="AM345" s="523">
        <f t="shared" si="422"/>
        <v>0</v>
      </c>
      <c r="AN345" s="523">
        <f t="shared" si="423"/>
        <v>0</v>
      </c>
      <c r="AO345" s="523">
        <f t="shared" si="423"/>
        <v>180</v>
      </c>
      <c r="AP345" s="523"/>
      <c r="AQ345" s="524"/>
      <c r="AR345" s="524"/>
    </row>
    <row r="346" spans="1:45" s="83" customFormat="1" hidden="1" outlineLevel="1">
      <c r="A346" s="521"/>
      <c r="B346" s="522" t="s">
        <v>197</v>
      </c>
      <c r="C346" s="528">
        <f t="shared" si="420"/>
        <v>0</v>
      </c>
      <c r="D346" s="523"/>
      <c r="E346" s="523"/>
      <c r="F346" s="523"/>
      <c r="G346" s="523">
        <f>190-190</f>
        <v>0</v>
      </c>
      <c r="H346" s="523"/>
      <c r="I346" s="523"/>
      <c r="J346" s="523"/>
      <c r="K346" s="523"/>
      <c r="L346" s="523"/>
      <c r="M346" s="523"/>
      <c r="N346" s="523"/>
      <c r="O346" s="523">
        <f t="shared" si="418"/>
        <v>0</v>
      </c>
      <c r="P346" s="543">
        <f t="shared" si="399"/>
        <v>0</v>
      </c>
      <c r="Q346" s="543">
        <f t="shared" si="400"/>
        <v>0</v>
      </c>
      <c r="R346" s="523"/>
      <c r="S346" s="523"/>
      <c r="T346" s="523"/>
      <c r="U346" s="523">
        <f t="shared" si="419"/>
        <v>0</v>
      </c>
      <c r="V346" s="523"/>
      <c r="W346" s="523"/>
      <c r="X346" s="523"/>
      <c r="Y346" s="523"/>
      <c r="Z346" s="523"/>
      <c r="AA346" s="523"/>
      <c r="AB346" s="523"/>
      <c r="AC346" s="523"/>
      <c r="AD346" s="523"/>
      <c r="AE346" s="523"/>
      <c r="AF346" s="523"/>
      <c r="AG346" s="523"/>
      <c r="AH346" s="523"/>
      <c r="AI346" s="523"/>
      <c r="AJ346" s="523"/>
      <c r="AK346" s="523">
        <f t="shared" si="421"/>
        <v>0</v>
      </c>
      <c r="AL346" s="523">
        <f t="shared" si="422"/>
        <v>0</v>
      </c>
      <c r="AM346" s="523">
        <f t="shared" si="422"/>
        <v>0</v>
      </c>
      <c r="AN346" s="523">
        <f t="shared" si="423"/>
        <v>0</v>
      </c>
      <c r="AO346" s="523">
        <f t="shared" si="423"/>
        <v>0</v>
      </c>
      <c r="AP346" s="523"/>
      <c r="AQ346" s="524"/>
      <c r="AR346" s="524"/>
    </row>
    <row r="347" spans="1:45" s="83" customFormat="1" hidden="1" outlineLevel="1">
      <c r="A347" s="521"/>
      <c r="B347" s="522" t="s">
        <v>198</v>
      </c>
      <c r="C347" s="528">
        <f t="shared" si="420"/>
        <v>270</v>
      </c>
      <c r="D347" s="523"/>
      <c r="E347" s="523"/>
      <c r="F347" s="523"/>
      <c r="G347" s="523">
        <v>270</v>
      </c>
      <c r="H347" s="523"/>
      <c r="I347" s="523"/>
      <c r="J347" s="523"/>
      <c r="K347" s="523"/>
      <c r="L347" s="523"/>
      <c r="M347" s="523"/>
      <c r="N347" s="523"/>
      <c r="O347" s="523">
        <f t="shared" si="418"/>
        <v>0</v>
      </c>
      <c r="P347" s="543">
        <f t="shared" si="399"/>
        <v>0</v>
      </c>
      <c r="Q347" s="543">
        <f t="shared" si="400"/>
        <v>0</v>
      </c>
      <c r="R347" s="523"/>
      <c r="S347" s="523"/>
      <c r="T347" s="523"/>
      <c r="U347" s="523">
        <f t="shared" si="419"/>
        <v>0</v>
      </c>
      <c r="V347" s="523"/>
      <c r="W347" s="523"/>
      <c r="X347" s="523"/>
      <c r="Y347" s="523"/>
      <c r="Z347" s="523"/>
      <c r="AA347" s="523"/>
      <c r="AB347" s="523"/>
      <c r="AC347" s="523"/>
      <c r="AD347" s="523"/>
      <c r="AE347" s="523"/>
      <c r="AF347" s="523"/>
      <c r="AG347" s="523"/>
      <c r="AH347" s="523"/>
      <c r="AI347" s="523"/>
      <c r="AJ347" s="523"/>
      <c r="AK347" s="523">
        <f t="shared" si="421"/>
        <v>270</v>
      </c>
      <c r="AL347" s="523">
        <f t="shared" si="422"/>
        <v>0</v>
      </c>
      <c r="AM347" s="523">
        <f t="shared" si="422"/>
        <v>0</v>
      </c>
      <c r="AN347" s="523">
        <f t="shared" si="423"/>
        <v>0</v>
      </c>
      <c r="AO347" s="523">
        <f t="shared" si="423"/>
        <v>270</v>
      </c>
      <c r="AP347" s="523"/>
      <c r="AQ347" s="524"/>
      <c r="AR347" s="524"/>
    </row>
    <row r="348" spans="1:45" s="83" customFormat="1" hidden="1" outlineLevel="1">
      <c r="A348" s="521"/>
      <c r="B348" s="522" t="s">
        <v>194</v>
      </c>
      <c r="C348" s="528">
        <f t="shared" si="420"/>
        <v>905</v>
      </c>
      <c r="D348" s="523"/>
      <c r="E348" s="523"/>
      <c r="F348" s="523"/>
      <c r="G348" s="523">
        <v>905</v>
      </c>
      <c r="H348" s="523"/>
      <c r="I348" s="523"/>
      <c r="J348" s="523"/>
      <c r="K348" s="523"/>
      <c r="L348" s="523"/>
      <c r="M348" s="523"/>
      <c r="N348" s="523"/>
      <c r="O348" s="523">
        <f t="shared" si="418"/>
        <v>0</v>
      </c>
      <c r="P348" s="543">
        <f t="shared" si="399"/>
        <v>0</v>
      </c>
      <c r="Q348" s="543">
        <f t="shared" si="400"/>
        <v>0</v>
      </c>
      <c r="R348" s="523"/>
      <c r="S348" s="523"/>
      <c r="T348" s="523"/>
      <c r="U348" s="523">
        <f t="shared" si="419"/>
        <v>0</v>
      </c>
      <c r="V348" s="523"/>
      <c r="W348" s="523"/>
      <c r="X348" s="523"/>
      <c r="Y348" s="523"/>
      <c r="Z348" s="523"/>
      <c r="AA348" s="523"/>
      <c r="AB348" s="523"/>
      <c r="AC348" s="523"/>
      <c r="AD348" s="523"/>
      <c r="AE348" s="523"/>
      <c r="AF348" s="523"/>
      <c r="AG348" s="523"/>
      <c r="AH348" s="523"/>
      <c r="AI348" s="523"/>
      <c r="AJ348" s="523"/>
      <c r="AK348" s="523">
        <f t="shared" si="421"/>
        <v>905</v>
      </c>
      <c r="AL348" s="523">
        <f t="shared" si="422"/>
        <v>0</v>
      </c>
      <c r="AM348" s="523">
        <f t="shared" si="422"/>
        <v>0</v>
      </c>
      <c r="AN348" s="523">
        <f t="shared" si="423"/>
        <v>0</v>
      </c>
      <c r="AO348" s="523">
        <f t="shared" si="423"/>
        <v>905</v>
      </c>
      <c r="AP348" s="523"/>
      <c r="AQ348" s="524"/>
      <c r="AR348" s="524"/>
    </row>
    <row r="349" spans="1:45" s="83" customFormat="1" hidden="1" outlineLevel="1">
      <c r="A349" s="521"/>
      <c r="B349" s="522" t="s">
        <v>388</v>
      </c>
      <c r="C349" s="528">
        <f t="shared" si="420"/>
        <v>0</v>
      </c>
      <c r="D349" s="523"/>
      <c r="E349" s="523"/>
      <c r="F349" s="523"/>
      <c r="G349" s="523">
        <f>360-360</f>
        <v>0</v>
      </c>
      <c r="H349" s="523"/>
      <c r="I349" s="523"/>
      <c r="J349" s="523"/>
      <c r="K349" s="523"/>
      <c r="L349" s="523"/>
      <c r="M349" s="523"/>
      <c r="N349" s="523"/>
      <c r="O349" s="523">
        <f t="shared" si="418"/>
        <v>0</v>
      </c>
      <c r="P349" s="543">
        <f t="shared" si="399"/>
        <v>0</v>
      </c>
      <c r="Q349" s="543">
        <f t="shared" si="400"/>
        <v>0</v>
      </c>
      <c r="R349" s="523"/>
      <c r="S349" s="523"/>
      <c r="T349" s="523"/>
      <c r="U349" s="523">
        <f t="shared" si="419"/>
        <v>0</v>
      </c>
      <c r="V349" s="523"/>
      <c r="W349" s="523"/>
      <c r="X349" s="523"/>
      <c r="Y349" s="523"/>
      <c r="Z349" s="523"/>
      <c r="AA349" s="523"/>
      <c r="AB349" s="523"/>
      <c r="AC349" s="523"/>
      <c r="AD349" s="523"/>
      <c r="AE349" s="523"/>
      <c r="AF349" s="523"/>
      <c r="AG349" s="523"/>
      <c r="AH349" s="523"/>
      <c r="AI349" s="523"/>
      <c r="AJ349" s="523"/>
      <c r="AK349" s="523">
        <f t="shared" si="421"/>
        <v>0</v>
      </c>
      <c r="AL349" s="523">
        <f t="shared" si="422"/>
        <v>0</v>
      </c>
      <c r="AM349" s="523">
        <f t="shared" si="422"/>
        <v>0</v>
      </c>
      <c r="AN349" s="523">
        <f t="shared" si="423"/>
        <v>0</v>
      </c>
      <c r="AO349" s="523">
        <f t="shared" si="423"/>
        <v>0</v>
      </c>
      <c r="AP349" s="523"/>
      <c r="AQ349" s="524"/>
      <c r="AR349" s="524"/>
    </row>
    <row r="350" spans="1:45" s="83" customFormat="1" hidden="1" outlineLevel="1">
      <c r="A350" s="521"/>
      <c r="B350" s="522" t="s">
        <v>199</v>
      </c>
      <c r="C350" s="528">
        <f t="shared" si="420"/>
        <v>0</v>
      </c>
      <c r="D350" s="523"/>
      <c r="E350" s="523"/>
      <c r="F350" s="523"/>
      <c r="G350" s="523">
        <f>110-110</f>
        <v>0</v>
      </c>
      <c r="H350" s="523"/>
      <c r="I350" s="523"/>
      <c r="J350" s="523"/>
      <c r="K350" s="523"/>
      <c r="L350" s="523"/>
      <c r="M350" s="523"/>
      <c r="N350" s="523"/>
      <c r="O350" s="523">
        <f t="shared" si="418"/>
        <v>0</v>
      </c>
      <c r="P350" s="543">
        <f t="shared" si="399"/>
        <v>0</v>
      </c>
      <c r="Q350" s="543">
        <f t="shared" si="400"/>
        <v>0</v>
      </c>
      <c r="R350" s="523"/>
      <c r="S350" s="523"/>
      <c r="T350" s="523"/>
      <c r="U350" s="523">
        <f t="shared" si="419"/>
        <v>0</v>
      </c>
      <c r="V350" s="523"/>
      <c r="W350" s="523"/>
      <c r="X350" s="523"/>
      <c r="Y350" s="523"/>
      <c r="Z350" s="523"/>
      <c r="AA350" s="523"/>
      <c r="AB350" s="523"/>
      <c r="AC350" s="523"/>
      <c r="AD350" s="523"/>
      <c r="AE350" s="523"/>
      <c r="AF350" s="523"/>
      <c r="AG350" s="523"/>
      <c r="AH350" s="523"/>
      <c r="AI350" s="523"/>
      <c r="AJ350" s="523"/>
      <c r="AK350" s="523">
        <f t="shared" si="421"/>
        <v>0</v>
      </c>
      <c r="AL350" s="523">
        <f t="shared" si="422"/>
        <v>0</v>
      </c>
      <c r="AM350" s="523">
        <f t="shared" si="422"/>
        <v>0</v>
      </c>
      <c r="AN350" s="523">
        <f t="shared" si="423"/>
        <v>0</v>
      </c>
      <c r="AO350" s="523">
        <f t="shared" si="423"/>
        <v>0</v>
      </c>
      <c r="AP350" s="523"/>
      <c r="AQ350" s="524"/>
      <c r="AR350" s="524"/>
    </row>
    <row r="351" spans="1:45" s="83" customFormat="1" hidden="1" outlineLevel="1">
      <c r="A351" s="521"/>
      <c r="B351" s="522" t="s">
        <v>196</v>
      </c>
      <c r="C351" s="528">
        <f t="shared" si="420"/>
        <v>37</v>
      </c>
      <c r="D351" s="523"/>
      <c r="E351" s="523"/>
      <c r="F351" s="523"/>
      <c r="G351" s="523">
        <v>37</v>
      </c>
      <c r="H351" s="523"/>
      <c r="I351" s="523"/>
      <c r="J351" s="523"/>
      <c r="K351" s="523"/>
      <c r="L351" s="523"/>
      <c r="M351" s="523"/>
      <c r="N351" s="523"/>
      <c r="O351" s="523">
        <f t="shared" si="418"/>
        <v>19.8</v>
      </c>
      <c r="P351" s="543">
        <f t="shared" si="399"/>
        <v>0</v>
      </c>
      <c r="Q351" s="543">
        <f t="shared" si="400"/>
        <v>19.8</v>
      </c>
      <c r="R351" s="523"/>
      <c r="S351" s="523"/>
      <c r="T351" s="523"/>
      <c r="U351" s="523">
        <f t="shared" si="419"/>
        <v>19.8</v>
      </c>
      <c r="V351" s="523"/>
      <c r="W351" s="523">
        <v>19.8</v>
      </c>
      <c r="X351" s="523"/>
      <c r="Y351" s="523"/>
      <c r="Z351" s="523"/>
      <c r="AA351" s="523"/>
      <c r="AB351" s="523"/>
      <c r="AC351" s="523"/>
      <c r="AD351" s="523"/>
      <c r="AE351" s="523"/>
      <c r="AF351" s="523"/>
      <c r="AG351" s="523"/>
      <c r="AH351" s="523"/>
      <c r="AI351" s="523"/>
      <c r="AJ351" s="523"/>
      <c r="AK351" s="523">
        <f t="shared" si="421"/>
        <v>17.2</v>
      </c>
      <c r="AL351" s="523">
        <f t="shared" si="422"/>
        <v>0</v>
      </c>
      <c r="AM351" s="523">
        <f t="shared" si="422"/>
        <v>0</v>
      </c>
      <c r="AN351" s="523">
        <f t="shared" si="423"/>
        <v>0</v>
      </c>
      <c r="AO351" s="523">
        <f t="shared" si="423"/>
        <v>17.2</v>
      </c>
      <c r="AP351" s="523"/>
      <c r="AQ351" s="524"/>
      <c r="AR351" s="524"/>
    </row>
    <row r="352" spans="1:45" s="83" customFormat="1" hidden="1" outlineLevel="1">
      <c r="A352" s="521"/>
      <c r="B352" s="522" t="s">
        <v>193</v>
      </c>
      <c r="C352" s="528">
        <f t="shared" si="420"/>
        <v>297</v>
      </c>
      <c r="D352" s="523"/>
      <c r="E352" s="523"/>
      <c r="F352" s="523"/>
      <c r="G352" s="523">
        <v>297</v>
      </c>
      <c r="H352" s="523"/>
      <c r="I352" s="523"/>
      <c r="J352" s="523"/>
      <c r="K352" s="523"/>
      <c r="L352" s="523"/>
      <c r="M352" s="523"/>
      <c r="N352" s="523"/>
      <c r="O352" s="523">
        <f t="shared" si="418"/>
        <v>134.35</v>
      </c>
      <c r="P352" s="543">
        <f t="shared" si="399"/>
        <v>0</v>
      </c>
      <c r="Q352" s="543">
        <f t="shared" si="400"/>
        <v>134.35</v>
      </c>
      <c r="R352" s="523"/>
      <c r="S352" s="523"/>
      <c r="T352" s="523"/>
      <c r="U352" s="523">
        <f t="shared" si="419"/>
        <v>134.35</v>
      </c>
      <c r="V352" s="523"/>
      <c r="W352" s="523">
        <v>134.35</v>
      </c>
      <c r="X352" s="523"/>
      <c r="Y352" s="523"/>
      <c r="Z352" s="523"/>
      <c r="AA352" s="523"/>
      <c r="AB352" s="523"/>
      <c r="AC352" s="523"/>
      <c r="AD352" s="523"/>
      <c r="AE352" s="523"/>
      <c r="AF352" s="523"/>
      <c r="AG352" s="523"/>
      <c r="AH352" s="523"/>
      <c r="AI352" s="523"/>
      <c r="AJ352" s="523"/>
      <c r="AK352" s="523">
        <f t="shared" si="421"/>
        <v>162.65</v>
      </c>
      <c r="AL352" s="523">
        <f t="shared" si="422"/>
        <v>0</v>
      </c>
      <c r="AM352" s="523">
        <f t="shared" si="422"/>
        <v>0</v>
      </c>
      <c r="AN352" s="523">
        <f t="shared" si="423"/>
        <v>0</v>
      </c>
      <c r="AO352" s="523">
        <f t="shared" si="423"/>
        <v>162.65</v>
      </c>
      <c r="AP352" s="523"/>
      <c r="AQ352" s="524"/>
      <c r="AR352" s="524"/>
    </row>
    <row r="353" spans="1:45" s="83" customFormat="1" hidden="1" outlineLevel="1">
      <c r="A353" s="521"/>
      <c r="B353" s="522" t="s">
        <v>398</v>
      </c>
      <c r="C353" s="528">
        <f t="shared" si="415"/>
        <v>12545.3</v>
      </c>
      <c r="D353" s="523">
        <v>0</v>
      </c>
      <c r="E353" s="523">
        <f>17019.3-5134+110+190+360</f>
        <v>12545.3</v>
      </c>
      <c r="F353" s="523">
        <v>0</v>
      </c>
      <c r="G353" s="523">
        <v>0</v>
      </c>
      <c r="H353" s="523">
        <f>I353+L353</f>
        <v>0</v>
      </c>
      <c r="I353" s="523">
        <f>J353+K353</f>
        <v>0</v>
      </c>
      <c r="J353" s="523"/>
      <c r="K353" s="523"/>
      <c r="L353" s="523"/>
      <c r="M353" s="523"/>
      <c r="N353" s="523"/>
      <c r="O353" s="523">
        <f t="shared" si="418"/>
        <v>0</v>
      </c>
      <c r="P353" s="543">
        <f t="shared" si="399"/>
        <v>0</v>
      </c>
      <c r="Q353" s="543">
        <f t="shared" si="400"/>
        <v>0</v>
      </c>
      <c r="R353" s="523"/>
      <c r="S353" s="523"/>
      <c r="T353" s="523"/>
      <c r="U353" s="523">
        <f t="shared" si="419"/>
        <v>0</v>
      </c>
      <c r="V353" s="523"/>
      <c r="W353" s="523"/>
      <c r="X353" s="523">
        <f>Y353+AB353</f>
        <v>11885.3</v>
      </c>
      <c r="Y353" s="523">
        <f>Z353+AA353</f>
        <v>11885.3</v>
      </c>
      <c r="Z353" s="523"/>
      <c r="AA353" s="523">
        <v>11885.3</v>
      </c>
      <c r="AB353" s="523"/>
      <c r="AC353" s="523"/>
      <c r="AD353" s="523"/>
      <c r="AE353" s="523"/>
      <c r="AF353" s="523"/>
      <c r="AG353" s="523"/>
      <c r="AH353" s="523"/>
      <c r="AI353" s="523"/>
      <c r="AJ353" s="523"/>
      <c r="AK353" s="523">
        <f t="shared" ref="AK353:AK357" si="424">SUM(AL353:AO353)</f>
        <v>660</v>
      </c>
      <c r="AL353" s="523">
        <f>D353+J353-S353-Z353-AF353</f>
        <v>0</v>
      </c>
      <c r="AM353" s="523">
        <f>E353+K353-T353-AA353-AG353</f>
        <v>660</v>
      </c>
      <c r="AN353" s="523">
        <f>F353+M353-V353-AC353-AI353</f>
        <v>0</v>
      </c>
      <c r="AO353" s="523">
        <f>G353+N353-W353-AD353-AJ353</f>
        <v>0</v>
      </c>
      <c r="AP353" s="523"/>
      <c r="AQ353" s="524">
        <v>660</v>
      </c>
      <c r="AR353" s="524"/>
    </row>
    <row r="354" spans="1:45" s="83" customFormat="1" ht="27.6" hidden="1" outlineLevel="1">
      <c r="A354" s="541">
        <v>6</v>
      </c>
      <c r="B354" s="565" t="s">
        <v>481</v>
      </c>
      <c r="C354" s="563">
        <f t="shared" ref="C354:AR354" si="425">SUM(C355:C355)</f>
        <v>385</v>
      </c>
      <c r="D354" s="563">
        <f t="shared" si="425"/>
        <v>0</v>
      </c>
      <c r="E354" s="563">
        <f t="shared" si="425"/>
        <v>385</v>
      </c>
      <c r="F354" s="563">
        <f t="shared" si="425"/>
        <v>0</v>
      </c>
      <c r="G354" s="563">
        <f t="shared" si="425"/>
        <v>0</v>
      </c>
      <c r="H354" s="563">
        <f t="shared" si="425"/>
        <v>28931</v>
      </c>
      <c r="I354" s="563">
        <f t="shared" si="425"/>
        <v>28931</v>
      </c>
      <c r="J354" s="563">
        <f t="shared" si="425"/>
        <v>0</v>
      </c>
      <c r="K354" s="563">
        <f t="shared" si="425"/>
        <v>28931</v>
      </c>
      <c r="L354" s="563">
        <f t="shared" si="425"/>
        <v>0</v>
      </c>
      <c r="M354" s="563">
        <f t="shared" si="425"/>
        <v>0</v>
      </c>
      <c r="N354" s="563">
        <f t="shared" si="425"/>
        <v>0</v>
      </c>
      <c r="O354" s="563">
        <f t="shared" si="425"/>
        <v>28987</v>
      </c>
      <c r="P354" s="543">
        <f t="shared" si="399"/>
        <v>0</v>
      </c>
      <c r="Q354" s="543">
        <f t="shared" si="400"/>
        <v>28987</v>
      </c>
      <c r="R354" s="563">
        <f t="shared" si="425"/>
        <v>28987</v>
      </c>
      <c r="S354" s="563">
        <f t="shared" si="425"/>
        <v>0</v>
      </c>
      <c r="T354" s="563">
        <f t="shared" si="425"/>
        <v>28987</v>
      </c>
      <c r="U354" s="563">
        <f t="shared" si="425"/>
        <v>0</v>
      </c>
      <c r="V354" s="563">
        <f t="shared" si="425"/>
        <v>0</v>
      </c>
      <c r="W354" s="563">
        <f t="shared" si="425"/>
        <v>0</v>
      </c>
      <c r="X354" s="563">
        <f t="shared" si="425"/>
        <v>0</v>
      </c>
      <c r="Y354" s="563">
        <f t="shared" si="425"/>
        <v>0</v>
      </c>
      <c r="Z354" s="563">
        <f t="shared" si="425"/>
        <v>0</v>
      </c>
      <c r="AA354" s="563">
        <f t="shared" si="425"/>
        <v>0</v>
      </c>
      <c r="AB354" s="563">
        <f t="shared" si="425"/>
        <v>0</v>
      </c>
      <c r="AC354" s="563">
        <f t="shared" si="425"/>
        <v>0</v>
      </c>
      <c r="AD354" s="563">
        <f t="shared" si="425"/>
        <v>0</v>
      </c>
      <c r="AE354" s="563">
        <f t="shared" si="425"/>
        <v>0</v>
      </c>
      <c r="AF354" s="563">
        <f t="shared" si="425"/>
        <v>0</v>
      </c>
      <c r="AG354" s="563">
        <f t="shared" si="425"/>
        <v>0</v>
      </c>
      <c r="AH354" s="563">
        <f t="shared" si="425"/>
        <v>0</v>
      </c>
      <c r="AI354" s="563">
        <f t="shared" si="425"/>
        <v>0</v>
      </c>
      <c r="AJ354" s="563">
        <f t="shared" si="425"/>
        <v>0</v>
      </c>
      <c r="AK354" s="563">
        <f t="shared" si="425"/>
        <v>329</v>
      </c>
      <c r="AL354" s="563">
        <f t="shared" si="425"/>
        <v>0</v>
      </c>
      <c r="AM354" s="563">
        <f t="shared" si="425"/>
        <v>329</v>
      </c>
      <c r="AN354" s="563">
        <f t="shared" si="425"/>
        <v>0</v>
      </c>
      <c r="AO354" s="563">
        <f t="shared" si="425"/>
        <v>0</v>
      </c>
      <c r="AP354" s="563"/>
      <c r="AQ354" s="564">
        <f t="shared" si="425"/>
        <v>329</v>
      </c>
      <c r="AR354" s="564">
        <f t="shared" si="425"/>
        <v>0</v>
      </c>
      <c r="AS354" s="83" t="s">
        <v>2181</v>
      </c>
    </row>
    <row r="355" spans="1:45" s="83" customFormat="1" hidden="1" outlineLevel="1">
      <c r="A355" s="526"/>
      <c r="B355" s="560" t="s">
        <v>482</v>
      </c>
      <c r="C355" s="528">
        <f t="shared" si="415"/>
        <v>385</v>
      </c>
      <c r="D355" s="561">
        <v>0</v>
      </c>
      <c r="E355" s="561">
        <v>385</v>
      </c>
      <c r="F355" s="561">
        <v>0</v>
      </c>
      <c r="G355" s="561">
        <v>0</v>
      </c>
      <c r="H355" s="561">
        <f>I355+L355</f>
        <v>28931</v>
      </c>
      <c r="I355" s="561">
        <f>J355+K355</f>
        <v>28931</v>
      </c>
      <c r="J355" s="561"/>
      <c r="K355" s="523">
        <v>28931</v>
      </c>
      <c r="L355" s="561">
        <f>M355+N355</f>
        <v>0</v>
      </c>
      <c r="M355" s="561"/>
      <c r="N355" s="561"/>
      <c r="O355" s="561">
        <f>R355+U355</f>
        <v>28987</v>
      </c>
      <c r="P355" s="543">
        <f t="shared" si="399"/>
        <v>0</v>
      </c>
      <c r="Q355" s="543">
        <f t="shared" si="400"/>
        <v>28987</v>
      </c>
      <c r="R355" s="561">
        <f>S355+T355</f>
        <v>28987</v>
      </c>
      <c r="S355" s="561"/>
      <c r="T355" s="561">
        <f>28602+385</f>
        <v>28987</v>
      </c>
      <c r="U355" s="561"/>
      <c r="V355" s="561"/>
      <c r="W355" s="561"/>
      <c r="X355" s="561">
        <f>Y355+AB355+AE355+AH355</f>
        <v>0</v>
      </c>
      <c r="Y355" s="561">
        <f>Z355+AA355</f>
        <v>0</v>
      </c>
      <c r="Z355" s="561"/>
      <c r="AA355" s="561"/>
      <c r="AB355" s="561">
        <f>AC355+AD355</f>
        <v>0</v>
      </c>
      <c r="AC355" s="561"/>
      <c r="AD355" s="561"/>
      <c r="AE355" s="523">
        <f>AF355+AG355</f>
        <v>0</v>
      </c>
      <c r="AF355" s="523"/>
      <c r="AG355" s="523"/>
      <c r="AH355" s="523">
        <f>AI355+AJ355</f>
        <v>0</v>
      </c>
      <c r="AI355" s="561"/>
      <c r="AJ355" s="561"/>
      <c r="AK355" s="561">
        <f t="shared" si="424"/>
        <v>329</v>
      </c>
      <c r="AL355" s="561">
        <f t="shared" ref="AL355:AM370" si="426">D355+J355-S355-Z355-AF355</f>
        <v>0</v>
      </c>
      <c r="AM355" s="561">
        <f t="shared" si="426"/>
        <v>329</v>
      </c>
      <c r="AN355" s="561">
        <f t="shared" ref="AN355:AO370" si="427">F355+M355-V355-AC355-AI355</f>
        <v>0</v>
      </c>
      <c r="AO355" s="561">
        <f t="shared" si="427"/>
        <v>0</v>
      </c>
      <c r="AP355" s="561"/>
      <c r="AQ355" s="562">
        <v>329</v>
      </c>
      <c r="AR355" s="562"/>
    </row>
    <row r="356" spans="1:45" s="83" customFormat="1" hidden="1" outlineLevel="1">
      <c r="A356" s="541">
        <v>7</v>
      </c>
      <c r="B356" s="565" t="s">
        <v>2182</v>
      </c>
      <c r="C356" s="528">
        <f t="shared" si="415"/>
        <v>0</v>
      </c>
      <c r="D356" s="563">
        <v>0</v>
      </c>
      <c r="E356" s="563"/>
      <c r="F356" s="563">
        <v>0</v>
      </c>
      <c r="G356" s="563">
        <v>0</v>
      </c>
      <c r="H356" s="563">
        <f t="shared" ref="H356:AJ356" si="428">SUM(H357:H357)</f>
        <v>7108</v>
      </c>
      <c r="I356" s="563">
        <f t="shared" si="428"/>
        <v>7108</v>
      </c>
      <c r="J356" s="563">
        <f t="shared" si="428"/>
        <v>0</v>
      </c>
      <c r="K356" s="563">
        <f t="shared" si="428"/>
        <v>7108</v>
      </c>
      <c r="L356" s="563">
        <f t="shared" si="428"/>
        <v>0</v>
      </c>
      <c r="M356" s="563">
        <f t="shared" si="428"/>
        <v>0</v>
      </c>
      <c r="N356" s="563">
        <f t="shared" si="428"/>
        <v>0</v>
      </c>
      <c r="O356" s="563">
        <f t="shared" si="428"/>
        <v>7108</v>
      </c>
      <c r="P356" s="543">
        <f t="shared" si="399"/>
        <v>0</v>
      </c>
      <c r="Q356" s="543">
        <f t="shared" si="400"/>
        <v>7108</v>
      </c>
      <c r="R356" s="563">
        <f t="shared" si="428"/>
        <v>7108</v>
      </c>
      <c r="S356" s="563">
        <f t="shared" si="428"/>
        <v>0</v>
      </c>
      <c r="T356" s="563">
        <f t="shared" si="428"/>
        <v>7108</v>
      </c>
      <c r="U356" s="563">
        <f t="shared" si="428"/>
        <v>0</v>
      </c>
      <c r="V356" s="563">
        <f t="shared" si="428"/>
        <v>0</v>
      </c>
      <c r="W356" s="563">
        <f t="shared" si="428"/>
        <v>0</v>
      </c>
      <c r="X356" s="563">
        <f t="shared" si="428"/>
        <v>0</v>
      </c>
      <c r="Y356" s="563">
        <f t="shared" si="428"/>
        <v>0</v>
      </c>
      <c r="Z356" s="563">
        <f t="shared" si="428"/>
        <v>0</v>
      </c>
      <c r="AA356" s="563">
        <f t="shared" si="428"/>
        <v>0</v>
      </c>
      <c r="AB356" s="563">
        <f t="shared" si="428"/>
        <v>0</v>
      </c>
      <c r="AC356" s="563">
        <f t="shared" si="428"/>
        <v>0</v>
      </c>
      <c r="AD356" s="563">
        <f t="shared" si="428"/>
        <v>0</v>
      </c>
      <c r="AE356" s="563">
        <f t="shared" si="428"/>
        <v>0</v>
      </c>
      <c r="AF356" s="563">
        <f t="shared" si="428"/>
        <v>0</v>
      </c>
      <c r="AG356" s="563">
        <f t="shared" si="428"/>
        <v>0</v>
      </c>
      <c r="AH356" s="563">
        <f t="shared" si="428"/>
        <v>0</v>
      </c>
      <c r="AI356" s="563">
        <f t="shared" si="428"/>
        <v>0</v>
      </c>
      <c r="AJ356" s="563">
        <f t="shared" si="428"/>
        <v>0</v>
      </c>
      <c r="AK356" s="563">
        <f t="shared" si="424"/>
        <v>0</v>
      </c>
      <c r="AL356" s="563">
        <f t="shared" si="426"/>
        <v>0</v>
      </c>
      <c r="AM356" s="563">
        <f t="shared" si="426"/>
        <v>0</v>
      </c>
      <c r="AN356" s="563">
        <f t="shared" si="427"/>
        <v>0</v>
      </c>
      <c r="AO356" s="563">
        <f t="shared" si="427"/>
        <v>0</v>
      </c>
      <c r="AP356" s="563"/>
      <c r="AQ356" s="564"/>
      <c r="AR356" s="564"/>
    </row>
    <row r="357" spans="1:45" s="83" customFormat="1" hidden="1" outlineLevel="1">
      <c r="A357" s="526"/>
      <c r="B357" s="560" t="s">
        <v>482</v>
      </c>
      <c r="C357" s="528">
        <f t="shared" si="415"/>
        <v>0</v>
      </c>
      <c r="D357" s="561">
        <v>0</v>
      </c>
      <c r="E357" s="561">
        <v>0</v>
      </c>
      <c r="F357" s="561">
        <v>0</v>
      </c>
      <c r="G357" s="561">
        <v>0</v>
      </c>
      <c r="H357" s="561">
        <f>I357+L357</f>
        <v>7108</v>
      </c>
      <c r="I357" s="561">
        <f>J357+K357</f>
        <v>7108</v>
      </c>
      <c r="J357" s="561"/>
      <c r="K357" s="523">
        <v>7108</v>
      </c>
      <c r="L357" s="561">
        <f>M357+N357</f>
        <v>0</v>
      </c>
      <c r="M357" s="561"/>
      <c r="N357" s="561"/>
      <c r="O357" s="561">
        <f>R357+U357</f>
        <v>7108</v>
      </c>
      <c r="P357" s="543">
        <f t="shared" si="399"/>
        <v>0</v>
      </c>
      <c r="Q357" s="543">
        <f t="shared" si="400"/>
        <v>7108</v>
      </c>
      <c r="R357" s="561">
        <f>S357+T357</f>
        <v>7108</v>
      </c>
      <c r="S357" s="561"/>
      <c r="T357" s="561">
        <v>7108</v>
      </c>
      <c r="U357" s="561"/>
      <c r="V357" s="561"/>
      <c r="W357" s="561"/>
      <c r="X357" s="561">
        <f>Y357+AB357+AE357+AH357</f>
        <v>0</v>
      </c>
      <c r="Y357" s="561">
        <f>Z357+AA357</f>
        <v>0</v>
      </c>
      <c r="Z357" s="561"/>
      <c r="AA357" s="561"/>
      <c r="AB357" s="561">
        <f>AC357+AD357</f>
        <v>0</v>
      </c>
      <c r="AC357" s="561"/>
      <c r="AD357" s="561"/>
      <c r="AE357" s="523">
        <f>AF357+AG357</f>
        <v>0</v>
      </c>
      <c r="AF357" s="523"/>
      <c r="AG357" s="523"/>
      <c r="AH357" s="523">
        <f>AI357+AJ357</f>
        <v>0</v>
      </c>
      <c r="AI357" s="561"/>
      <c r="AJ357" s="561"/>
      <c r="AK357" s="561">
        <f t="shared" si="424"/>
        <v>0</v>
      </c>
      <c r="AL357" s="561">
        <f t="shared" si="426"/>
        <v>0</v>
      </c>
      <c r="AM357" s="561">
        <f t="shared" si="426"/>
        <v>0</v>
      </c>
      <c r="AN357" s="561">
        <f t="shared" si="427"/>
        <v>0</v>
      </c>
      <c r="AO357" s="561">
        <f t="shared" si="427"/>
        <v>0</v>
      </c>
      <c r="AP357" s="561"/>
      <c r="AQ357" s="562"/>
      <c r="AR357" s="562"/>
    </row>
    <row r="358" spans="1:45" s="83" customFormat="1" ht="31.2" hidden="1" outlineLevel="1">
      <c r="A358" s="521">
        <v>8</v>
      </c>
      <c r="B358" s="522" t="s">
        <v>2183</v>
      </c>
      <c r="C358" s="523">
        <f t="shared" ref="C358:M358" si="429">SUM(C359:C365)</f>
        <v>0</v>
      </c>
      <c r="D358" s="523">
        <f t="shared" si="429"/>
        <v>0</v>
      </c>
      <c r="E358" s="523">
        <f t="shared" si="429"/>
        <v>0</v>
      </c>
      <c r="F358" s="523">
        <f t="shared" si="429"/>
        <v>0</v>
      </c>
      <c r="G358" s="523">
        <f t="shared" si="429"/>
        <v>0</v>
      </c>
      <c r="H358" s="523">
        <f t="shared" si="429"/>
        <v>139</v>
      </c>
      <c r="I358" s="523">
        <f t="shared" si="429"/>
        <v>0</v>
      </c>
      <c r="J358" s="523">
        <f t="shared" si="429"/>
        <v>0</v>
      </c>
      <c r="K358" s="523">
        <f t="shared" si="429"/>
        <v>0</v>
      </c>
      <c r="L358" s="523">
        <f t="shared" si="429"/>
        <v>139</v>
      </c>
      <c r="M358" s="523">
        <f t="shared" si="429"/>
        <v>0</v>
      </c>
      <c r="N358" s="523">
        <f>SUM(N359:N365)</f>
        <v>139</v>
      </c>
      <c r="O358" s="523">
        <f t="shared" ref="O358:AJ358" si="430">SUM(O359:O365)</f>
        <v>139</v>
      </c>
      <c r="P358" s="543">
        <f t="shared" si="399"/>
        <v>0</v>
      </c>
      <c r="Q358" s="543">
        <f t="shared" si="400"/>
        <v>139</v>
      </c>
      <c r="R358" s="523">
        <f t="shared" si="430"/>
        <v>0</v>
      </c>
      <c r="S358" s="523">
        <f t="shared" si="430"/>
        <v>0</v>
      </c>
      <c r="T358" s="523">
        <f t="shared" si="430"/>
        <v>0</v>
      </c>
      <c r="U358" s="523">
        <f t="shared" si="430"/>
        <v>139</v>
      </c>
      <c r="V358" s="523">
        <f t="shared" si="430"/>
        <v>0</v>
      </c>
      <c r="W358" s="523">
        <f t="shared" si="430"/>
        <v>139</v>
      </c>
      <c r="X358" s="523">
        <f t="shared" si="430"/>
        <v>0</v>
      </c>
      <c r="Y358" s="523">
        <f t="shared" si="430"/>
        <v>0</v>
      </c>
      <c r="Z358" s="523">
        <f t="shared" si="430"/>
        <v>0</v>
      </c>
      <c r="AA358" s="523">
        <f t="shared" si="430"/>
        <v>0</v>
      </c>
      <c r="AB358" s="523">
        <f t="shared" si="430"/>
        <v>0</v>
      </c>
      <c r="AC358" s="523">
        <f t="shared" si="430"/>
        <v>0</v>
      </c>
      <c r="AD358" s="523">
        <f t="shared" si="430"/>
        <v>0</v>
      </c>
      <c r="AE358" s="523">
        <f t="shared" si="430"/>
        <v>0</v>
      </c>
      <c r="AF358" s="523">
        <f t="shared" si="430"/>
        <v>0</v>
      </c>
      <c r="AG358" s="523">
        <f t="shared" si="430"/>
        <v>0</v>
      </c>
      <c r="AH358" s="523">
        <f t="shared" si="430"/>
        <v>0</v>
      </c>
      <c r="AI358" s="523">
        <f t="shared" si="430"/>
        <v>0</v>
      </c>
      <c r="AJ358" s="523">
        <f t="shared" si="430"/>
        <v>0</v>
      </c>
      <c r="AK358" s="561">
        <f t="shared" ref="AK358:AK421" si="431">SUM(AL358:AO358)</f>
        <v>0</v>
      </c>
      <c r="AL358" s="561">
        <f t="shared" si="426"/>
        <v>0</v>
      </c>
      <c r="AM358" s="561">
        <f t="shared" si="426"/>
        <v>0</v>
      </c>
      <c r="AN358" s="561">
        <f t="shared" si="427"/>
        <v>0</v>
      </c>
      <c r="AO358" s="561">
        <f t="shared" si="427"/>
        <v>0</v>
      </c>
      <c r="AP358" s="561"/>
      <c r="AQ358" s="562"/>
      <c r="AR358" s="562"/>
    </row>
    <row r="359" spans="1:45" s="83" customFormat="1" hidden="1" outlineLevel="1">
      <c r="A359" s="521"/>
      <c r="B359" s="522" t="s">
        <v>188</v>
      </c>
      <c r="C359" s="528">
        <f>SUM(D359:G359)</f>
        <v>0</v>
      </c>
      <c r="D359" s="523">
        <v>0</v>
      </c>
      <c r="E359" s="523">
        <v>0</v>
      </c>
      <c r="F359" s="523">
        <v>0</v>
      </c>
      <c r="G359" s="523">
        <f>72.6-72.6</f>
        <v>0</v>
      </c>
      <c r="H359" s="561">
        <f>I359+L359</f>
        <v>44</v>
      </c>
      <c r="I359" s="561">
        <f>J359+K359</f>
        <v>0</v>
      </c>
      <c r="J359" s="523"/>
      <c r="K359" s="523"/>
      <c r="L359" s="561">
        <f>M359+N359</f>
        <v>44</v>
      </c>
      <c r="M359" s="523"/>
      <c r="N359" s="523">
        <v>44</v>
      </c>
      <c r="O359" s="523">
        <f>R359+U359</f>
        <v>44</v>
      </c>
      <c r="P359" s="543">
        <f t="shared" si="399"/>
        <v>0</v>
      </c>
      <c r="Q359" s="543">
        <f t="shared" si="400"/>
        <v>44</v>
      </c>
      <c r="R359" s="523">
        <f>S359+T359</f>
        <v>0</v>
      </c>
      <c r="S359" s="523"/>
      <c r="T359" s="523"/>
      <c r="U359" s="523">
        <f>V359+W359</f>
        <v>44</v>
      </c>
      <c r="V359" s="523"/>
      <c r="W359" s="523">
        <v>44</v>
      </c>
      <c r="X359" s="523"/>
      <c r="Y359" s="523"/>
      <c r="Z359" s="523"/>
      <c r="AA359" s="523"/>
      <c r="AB359" s="523"/>
      <c r="AC359" s="523"/>
      <c r="AD359" s="523"/>
      <c r="AE359" s="523"/>
      <c r="AF359" s="523"/>
      <c r="AG359" s="523"/>
      <c r="AH359" s="523"/>
      <c r="AI359" s="523"/>
      <c r="AJ359" s="523"/>
      <c r="AK359" s="561">
        <f t="shared" si="431"/>
        <v>0</v>
      </c>
      <c r="AL359" s="561">
        <f t="shared" si="426"/>
        <v>0</v>
      </c>
      <c r="AM359" s="561">
        <f t="shared" si="426"/>
        <v>0</v>
      </c>
      <c r="AN359" s="561">
        <f t="shared" si="427"/>
        <v>0</v>
      </c>
      <c r="AO359" s="561">
        <f t="shared" si="427"/>
        <v>0</v>
      </c>
      <c r="AP359" s="561"/>
      <c r="AQ359" s="562"/>
      <c r="AR359" s="562"/>
    </row>
    <row r="360" spans="1:45" s="83" customFormat="1" hidden="1" outlineLevel="1">
      <c r="A360" s="521"/>
      <c r="B360" s="522" t="s">
        <v>200</v>
      </c>
      <c r="C360" s="528">
        <f>SUM(D360:G360)</f>
        <v>0</v>
      </c>
      <c r="D360" s="523">
        <v>0</v>
      </c>
      <c r="E360" s="523">
        <v>0</v>
      </c>
      <c r="F360" s="523">
        <v>0</v>
      </c>
      <c r="G360" s="523">
        <v>0</v>
      </c>
      <c r="H360" s="561">
        <f t="shared" ref="H360:H365" si="432">I360+L360</f>
        <v>21</v>
      </c>
      <c r="I360" s="561">
        <f t="shared" ref="I360:I365" si="433">J360+K360</f>
        <v>0</v>
      </c>
      <c r="J360" s="523"/>
      <c r="K360" s="523"/>
      <c r="L360" s="561">
        <f t="shared" ref="L360:L365" si="434">M360+N360</f>
        <v>21</v>
      </c>
      <c r="M360" s="523"/>
      <c r="N360" s="523">
        <v>21</v>
      </c>
      <c r="O360" s="523">
        <f>R360+U360</f>
        <v>21</v>
      </c>
      <c r="P360" s="543">
        <f t="shared" si="399"/>
        <v>0</v>
      </c>
      <c r="Q360" s="543">
        <f t="shared" si="400"/>
        <v>21</v>
      </c>
      <c r="R360" s="523">
        <f>S360+T360</f>
        <v>0</v>
      </c>
      <c r="S360" s="523"/>
      <c r="T360" s="523"/>
      <c r="U360" s="523">
        <f>V360+W360</f>
        <v>21</v>
      </c>
      <c r="V360" s="523"/>
      <c r="W360" s="523">
        <v>21</v>
      </c>
      <c r="X360" s="523"/>
      <c r="Y360" s="523"/>
      <c r="Z360" s="523"/>
      <c r="AA360" s="523"/>
      <c r="AB360" s="523"/>
      <c r="AC360" s="523"/>
      <c r="AD360" s="523"/>
      <c r="AE360" s="523"/>
      <c r="AF360" s="523"/>
      <c r="AG360" s="523"/>
      <c r="AH360" s="523"/>
      <c r="AI360" s="523"/>
      <c r="AJ360" s="523"/>
      <c r="AK360" s="561">
        <f t="shared" si="431"/>
        <v>0</v>
      </c>
      <c r="AL360" s="561">
        <f t="shared" si="426"/>
        <v>0</v>
      </c>
      <c r="AM360" s="561">
        <f t="shared" si="426"/>
        <v>0</v>
      </c>
      <c r="AN360" s="561">
        <f t="shared" si="427"/>
        <v>0</v>
      </c>
      <c r="AO360" s="561">
        <f t="shared" si="427"/>
        <v>0</v>
      </c>
      <c r="AP360" s="561"/>
      <c r="AQ360" s="562"/>
      <c r="AR360" s="562"/>
    </row>
    <row r="361" spans="1:45" s="83" customFormat="1" hidden="1" outlineLevel="1">
      <c r="A361" s="521"/>
      <c r="B361" s="522" t="s">
        <v>197</v>
      </c>
      <c r="C361" s="528">
        <f>SUM(D361:G361)</f>
        <v>0</v>
      </c>
      <c r="D361" s="523">
        <v>0</v>
      </c>
      <c r="E361" s="523">
        <v>0</v>
      </c>
      <c r="F361" s="523">
        <v>0</v>
      </c>
      <c r="G361" s="523">
        <v>0</v>
      </c>
      <c r="H361" s="561">
        <f t="shared" si="432"/>
        <v>16</v>
      </c>
      <c r="I361" s="561">
        <f t="shared" si="433"/>
        <v>0</v>
      </c>
      <c r="J361" s="523"/>
      <c r="K361" s="523"/>
      <c r="L361" s="561">
        <f t="shared" si="434"/>
        <v>16</v>
      </c>
      <c r="M361" s="523"/>
      <c r="N361" s="523">
        <v>16</v>
      </c>
      <c r="O361" s="523">
        <f>R361+U361</f>
        <v>16</v>
      </c>
      <c r="P361" s="543">
        <f t="shared" si="399"/>
        <v>0</v>
      </c>
      <c r="Q361" s="543">
        <f t="shared" si="400"/>
        <v>16</v>
      </c>
      <c r="R361" s="523">
        <f>S361+T361</f>
        <v>0</v>
      </c>
      <c r="S361" s="523"/>
      <c r="T361" s="523"/>
      <c r="U361" s="523">
        <f>V361+W361</f>
        <v>16</v>
      </c>
      <c r="V361" s="523"/>
      <c r="W361" s="523">
        <v>16</v>
      </c>
      <c r="X361" s="523"/>
      <c r="Y361" s="523"/>
      <c r="Z361" s="523"/>
      <c r="AA361" s="523"/>
      <c r="AB361" s="523"/>
      <c r="AC361" s="523"/>
      <c r="AD361" s="523"/>
      <c r="AE361" s="523"/>
      <c r="AF361" s="523"/>
      <c r="AG361" s="523"/>
      <c r="AH361" s="523"/>
      <c r="AI361" s="523"/>
      <c r="AJ361" s="523"/>
      <c r="AK361" s="561">
        <f t="shared" si="431"/>
        <v>0</v>
      </c>
      <c r="AL361" s="561">
        <f t="shared" si="426"/>
        <v>0</v>
      </c>
      <c r="AM361" s="561">
        <f t="shared" si="426"/>
        <v>0</v>
      </c>
      <c r="AN361" s="561">
        <f t="shared" si="427"/>
        <v>0</v>
      </c>
      <c r="AO361" s="561">
        <f t="shared" si="427"/>
        <v>0</v>
      </c>
      <c r="AP361" s="561"/>
      <c r="AQ361" s="562"/>
      <c r="AR361" s="562"/>
    </row>
    <row r="362" spans="1:45" s="83" customFormat="1" hidden="1" outlineLevel="1">
      <c r="A362" s="521"/>
      <c r="B362" s="522" t="s">
        <v>535</v>
      </c>
      <c r="C362" s="528">
        <f>SUM(D362:G362)</f>
        <v>0</v>
      </c>
      <c r="D362" s="523">
        <v>0</v>
      </c>
      <c r="E362" s="523">
        <v>0</v>
      </c>
      <c r="F362" s="523">
        <v>0</v>
      </c>
      <c r="G362" s="523">
        <f>16.822-16.822</f>
        <v>0</v>
      </c>
      <c r="H362" s="561">
        <f t="shared" si="432"/>
        <v>36</v>
      </c>
      <c r="I362" s="561">
        <f t="shared" si="433"/>
        <v>0</v>
      </c>
      <c r="J362" s="523"/>
      <c r="K362" s="523"/>
      <c r="L362" s="561">
        <f t="shared" si="434"/>
        <v>36</v>
      </c>
      <c r="M362" s="523"/>
      <c r="N362" s="523">
        <v>36</v>
      </c>
      <c r="O362" s="523">
        <f>R362+U362</f>
        <v>36</v>
      </c>
      <c r="P362" s="543">
        <f t="shared" si="399"/>
        <v>0</v>
      </c>
      <c r="Q362" s="543">
        <f t="shared" si="400"/>
        <v>36</v>
      </c>
      <c r="R362" s="523">
        <f>S362+T362</f>
        <v>0</v>
      </c>
      <c r="S362" s="523"/>
      <c r="T362" s="523"/>
      <c r="U362" s="523">
        <f>V362+W362</f>
        <v>36</v>
      </c>
      <c r="V362" s="523"/>
      <c r="W362" s="523">
        <v>36</v>
      </c>
      <c r="X362" s="523"/>
      <c r="Y362" s="523"/>
      <c r="Z362" s="523"/>
      <c r="AA362" s="523"/>
      <c r="AB362" s="523"/>
      <c r="AC362" s="523"/>
      <c r="AD362" s="523"/>
      <c r="AE362" s="523"/>
      <c r="AF362" s="523"/>
      <c r="AG362" s="523"/>
      <c r="AH362" s="523"/>
      <c r="AI362" s="523"/>
      <c r="AJ362" s="523"/>
      <c r="AK362" s="561">
        <f t="shared" si="431"/>
        <v>0</v>
      </c>
      <c r="AL362" s="561">
        <f t="shared" si="426"/>
        <v>0</v>
      </c>
      <c r="AM362" s="561">
        <f t="shared" si="426"/>
        <v>0</v>
      </c>
      <c r="AN362" s="561">
        <f t="shared" si="427"/>
        <v>0</v>
      </c>
      <c r="AO362" s="561">
        <f t="shared" si="427"/>
        <v>0</v>
      </c>
      <c r="AP362" s="561"/>
      <c r="AQ362" s="562"/>
      <c r="AR362" s="562"/>
    </row>
    <row r="363" spans="1:45" s="83" customFormat="1" hidden="1" outlineLevel="1">
      <c r="A363" s="521"/>
      <c r="B363" s="522" t="s">
        <v>531</v>
      </c>
      <c r="C363" s="528">
        <f>SUM(D363:G363)</f>
        <v>0</v>
      </c>
      <c r="D363" s="523">
        <v>0</v>
      </c>
      <c r="E363" s="523">
        <v>0</v>
      </c>
      <c r="F363" s="523">
        <v>0</v>
      </c>
      <c r="G363" s="523">
        <v>0</v>
      </c>
      <c r="H363" s="561">
        <f t="shared" si="432"/>
        <v>14</v>
      </c>
      <c r="I363" s="561">
        <f t="shared" si="433"/>
        <v>0</v>
      </c>
      <c r="J363" s="523"/>
      <c r="K363" s="523"/>
      <c r="L363" s="561">
        <f t="shared" si="434"/>
        <v>14</v>
      </c>
      <c r="M363" s="523"/>
      <c r="N363" s="523">
        <v>14</v>
      </c>
      <c r="O363" s="523">
        <f>R363+U363</f>
        <v>14</v>
      </c>
      <c r="P363" s="543">
        <f t="shared" si="399"/>
        <v>0</v>
      </c>
      <c r="Q363" s="543">
        <f t="shared" si="400"/>
        <v>14</v>
      </c>
      <c r="R363" s="523">
        <f>S363+T363</f>
        <v>0</v>
      </c>
      <c r="S363" s="523"/>
      <c r="T363" s="523"/>
      <c r="U363" s="523">
        <f>V363+W363</f>
        <v>14</v>
      </c>
      <c r="V363" s="523"/>
      <c r="W363" s="523">
        <v>14</v>
      </c>
      <c r="X363" s="523"/>
      <c r="Y363" s="523"/>
      <c r="Z363" s="523"/>
      <c r="AA363" s="523"/>
      <c r="AB363" s="523"/>
      <c r="AC363" s="523"/>
      <c r="AD363" s="523"/>
      <c r="AE363" s="523"/>
      <c r="AF363" s="523"/>
      <c r="AG363" s="523"/>
      <c r="AH363" s="523"/>
      <c r="AI363" s="523"/>
      <c r="AJ363" s="523"/>
      <c r="AK363" s="561">
        <f t="shared" si="431"/>
        <v>0</v>
      </c>
      <c r="AL363" s="561">
        <f t="shared" si="426"/>
        <v>0</v>
      </c>
      <c r="AM363" s="561">
        <f t="shared" si="426"/>
        <v>0</v>
      </c>
      <c r="AN363" s="561">
        <f t="shared" si="427"/>
        <v>0</v>
      </c>
      <c r="AO363" s="561">
        <f t="shared" si="427"/>
        <v>0</v>
      </c>
      <c r="AP363" s="561"/>
      <c r="AQ363" s="562"/>
      <c r="AR363" s="562"/>
    </row>
    <row r="364" spans="1:45" s="83" customFormat="1" hidden="1" outlineLevel="1">
      <c r="A364" s="521"/>
      <c r="B364" s="522" t="s">
        <v>194</v>
      </c>
      <c r="C364" s="528"/>
      <c r="D364" s="523"/>
      <c r="E364" s="523"/>
      <c r="F364" s="523"/>
      <c r="G364" s="523"/>
      <c r="H364" s="561">
        <f t="shared" si="432"/>
        <v>2</v>
      </c>
      <c r="I364" s="561">
        <f t="shared" si="433"/>
        <v>0</v>
      </c>
      <c r="J364" s="523"/>
      <c r="K364" s="523"/>
      <c r="L364" s="561">
        <f t="shared" si="434"/>
        <v>2</v>
      </c>
      <c r="M364" s="523"/>
      <c r="N364" s="523">
        <v>2</v>
      </c>
      <c r="O364" s="523">
        <f t="shared" ref="O364:O365" si="435">R364+U364</f>
        <v>2</v>
      </c>
      <c r="P364" s="543">
        <f t="shared" si="399"/>
        <v>0</v>
      </c>
      <c r="Q364" s="543">
        <f t="shared" si="400"/>
        <v>2</v>
      </c>
      <c r="R364" s="523">
        <f t="shared" ref="R364:R365" si="436">S364+T364</f>
        <v>0</v>
      </c>
      <c r="S364" s="523"/>
      <c r="T364" s="523"/>
      <c r="U364" s="523">
        <f t="shared" ref="U364:U365" si="437">V364+W364</f>
        <v>2</v>
      </c>
      <c r="V364" s="523"/>
      <c r="W364" s="523">
        <v>2</v>
      </c>
      <c r="X364" s="523"/>
      <c r="Y364" s="523"/>
      <c r="Z364" s="523"/>
      <c r="AA364" s="523"/>
      <c r="AB364" s="523"/>
      <c r="AC364" s="523"/>
      <c r="AD364" s="523"/>
      <c r="AE364" s="523"/>
      <c r="AF364" s="523"/>
      <c r="AG364" s="523"/>
      <c r="AH364" s="523"/>
      <c r="AI364" s="523"/>
      <c r="AJ364" s="523"/>
      <c r="AK364" s="561">
        <f t="shared" si="431"/>
        <v>0</v>
      </c>
      <c r="AL364" s="561">
        <f t="shared" si="426"/>
        <v>0</v>
      </c>
      <c r="AM364" s="561">
        <f t="shared" si="426"/>
        <v>0</v>
      </c>
      <c r="AN364" s="561">
        <f t="shared" si="427"/>
        <v>0</v>
      </c>
      <c r="AO364" s="561">
        <f t="shared" si="427"/>
        <v>0</v>
      </c>
      <c r="AP364" s="561"/>
      <c r="AQ364" s="562"/>
      <c r="AR364" s="562"/>
    </row>
    <row r="365" spans="1:45" s="83" customFormat="1" hidden="1" outlineLevel="1">
      <c r="A365" s="521"/>
      <c r="B365" s="522" t="s">
        <v>196</v>
      </c>
      <c r="C365" s="528"/>
      <c r="D365" s="523"/>
      <c r="E365" s="523"/>
      <c r="F365" s="523"/>
      <c r="G365" s="523"/>
      <c r="H365" s="561">
        <f t="shared" si="432"/>
        <v>6</v>
      </c>
      <c r="I365" s="561">
        <f t="shared" si="433"/>
        <v>0</v>
      </c>
      <c r="J365" s="523"/>
      <c r="K365" s="523"/>
      <c r="L365" s="561">
        <f t="shared" si="434"/>
        <v>6</v>
      </c>
      <c r="M365" s="523"/>
      <c r="N365" s="523">
        <v>6</v>
      </c>
      <c r="O365" s="523">
        <f t="shared" si="435"/>
        <v>6</v>
      </c>
      <c r="P365" s="543">
        <f t="shared" si="399"/>
        <v>0</v>
      </c>
      <c r="Q365" s="543">
        <f t="shared" si="400"/>
        <v>6</v>
      </c>
      <c r="R365" s="523">
        <f t="shared" si="436"/>
        <v>0</v>
      </c>
      <c r="S365" s="523"/>
      <c r="T365" s="523"/>
      <c r="U365" s="523">
        <f t="shared" si="437"/>
        <v>6</v>
      </c>
      <c r="V365" s="523"/>
      <c r="W365" s="523">
        <v>6</v>
      </c>
      <c r="X365" s="523"/>
      <c r="Y365" s="523"/>
      <c r="Z365" s="523"/>
      <c r="AA365" s="523"/>
      <c r="AB365" s="523"/>
      <c r="AC365" s="523"/>
      <c r="AD365" s="523"/>
      <c r="AE365" s="523"/>
      <c r="AF365" s="523"/>
      <c r="AG365" s="523"/>
      <c r="AH365" s="523"/>
      <c r="AI365" s="523"/>
      <c r="AJ365" s="523"/>
      <c r="AK365" s="561">
        <f t="shared" si="431"/>
        <v>0</v>
      </c>
      <c r="AL365" s="561">
        <f t="shared" si="426"/>
        <v>0</v>
      </c>
      <c r="AM365" s="561">
        <f t="shared" si="426"/>
        <v>0</v>
      </c>
      <c r="AN365" s="561">
        <f t="shared" si="427"/>
        <v>0</v>
      </c>
      <c r="AO365" s="561">
        <f t="shared" si="427"/>
        <v>0</v>
      </c>
      <c r="AP365" s="561"/>
      <c r="AQ365" s="562"/>
      <c r="AR365" s="562"/>
    </row>
    <row r="366" spans="1:45" s="83" customFormat="1" hidden="1" outlineLevel="1">
      <c r="A366" s="521">
        <v>9</v>
      </c>
      <c r="B366" s="522" t="s">
        <v>2184</v>
      </c>
      <c r="C366" s="528"/>
      <c r="D366" s="523"/>
      <c r="E366" s="523"/>
      <c r="F366" s="523"/>
      <c r="G366" s="523"/>
      <c r="H366" s="523">
        <f>SUM(H367:H376)</f>
        <v>3472</v>
      </c>
      <c r="I366" s="523">
        <f t="shared" ref="I366:AJ366" si="438">SUM(I367:I376)</f>
        <v>0</v>
      </c>
      <c r="J366" s="523">
        <f t="shared" si="438"/>
        <v>0</v>
      </c>
      <c r="K366" s="523">
        <f t="shared" si="438"/>
        <v>0</v>
      </c>
      <c r="L366" s="523">
        <f t="shared" si="438"/>
        <v>3472</v>
      </c>
      <c r="M366" s="523">
        <f t="shared" si="438"/>
        <v>0</v>
      </c>
      <c r="N366" s="523">
        <f t="shared" si="438"/>
        <v>3472</v>
      </c>
      <c r="O366" s="523">
        <f t="shared" si="438"/>
        <v>2073.8090000000002</v>
      </c>
      <c r="P366" s="543">
        <f t="shared" si="399"/>
        <v>0</v>
      </c>
      <c r="Q366" s="543">
        <f t="shared" si="400"/>
        <v>2073.8090000000002</v>
      </c>
      <c r="R366" s="523">
        <f t="shared" si="438"/>
        <v>0</v>
      </c>
      <c r="S366" s="523">
        <f t="shared" si="438"/>
        <v>0</v>
      </c>
      <c r="T366" s="523">
        <f t="shared" si="438"/>
        <v>0</v>
      </c>
      <c r="U366" s="523">
        <f t="shared" si="438"/>
        <v>2073.8090000000002</v>
      </c>
      <c r="V366" s="523">
        <f t="shared" si="438"/>
        <v>0</v>
      </c>
      <c r="W366" s="523">
        <f t="shared" si="438"/>
        <v>2073.8090000000002</v>
      </c>
      <c r="X366" s="523">
        <f t="shared" si="438"/>
        <v>0</v>
      </c>
      <c r="Y366" s="523">
        <f t="shared" si="438"/>
        <v>0</v>
      </c>
      <c r="Z366" s="523">
        <f t="shared" si="438"/>
        <v>0</v>
      </c>
      <c r="AA366" s="523">
        <f t="shared" si="438"/>
        <v>0</v>
      </c>
      <c r="AB366" s="523">
        <f t="shared" si="438"/>
        <v>0</v>
      </c>
      <c r="AC366" s="523">
        <f t="shared" si="438"/>
        <v>0</v>
      </c>
      <c r="AD366" s="523">
        <f t="shared" si="438"/>
        <v>0</v>
      </c>
      <c r="AE366" s="523">
        <f t="shared" si="438"/>
        <v>0</v>
      </c>
      <c r="AF366" s="523">
        <f t="shared" si="438"/>
        <v>0</v>
      </c>
      <c r="AG366" s="523">
        <f t="shared" si="438"/>
        <v>0</v>
      </c>
      <c r="AH366" s="523">
        <f t="shared" si="438"/>
        <v>0</v>
      </c>
      <c r="AI366" s="523">
        <f t="shared" si="438"/>
        <v>0</v>
      </c>
      <c r="AJ366" s="523">
        <f t="shared" si="438"/>
        <v>0</v>
      </c>
      <c r="AK366" s="561">
        <f t="shared" si="431"/>
        <v>1398.1909999999998</v>
      </c>
      <c r="AL366" s="561">
        <f t="shared" si="426"/>
        <v>0</v>
      </c>
      <c r="AM366" s="561">
        <f t="shared" si="426"/>
        <v>0</v>
      </c>
      <c r="AN366" s="561">
        <f t="shared" si="427"/>
        <v>0</v>
      </c>
      <c r="AO366" s="561">
        <f t="shared" si="427"/>
        <v>1398.1909999999998</v>
      </c>
      <c r="AP366" s="561"/>
      <c r="AQ366" s="562"/>
      <c r="AR366" s="562"/>
    </row>
    <row r="367" spans="1:45" s="83" customFormat="1" hidden="1" outlineLevel="1">
      <c r="A367" s="521"/>
      <c r="B367" s="522" t="s">
        <v>188</v>
      </c>
      <c r="C367" s="528"/>
      <c r="D367" s="523"/>
      <c r="E367" s="523"/>
      <c r="F367" s="523"/>
      <c r="G367" s="523"/>
      <c r="H367" s="561">
        <f t="shared" ref="H367:H376" si="439">I367+L367</f>
        <v>1319</v>
      </c>
      <c r="I367" s="561">
        <f t="shared" ref="I367:I376" si="440">J367+K367</f>
        <v>0</v>
      </c>
      <c r="J367" s="523"/>
      <c r="K367" s="523"/>
      <c r="L367" s="561">
        <f t="shared" ref="L367:L376" si="441">M367+N367</f>
        <v>1319</v>
      </c>
      <c r="M367" s="523"/>
      <c r="N367" s="523">
        <v>1319</v>
      </c>
      <c r="O367" s="523">
        <f>R367+U367</f>
        <v>480.18900000000002</v>
      </c>
      <c r="P367" s="543">
        <f t="shared" si="399"/>
        <v>0</v>
      </c>
      <c r="Q367" s="543">
        <f t="shared" si="400"/>
        <v>480.18900000000002</v>
      </c>
      <c r="R367" s="523">
        <f>S367+T367</f>
        <v>0</v>
      </c>
      <c r="S367" s="523"/>
      <c r="T367" s="523"/>
      <c r="U367" s="523">
        <f>V367+W367</f>
        <v>480.18900000000002</v>
      </c>
      <c r="V367" s="523"/>
      <c r="W367" s="523">
        <v>480.18900000000002</v>
      </c>
      <c r="X367" s="523"/>
      <c r="Y367" s="523"/>
      <c r="Z367" s="523"/>
      <c r="AA367" s="523"/>
      <c r="AB367" s="523"/>
      <c r="AC367" s="523"/>
      <c r="AD367" s="523"/>
      <c r="AE367" s="523"/>
      <c r="AF367" s="523"/>
      <c r="AG367" s="523"/>
      <c r="AH367" s="523"/>
      <c r="AI367" s="523"/>
      <c r="AJ367" s="523"/>
      <c r="AK367" s="561">
        <f t="shared" si="431"/>
        <v>838.81099999999992</v>
      </c>
      <c r="AL367" s="561">
        <f t="shared" si="426"/>
        <v>0</v>
      </c>
      <c r="AM367" s="561">
        <f t="shared" si="426"/>
        <v>0</v>
      </c>
      <c r="AN367" s="561">
        <f t="shared" si="427"/>
        <v>0</v>
      </c>
      <c r="AO367" s="561">
        <f t="shared" si="427"/>
        <v>838.81099999999992</v>
      </c>
      <c r="AP367" s="561"/>
      <c r="AQ367" s="562"/>
      <c r="AR367" s="562"/>
    </row>
    <row r="368" spans="1:45" s="83" customFormat="1" hidden="1" outlineLevel="1">
      <c r="A368" s="521"/>
      <c r="B368" s="522" t="s">
        <v>407</v>
      </c>
      <c r="C368" s="528"/>
      <c r="D368" s="523"/>
      <c r="E368" s="523"/>
      <c r="F368" s="523"/>
      <c r="G368" s="523"/>
      <c r="H368" s="561">
        <f t="shared" si="439"/>
        <v>550</v>
      </c>
      <c r="I368" s="561">
        <f t="shared" si="440"/>
        <v>0</v>
      </c>
      <c r="J368" s="523"/>
      <c r="K368" s="523"/>
      <c r="L368" s="561">
        <f t="shared" si="441"/>
        <v>550</v>
      </c>
      <c r="M368" s="523"/>
      <c r="N368" s="523">
        <v>550</v>
      </c>
      <c r="O368" s="523">
        <f t="shared" ref="O368:O431" si="442">R368+U368</f>
        <v>550</v>
      </c>
      <c r="P368" s="543">
        <f t="shared" si="399"/>
        <v>0</v>
      </c>
      <c r="Q368" s="543">
        <f t="shared" si="400"/>
        <v>550</v>
      </c>
      <c r="R368" s="523">
        <f t="shared" ref="R368:R431" si="443">S368+T368</f>
        <v>0</v>
      </c>
      <c r="S368" s="523"/>
      <c r="T368" s="523"/>
      <c r="U368" s="523">
        <f t="shared" ref="U368:U431" si="444">V368+W368</f>
        <v>550</v>
      </c>
      <c r="V368" s="523"/>
      <c r="W368" s="523">
        <v>550</v>
      </c>
      <c r="X368" s="523"/>
      <c r="Y368" s="523"/>
      <c r="Z368" s="523"/>
      <c r="AA368" s="523"/>
      <c r="AB368" s="523"/>
      <c r="AC368" s="523"/>
      <c r="AD368" s="523"/>
      <c r="AE368" s="523"/>
      <c r="AF368" s="523"/>
      <c r="AG368" s="523"/>
      <c r="AH368" s="523"/>
      <c r="AI368" s="523"/>
      <c r="AJ368" s="523"/>
      <c r="AK368" s="561">
        <f t="shared" si="431"/>
        <v>0</v>
      </c>
      <c r="AL368" s="561">
        <f t="shared" si="426"/>
        <v>0</v>
      </c>
      <c r="AM368" s="561">
        <f t="shared" si="426"/>
        <v>0</v>
      </c>
      <c r="AN368" s="561">
        <f t="shared" si="427"/>
        <v>0</v>
      </c>
      <c r="AO368" s="561">
        <f t="shared" si="427"/>
        <v>0</v>
      </c>
      <c r="AP368" s="561"/>
      <c r="AQ368" s="562"/>
      <c r="AR368" s="562"/>
    </row>
    <row r="369" spans="1:45" s="83" customFormat="1" hidden="1" outlineLevel="1">
      <c r="A369" s="521"/>
      <c r="B369" s="522" t="s">
        <v>197</v>
      </c>
      <c r="C369" s="528"/>
      <c r="D369" s="523"/>
      <c r="E369" s="523"/>
      <c r="F369" s="523"/>
      <c r="G369" s="523"/>
      <c r="H369" s="561">
        <f t="shared" si="439"/>
        <v>122</v>
      </c>
      <c r="I369" s="561">
        <f t="shared" si="440"/>
        <v>0</v>
      </c>
      <c r="J369" s="523"/>
      <c r="K369" s="523"/>
      <c r="L369" s="561">
        <f t="shared" si="441"/>
        <v>122</v>
      </c>
      <c r="M369" s="523"/>
      <c r="N369" s="523">
        <v>122</v>
      </c>
      <c r="O369" s="523">
        <f t="shared" si="442"/>
        <v>122</v>
      </c>
      <c r="P369" s="543">
        <f t="shared" si="399"/>
        <v>0</v>
      </c>
      <c r="Q369" s="543">
        <f t="shared" si="400"/>
        <v>122</v>
      </c>
      <c r="R369" s="523">
        <f t="shared" si="443"/>
        <v>0</v>
      </c>
      <c r="S369" s="523"/>
      <c r="T369" s="523"/>
      <c r="U369" s="523">
        <f t="shared" si="444"/>
        <v>122</v>
      </c>
      <c r="V369" s="523"/>
      <c r="W369" s="523">
        <v>122</v>
      </c>
      <c r="X369" s="523"/>
      <c r="Y369" s="523"/>
      <c r="Z369" s="523"/>
      <c r="AA369" s="523"/>
      <c r="AB369" s="523"/>
      <c r="AC369" s="523"/>
      <c r="AD369" s="523"/>
      <c r="AE369" s="523"/>
      <c r="AF369" s="523"/>
      <c r="AG369" s="523"/>
      <c r="AH369" s="523"/>
      <c r="AI369" s="523"/>
      <c r="AJ369" s="523"/>
      <c r="AK369" s="561">
        <f t="shared" si="431"/>
        <v>0</v>
      </c>
      <c r="AL369" s="561">
        <f t="shared" si="426"/>
        <v>0</v>
      </c>
      <c r="AM369" s="561">
        <f t="shared" si="426"/>
        <v>0</v>
      </c>
      <c r="AN369" s="561">
        <f t="shared" si="427"/>
        <v>0</v>
      </c>
      <c r="AO369" s="561">
        <f t="shared" si="427"/>
        <v>0</v>
      </c>
      <c r="AP369" s="561"/>
      <c r="AQ369" s="562"/>
      <c r="AR369" s="562"/>
    </row>
    <row r="370" spans="1:45" s="83" customFormat="1" hidden="1" outlineLevel="1">
      <c r="A370" s="521"/>
      <c r="B370" s="522" t="s">
        <v>198</v>
      </c>
      <c r="C370" s="528"/>
      <c r="D370" s="523"/>
      <c r="E370" s="523"/>
      <c r="F370" s="523"/>
      <c r="G370" s="523"/>
      <c r="H370" s="561">
        <f t="shared" si="439"/>
        <v>286</v>
      </c>
      <c r="I370" s="561">
        <f t="shared" si="440"/>
        <v>0</v>
      </c>
      <c r="J370" s="523"/>
      <c r="K370" s="523"/>
      <c r="L370" s="561">
        <f t="shared" si="441"/>
        <v>286</v>
      </c>
      <c r="M370" s="523"/>
      <c r="N370" s="523">
        <v>286</v>
      </c>
      <c r="O370" s="523">
        <f t="shared" si="442"/>
        <v>286</v>
      </c>
      <c r="P370" s="543">
        <f t="shared" si="399"/>
        <v>0</v>
      </c>
      <c r="Q370" s="543">
        <f t="shared" si="400"/>
        <v>286</v>
      </c>
      <c r="R370" s="523">
        <f t="shared" si="443"/>
        <v>0</v>
      </c>
      <c r="S370" s="523"/>
      <c r="T370" s="523"/>
      <c r="U370" s="523">
        <f t="shared" si="444"/>
        <v>286</v>
      </c>
      <c r="V370" s="523"/>
      <c r="W370" s="523">
        <v>286</v>
      </c>
      <c r="X370" s="523"/>
      <c r="Y370" s="523"/>
      <c r="Z370" s="523"/>
      <c r="AA370" s="523"/>
      <c r="AB370" s="523"/>
      <c r="AC370" s="523"/>
      <c r="AD370" s="523"/>
      <c r="AE370" s="523"/>
      <c r="AF370" s="523"/>
      <c r="AG370" s="523"/>
      <c r="AH370" s="523"/>
      <c r="AI370" s="523"/>
      <c r="AJ370" s="523"/>
      <c r="AK370" s="561">
        <f t="shared" si="431"/>
        <v>0</v>
      </c>
      <c r="AL370" s="561">
        <f t="shared" si="426"/>
        <v>0</v>
      </c>
      <c r="AM370" s="561">
        <f t="shared" si="426"/>
        <v>0</v>
      </c>
      <c r="AN370" s="561">
        <f t="shared" si="427"/>
        <v>0</v>
      </c>
      <c r="AO370" s="561">
        <f t="shared" si="427"/>
        <v>0</v>
      </c>
      <c r="AP370" s="561"/>
      <c r="AQ370" s="562"/>
      <c r="AR370" s="562"/>
    </row>
    <row r="371" spans="1:45" s="83" customFormat="1" hidden="1" outlineLevel="1">
      <c r="A371" s="521"/>
      <c r="B371" s="522" t="s">
        <v>194</v>
      </c>
      <c r="C371" s="528"/>
      <c r="D371" s="523"/>
      <c r="E371" s="523"/>
      <c r="F371" s="523"/>
      <c r="G371" s="523"/>
      <c r="H371" s="561">
        <f t="shared" si="439"/>
        <v>251</v>
      </c>
      <c r="I371" s="561">
        <f t="shared" si="440"/>
        <v>0</v>
      </c>
      <c r="J371" s="523"/>
      <c r="K371" s="523"/>
      <c r="L371" s="561">
        <f t="shared" si="441"/>
        <v>251</v>
      </c>
      <c r="M371" s="523"/>
      <c r="N371" s="523">
        <v>251</v>
      </c>
      <c r="O371" s="523">
        <f t="shared" si="442"/>
        <v>251</v>
      </c>
      <c r="P371" s="543">
        <f t="shared" si="399"/>
        <v>0</v>
      </c>
      <c r="Q371" s="543">
        <f t="shared" si="400"/>
        <v>251</v>
      </c>
      <c r="R371" s="523">
        <f t="shared" si="443"/>
        <v>0</v>
      </c>
      <c r="S371" s="523"/>
      <c r="T371" s="523"/>
      <c r="U371" s="523">
        <f t="shared" si="444"/>
        <v>251</v>
      </c>
      <c r="V371" s="523"/>
      <c r="W371" s="523">
        <v>251</v>
      </c>
      <c r="X371" s="523"/>
      <c r="Y371" s="523"/>
      <c r="Z371" s="523"/>
      <c r="AA371" s="523"/>
      <c r="AB371" s="523"/>
      <c r="AC371" s="523"/>
      <c r="AD371" s="523"/>
      <c r="AE371" s="523"/>
      <c r="AF371" s="523"/>
      <c r="AG371" s="523"/>
      <c r="AH371" s="523"/>
      <c r="AI371" s="523"/>
      <c r="AJ371" s="523"/>
      <c r="AK371" s="561">
        <f t="shared" si="431"/>
        <v>0</v>
      </c>
      <c r="AL371" s="561">
        <f t="shared" ref="AL371:AM429" si="445">D371+J371-S371-Z371-AF371</f>
        <v>0</v>
      </c>
      <c r="AM371" s="561">
        <f t="shared" si="445"/>
        <v>0</v>
      </c>
      <c r="AN371" s="561">
        <f t="shared" ref="AN371:AO429" si="446">F371+M371-V371-AC371-AI371</f>
        <v>0</v>
      </c>
      <c r="AO371" s="561">
        <f t="shared" si="446"/>
        <v>0</v>
      </c>
      <c r="AP371" s="561"/>
      <c r="AQ371" s="562"/>
      <c r="AR371" s="562"/>
    </row>
    <row r="372" spans="1:45" s="83" customFormat="1" hidden="1" outlineLevel="1">
      <c r="A372" s="521"/>
      <c r="B372" s="522" t="s">
        <v>388</v>
      </c>
      <c r="C372" s="528"/>
      <c r="D372" s="523"/>
      <c r="E372" s="523"/>
      <c r="F372" s="523"/>
      <c r="G372" s="523"/>
      <c r="H372" s="561">
        <f t="shared" si="439"/>
        <v>132</v>
      </c>
      <c r="I372" s="561">
        <f t="shared" si="440"/>
        <v>0</v>
      </c>
      <c r="J372" s="523"/>
      <c r="K372" s="523"/>
      <c r="L372" s="561">
        <f t="shared" si="441"/>
        <v>132</v>
      </c>
      <c r="M372" s="523"/>
      <c r="N372" s="523">
        <v>132</v>
      </c>
      <c r="O372" s="523">
        <f t="shared" si="442"/>
        <v>132</v>
      </c>
      <c r="P372" s="543">
        <f t="shared" si="399"/>
        <v>0</v>
      </c>
      <c r="Q372" s="543">
        <f t="shared" si="400"/>
        <v>132</v>
      </c>
      <c r="R372" s="523">
        <f t="shared" si="443"/>
        <v>0</v>
      </c>
      <c r="S372" s="523"/>
      <c r="T372" s="523"/>
      <c r="U372" s="523">
        <f t="shared" si="444"/>
        <v>132</v>
      </c>
      <c r="V372" s="523"/>
      <c r="W372" s="523">
        <v>132</v>
      </c>
      <c r="X372" s="523"/>
      <c r="Y372" s="523"/>
      <c r="Z372" s="523"/>
      <c r="AA372" s="523"/>
      <c r="AB372" s="523"/>
      <c r="AC372" s="523"/>
      <c r="AD372" s="523"/>
      <c r="AE372" s="523"/>
      <c r="AF372" s="523"/>
      <c r="AG372" s="523"/>
      <c r="AH372" s="523"/>
      <c r="AI372" s="523"/>
      <c r="AJ372" s="523"/>
      <c r="AK372" s="561">
        <f t="shared" si="431"/>
        <v>0</v>
      </c>
      <c r="AL372" s="561">
        <f t="shared" si="445"/>
        <v>0</v>
      </c>
      <c r="AM372" s="561">
        <f t="shared" si="445"/>
        <v>0</v>
      </c>
      <c r="AN372" s="561">
        <f t="shared" si="446"/>
        <v>0</v>
      </c>
      <c r="AO372" s="561">
        <f t="shared" si="446"/>
        <v>0</v>
      </c>
      <c r="AP372" s="561"/>
      <c r="AQ372" s="562"/>
      <c r="AR372" s="562"/>
    </row>
    <row r="373" spans="1:45" s="83" customFormat="1" hidden="1" outlineLevel="1">
      <c r="A373" s="521"/>
      <c r="B373" s="522" t="s">
        <v>199</v>
      </c>
      <c r="C373" s="528"/>
      <c r="D373" s="523"/>
      <c r="E373" s="523"/>
      <c r="F373" s="523"/>
      <c r="G373" s="523"/>
      <c r="H373" s="561">
        <f t="shared" si="439"/>
        <v>29</v>
      </c>
      <c r="I373" s="561">
        <f t="shared" si="440"/>
        <v>0</v>
      </c>
      <c r="J373" s="523"/>
      <c r="K373" s="523"/>
      <c r="L373" s="561">
        <f t="shared" si="441"/>
        <v>29</v>
      </c>
      <c r="M373" s="523"/>
      <c r="N373" s="523">
        <v>29</v>
      </c>
      <c r="O373" s="523">
        <f t="shared" si="442"/>
        <v>6.62</v>
      </c>
      <c r="P373" s="543">
        <f t="shared" si="399"/>
        <v>0</v>
      </c>
      <c r="Q373" s="543">
        <f t="shared" si="400"/>
        <v>6.62</v>
      </c>
      <c r="R373" s="523">
        <f t="shared" si="443"/>
        <v>0</v>
      </c>
      <c r="S373" s="523"/>
      <c r="T373" s="523"/>
      <c r="U373" s="523">
        <f t="shared" si="444"/>
        <v>6.62</v>
      </c>
      <c r="V373" s="523"/>
      <c r="W373" s="523">
        <v>6.62</v>
      </c>
      <c r="X373" s="523"/>
      <c r="Y373" s="523"/>
      <c r="Z373" s="523"/>
      <c r="AA373" s="523"/>
      <c r="AB373" s="523"/>
      <c r="AC373" s="523"/>
      <c r="AD373" s="523"/>
      <c r="AE373" s="523"/>
      <c r="AF373" s="523"/>
      <c r="AG373" s="523"/>
      <c r="AH373" s="523"/>
      <c r="AI373" s="523"/>
      <c r="AJ373" s="523"/>
      <c r="AK373" s="561">
        <f t="shared" si="431"/>
        <v>22.38</v>
      </c>
      <c r="AL373" s="561">
        <f t="shared" si="445"/>
        <v>0</v>
      </c>
      <c r="AM373" s="561">
        <f t="shared" si="445"/>
        <v>0</v>
      </c>
      <c r="AN373" s="561">
        <f t="shared" si="446"/>
        <v>0</v>
      </c>
      <c r="AO373" s="561">
        <f t="shared" si="446"/>
        <v>22.38</v>
      </c>
      <c r="AP373" s="561"/>
      <c r="AQ373" s="562"/>
      <c r="AR373" s="562"/>
    </row>
    <row r="374" spans="1:45" s="83" customFormat="1" hidden="1" outlineLevel="1">
      <c r="A374" s="521"/>
      <c r="B374" s="522" t="s">
        <v>196</v>
      </c>
      <c r="C374" s="528"/>
      <c r="D374" s="523"/>
      <c r="E374" s="523"/>
      <c r="F374" s="523"/>
      <c r="G374" s="523"/>
      <c r="H374" s="561">
        <f t="shared" si="439"/>
        <v>2</v>
      </c>
      <c r="I374" s="561">
        <f t="shared" si="440"/>
        <v>0</v>
      </c>
      <c r="J374" s="523"/>
      <c r="K374" s="523"/>
      <c r="L374" s="561">
        <f t="shared" si="441"/>
        <v>2</v>
      </c>
      <c r="M374" s="523"/>
      <c r="N374" s="523">
        <v>2</v>
      </c>
      <c r="O374" s="523">
        <f t="shared" si="442"/>
        <v>2</v>
      </c>
      <c r="P374" s="543">
        <f t="shared" si="399"/>
        <v>0</v>
      </c>
      <c r="Q374" s="543">
        <f t="shared" si="400"/>
        <v>2</v>
      </c>
      <c r="R374" s="523">
        <f t="shared" si="443"/>
        <v>0</v>
      </c>
      <c r="S374" s="523"/>
      <c r="T374" s="523"/>
      <c r="U374" s="523">
        <f t="shared" si="444"/>
        <v>2</v>
      </c>
      <c r="V374" s="523"/>
      <c r="W374" s="523">
        <v>2</v>
      </c>
      <c r="X374" s="523"/>
      <c r="Y374" s="523"/>
      <c r="Z374" s="523"/>
      <c r="AA374" s="523"/>
      <c r="AB374" s="523"/>
      <c r="AC374" s="523"/>
      <c r="AD374" s="523"/>
      <c r="AE374" s="523"/>
      <c r="AF374" s="523"/>
      <c r="AG374" s="523"/>
      <c r="AH374" s="523"/>
      <c r="AI374" s="523"/>
      <c r="AJ374" s="523"/>
      <c r="AK374" s="561">
        <f t="shared" si="431"/>
        <v>0</v>
      </c>
      <c r="AL374" s="561">
        <f t="shared" si="445"/>
        <v>0</v>
      </c>
      <c r="AM374" s="561">
        <f t="shared" si="445"/>
        <v>0</v>
      </c>
      <c r="AN374" s="561">
        <f t="shared" si="446"/>
        <v>0</v>
      </c>
      <c r="AO374" s="561">
        <f t="shared" si="446"/>
        <v>0</v>
      </c>
      <c r="AP374" s="561"/>
      <c r="AQ374" s="562"/>
      <c r="AR374" s="562"/>
    </row>
    <row r="375" spans="1:45" s="83" customFormat="1" hidden="1" outlineLevel="1">
      <c r="A375" s="521"/>
      <c r="B375" s="522" t="s">
        <v>193</v>
      </c>
      <c r="C375" s="528"/>
      <c r="D375" s="523"/>
      <c r="E375" s="523"/>
      <c r="F375" s="523"/>
      <c r="G375" s="523"/>
      <c r="H375" s="561">
        <f t="shared" si="439"/>
        <v>244</v>
      </c>
      <c r="I375" s="561">
        <f t="shared" si="440"/>
        <v>0</v>
      </c>
      <c r="J375" s="523"/>
      <c r="K375" s="523"/>
      <c r="L375" s="561">
        <f t="shared" si="441"/>
        <v>244</v>
      </c>
      <c r="M375" s="523"/>
      <c r="N375" s="523">
        <v>244</v>
      </c>
      <c r="O375" s="523">
        <f t="shared" si="442"/>
        <v>244</v>
      </c>
      <c r="P375" s="543">
        <f t="shared" si="399"/>
        <v>0</v>
      </c>
      <c r="Q375" s="543">
        <f t="shared" si="400"/>
        <v>244</v>
      </c>
      <c r="R375" s="523">
        <f t="shared" si="443"/>
        <v>0</v>
      </c>
      <c r="S375" s="523"/>
      <c r="T375" s="523"/>
      <c r="U375" s="523">
        <f t="shared" si="444"/>
        <v>244</v>
      </c>
      <c r="V375" s="523"/>
      <c r="W375" s="523">
        <v>244</v>
      </c>
      <c r="X375" s="523"/>
      <c r="Y375" s="523"/>
      <c r="Z375" s="523"/>
      <c r="AA375" s="523"/>
      <c r="AB375" s="523"/>
      <c r="AC375" s="523"/>
      <c r="AD375" s="523"/>
      <c r="AE375" s="523"/>
      <c r="AF375" s="523"/>
      <c r="AG375" s="523"/>
      <c r="AH375" s="523"/>
      <c r="AI375" s="523"/>
      <c r="AJ375" s="523"/>
      <c r="AK375" s="561">
        <f t="shared" si="431"/>
        <v>0</v>
      </c>
      <c r="AL375" s="561">
        <f t="shared" si="445"/>
        <v>0</v>
      </c>
      <c r="AM375" s="561">
        <f t="shared" si="445"/>
        <v>0</v>
      </c>
      <c r="AN375" s="561">
        <f t="shared" si="446"/>
        <v>0</v>
      </c>
      <c r="AO375" s="561">
        <f t="shared" si="446"/>
        <v>0</v>
      </c>
      <c r="AP375" s="561"/>
      <c r="AQ375" s="562"/>
      <c r="AR375" s="562"/>
    </row>
    <row r="376" spans="1:45" s="83" customFormat="1" hidden="1" outlineLevel="1">
      <c r="A376" s="521"/>
      <c r="B376" s="522" t="s">
        <v>2185</v>
      </c>
      <c r="C376" s="528"/>
      <c r="D376" s="523"/>
      <c r="E376" s="523"/>
      <c r="F376" s="523"/>
      <c r="G376" s="523"/>
      <c r="H376" s="561">
        <f t="shared" si="439"/>
        <v>537</v>
      </c>
      <c r="I376" s="561">
        <f t="shared" si="440"/>
        <v>0</v>
      </c>
      <c r="J376" s="523"/>
      <c r="K376" s="523"/>
      <c r="L376" s="561">
        <f t="shared" si="441"/>
        <v>537</v>
      </c>
      <c r="M376" s="523"/>
      <c r="N376" s="523">
        <v>537</v>
      </c>
      <c r="O376" s="523">
        <f t="shared" si="442"/>
        <v>0</v>
      </c>
      <c r="P376" s="543">
        <f t="shared" si="399"/>
        <v>0</v>
      </c>
      <c r="Q376" s="543">
        <f t="shared" si="400"/>
        <v>0</v>
      </c>
      <c r="R376" s="523">
        <f t="shared" si="443"/>
        <v>0</v>
      </c>
      <c r="S376" s="523"/>
      <c r="T376" s="523"/>
      <c r="U376" s="523">
        <f t="shared" si="444"/>
        <v>0</v>
      </c>
      <c r="V376" s="523"/>
      <c r="W376" s="523"/>
      <c r="X376" s="523"/>
      <c r="Y376" s="523"/>
      <c r="Z376" s="523"/>
      <c r="AA376" s="523"/>
      <c r="AB376" s="523"/>
      <c r="AC376" s="523"/>
      <c r="AD376" s="523"/>
      <c r="AE376" s="523"/>
      <c r="AF376" s="523"/>
      <c r="AG376" s="523"/>
      <c r="AH376" s="523"/>
      <c r="AI376" s="523"/>
      <c r="AJ376" s="523"/>
      <c r="AK376" s="561">
        <f t="shared" si="431"/>
        <v>537</v>
      </c>
      <c r="AL376" s="561">
        <f t="shared" si="445"/>
        <v>0</v>
      </c>
      <c r="AM376" s="561">
        <f t="shared" si="445"/>
        <v>0</v>
      </c>
      <c r="AN376" s="561">
        <f t="shared" si="446"/>
        <v>0</v>
      </c>
      <c r="AO376" s="561">
        <f t="shared" si="446"/>
        <v>537</v>
      </c>
      <c r="AP376" s="561"/>
      <c r="AQ376" s="562"/>
      <c r="AR376" s="562"/>
    </row>
    <row r="377" spans="1:45" s="83" customFormat="1" hidden="1" outlineLevel="1">
      <c r="A377" s="521">
        <v>10</v>
      </c>
      <c r="B377" s="565" t="s">
        <v>2186</v>
      </c>
      <c r="C377" s="528"/>
      <c r="D377" s="523"/>
      <c r="E377" s="523"/>
      <c r="F377" s="523"/>
      <c r="G377" s="523"/>
      <c r="H377" s="523">
        <f t="shared" ref="H377:J377" si="447">H378</f>
        <v>575</v>
      </c>
      <c r="I377" s="523">
        <f t="shared" si="447"/>
        <v>575</v>
      </c>
      <c r="J377" s="523">
        <f t="shared" si="447"/>
        <v>0</v>
      </c>
      <c r="K377" s="523">
        <f>K378</f>
        <v>575</v>
      </c>
      <c r="L377" s="523">
        <f t="shared" ref="L377:AO377" si="448">L378</f>
        <v>0</v>
      </c>
      <c r="M377" s="523">
        <f t="shared" si="448"/>
        <v>0</v>
      </c>
      <c r="N377" s="523">
        <f t="shared" si="448"/>
        <v>0</v>
      </c>
      <c r="O377" s="523">
        <f t="shared" si="448"/>
        <v>575</v>
      </c>
      <c r="P377" s="543">
        <f t="shared" si="399"/>
        <v>0</v>
      </c>
      <c r="Q377" s="543">
        <f t="shared" si="400"/>
        <v>575</v>
      </c>
      <c r="R377" s="523">
        <f t="shared" si="448"/>
        <v>575</v>
      </c>
      <c r="S377" s="523">
        <f t="shared" si="448"/>
        <v>0</v>
      </c>
      <c r="T377" s="523">
        <f t="shared" si="448"/>
        <v>575</v>
      </c>
      <c r="U377" s="523">
        <f t="shared" si="448"/>
        <v>0</v>
      </c>
      <c r="V377" s="523">
        <f t="shared" si="448"/>
        <v>0</v>
      </c>
      <c r="W377" s="523">
        <f t="shared" si="448"/>
        <v>0</v>
      </c>
      <c r="X377" s="523">
        <f t="shared" si="448"/>
        <v>0</v>
      </c>
      <c r="Y377" s="523">
        <f t="shared" si="448"/>
        <v>0</v>
      </c>
      <c r="Z377" s="523">
        <f t="shared" si="448"/>
        <v>0</v>
      </c>
      <c r="AA377" s="523">
        <f t="shared" si="448"/>
        <v>0</v>
      </c>
      <c r="AB377" s="523">
        <f t="shared" si="448"/>
        <v>0</v>
      </c>
      <c r="AC377" s="523">
        <f t="shared" si="448"/>
        <v>0</v>
      </c>
      <c r="AD377" s="523">
        <f t="shared" si="448"/>
        <v>0</v>
      </c>
      <c r="AE377" s="523">
        <f t="shared" si="448"/>
        <v>0</v>
      </c>
      <c r="AF377" s="523">
        <f t="shared" si="448"/>
        <v>0</v>
      </c>
      <c r="AG377" s="523">
        <f t="shared" si="448"/>
        <v>0</v>
      </c>
      <c r="AH377" s="523">
        <f t="shared" si="448"/>
        <v>0</v>
      </c>
      <c r="AI377" s="523">
        <f t="shared" si="448"/>
        <v>0</v>
      </c>
      <c r="AJ377" s="523">
        <f t="shared" si="448"/>
        <v>0</v>
      </c>
      <c r="AK377" s="523">
        <f t="shared" si="448"/>
        <v>0</v>
      </c>
      <c r="AL377" s="523">
        <f t="shared" si="448"/>
        <v>0</v>
      </c>
      <c r="AM377" s="523">
        <f t="shared" si="448"/>
        <v>0</v>
      </c>
      <c r="AN377" s="523">
        <f t="shared" si="448"/>
        <v>0</v>
      </c>
      <c r="AO377" s="523">
        <f t="shared" si="448"/>
        <v>0</v>
      </c>
      <c r="AP377" s="523"/>
      <c r="AQ377" s="524"/>
      <c r="AR377" s="524"/>
    </row>
    <row r="378" spans="1:45" s="83" customFormat="1" hidden="1" outlineLevel="1">
      <c r="A378" s="521"/>
      <c r="B378" s="560" t="s">
        <v>482</v>
      </c>
      <c r="C378" s="528"/>
      <c r="D378" s="523"/>
      <c r="E378" s="523"/>
      <c r="F378" s="523"/>
      <c r="G378" s="523"/>
      <c r="H378" s="561">
        <f t="shared" ref="H378" si="449">I378+L378</f>
        <v>575</v>
      </c>
      <c r="I378" s="561">
        <f t="shared" ref="I378" si="450">J378+K378</f>
        <v>575</v>
      </c>
      <c r="J378" s="523"/>
      <c r="K378" s="523">
        <v>575</v>
      </c>
      <c r="L378" s="561"/>
      <c r="M378" s="523"/>
      <c r="N378" s="523"/>
      <c r="O378" s="523">
        <f t="shared" si="442"/>
        <v>575</v>
      </c>
      <c r="P378" s="543">
        <f t="shared" si="399"/>
        <v>0</v>
      </c>
      <c r="Q378" s="543">
        <f t="shared" si="400"/>
        <v>575</v>
      </c>
      <c r="R378" s="523">
        <f t="shared" si="443"/>
        <v>575</v>
      </c>
      <c r="S378" s="523"/>
      <c r="T378" s="523">
        <v>575</v>
      </c>
      <c r="U378" s="523">
        <f t="shared" si="444"/>
        <v>0</v>
      </c>
      <c r="V378" s="523"/>
      <c r="W378" s="523"/>
      <c r="X378" s="523"/>
      <c r="Y378" s="523"/>
      <c r="Z378" s="523"/>
      <c r="AA378" s="523"/>
      <c r="AB378" s="523"/>
      <c r="AC378" s="523"/>
      <c r="AD378" s="523"/>
      <c r="AE378" s="523"/>
      <c r="AF378" s="523"/>
      <c r="AG378" s="523"/>
      <c r="AH378" s="523"/>
      <c r="AI378" s="523"/>
      <c r="AJ378" s="523"/>
      <c r="AK378" s="561">
        <f t="shared" si="431"/>
        <v>0</v>
      </c>
      <c r="AL378" s="561">
        <f t="shared" si="445"/>
        <v>0</v>
      </c>
      <c r="AM378" s="561">
        <f t="shared" si="445"/>
        <v>0</v>
      </c>
      <c r="AN378" s="561">
        <f t="shared" si="446"/>
        <v>0</v>
      </c>
      <c r="AO378" s="561">
        <f t="shared" si="446"/>
        <v>0</v>
      </c>
      <c r="AP378" s="561"/>
      <c r="AQ378" s="562"/>
      <c r="AR378" s="562"/>
    </row>
    <row r="379" spans="1:45" s="83" customFormat="1" ht="46.8" hidden="1" outlineLevel="1">
      <c r="A379" s="521">
        <v>11</v>
      </c>
      <c r="B379" s="566" t="s">
        <v>2187</v>
      </c>
      <c r="C379" s="528"/>
      <c r="D379" s="523"/>
      <c r="E379" s="523"/>
      <c r="F379" s="523"/>
      <c r="G379" s="523"/>
      <c r="H379" s="523">
        <f t="shared" ref="H379:J379" si="451">H380</f>
        <v>2502</v>
      </c>
      <c r="I379" s="523">
        <f t="shared" si="451"/>
        <v>2502</v>
      </c>
      <c r="J379" s="523">
        <f t="shared" si="451"/>
        <v>0</v>
      </c>
      <c r="K379" s="523">
        <f>K380</f>
        <v>2502</v>
      </c>
      <c r="L379" s="523">
        <f t="shared" ref="L379:AO379" si="452">L380</f>
        <v>0</v>
      </c>
      <c r="M379" s="523">
        <f t="shared" si="452"/>
        <v>0</v>
      </c>
      <c r="N379" s="523">
        <f t="shared" si="452"/>
        <v>0</v>
      </c>
      <c r="O379" s="523">
        <f t="shared" si="452"/>
        <v>2502</v>
      </c>
      <c r="P379" s="543">
        <f t="shared" si="399"/>
        <v>0</v>
      </c>
      <c r="Q379" s="543">
        <f t="shared" si="400"/>
        <v>2502</v>
      </c>
      <c r="R379" s="523">
        <f t="shared" si="452"/>
        <v>2502</v>
      </c>
      <c r="S379" s="523">
        <f t="shared" si="452"/>
        <v>0</v>
      </c>
      <c r="T379" s="523">
        <f t="shared" si="452"/>
        <v>2502</v>
      </c>
      <c r="U379" s="523">
        <f t="shared" si="452"/>
        <v>0</v>
      </c>
      <c r="V379" s="523">
        <f t="shared" si="452"/>
        <v>0</v>
      </c>
      <c r="W379" s="523">
        <f t="shared" si="452"/>
        <v>0</v>
      </c>
      <c r="X379" s="523">
        <f t="shared" si="452"/>
        <v>0</v>
      </c>
      <c r="Y379" s="523">
        <f t="shared" si="452"/>
        <v>0</v>
      </c>
      <c r="Z379" s="523">
        <f t="shared" si="452"/>
        <v>0</v>
      </c>
      <c r="AA379" s="523">
        <f t="shared" si="452"/>
        <v>0</v>
      </c>
      <c r="AB379" s="523">
        <f t="shared" si="452"/>
        <v>0</v>
      </c>
      <c r="AC379" s="523">
        <f t="shared" si="452"/>
        <v>0</v>
      </c>
      <c r="AD379" s="523">
        <f t="shared" si="452"/>
        <v>0</v>
      </c>
      <c r="AE379" s="523">
        <f t="shared" si="452"/>
        <v>0</v>
      </c>
      <c r="AF379" s="523">
        <f t="shared" si="452"/>
        <v>0</v>
      </c>
      <c r="AG379" s="523">
        <f t="shared" si="452"/>
        <v>0</v>
      </c>
      <c r="AH379" s="523">
        <f t="shared" si="452"/>
        <v>0</v>
      </c>
      <c r="AI379" s="523">
        <f t="shared" si="452"/>
        <v>0</v>
      </c>
      <c r="AJ379" s="523">
        <f t="shared" si="452"/>
        <v>0</v>
      </c>
      <c r="AK379" s="523">
        <f t="shared" si="452"/>
        <v>0</v>
      </c>
      <c r="AL379" s="523">
        <f t="shared" si="452"/>
        <v>0</v>
      </c>
      <c r="AM379" s="523">
        <f t="shared" si="452"/>
        <v>0</v>
      </c>
      <c r="AN379" s="523">
        <f t="shared" si="452"/>
        <v>0</v>
      </c>
      <c r="AO379" s="523">
        <f t="shared" si="452"/>
        <v>0</v>
      </c>
      <c r="AP379" s="523"/>
      <c r="AQ379" s="524"/>
      <c r="AR379" s="524"/>
    </row>
    <row r="380" spans="1:45" s="83" customFormat="1" hidden="1" outlineLevel="1">
      <c r="A380" s="521"/>
      <c r="B380" s="560" t="s">
        <v>482</v>
      </c>
      <c r="C380" s="528"/>
      <c r="D380" s="523"/>
      <c r="E380" s="523"/>
      <c r="F380" s="523"/>
      <c r="G380" s="523"/>
      <c r="H380" s="561">
        <f t="shared" ref="H380" si="453">I380+L380</f>
        <v>2502</v>
      </c>
      <c r="I380" s="561">
        <f t="shared" ref="I380" si="454">J380+K380</f>
        <v>2502</v>
      </c>
      <c r="J380" s="523"/>
      <c r="K380" s="523">
        <v>2502</v>
      </c>
      <c r="L380" s="561"/>
      <c r="M380" s="523"/>
      <c r="N380" s="523"/>
      <c r="O380" s="523">
        <f t="shared" si="442"/>
        <v>2502</v>
      </c>
      <c r="P380" s="543">
        <f t="shared" si="399"/>
        <v>0</v>
      </c>
      <c r="Q380" s="543">
        <f t="shared" si="400"/>
        <v>2502</v>
      </c>
      <c r="R380" s="523">
        <f t="shared" si="443"/>
        <v>2502</v>
      </c>
      <c r="S380" s="523"/>
      <c r="T380" s="523">
        <v>2502</v>
      </c>
      <c r="U380" s="523">
        <f t="shared" si="444"/>
        <v>0</v>
      </c>
      <c r="V380" s="523"/>
      <c r="W380" s="523"/>
      <c r="X380" s="523"/>
      <c r="Y380" s="523"/>
      <c r="Z380" s="523"/>
      <c r="AA380" s="523"/>
      <c r="AB380" s="523"/>
      <c r="AC380" s="523"/>
      <c r="AD380" s="523"/>
      <c r="AE380" s="523"/>
      <c r="AF380" s="523"/>
      <c r="AG380" s="523"/>
      <c r="AH380" s="523"/>
      <c r="AI380" s="523"/>
      <c r="AJ380" s="523"/>
      <c r="AK380" s="561">
        <f t="shared" si="431"/>
        <v>0</v>
      </c>
      <c r="AL380" s="561">
        <f t="shared" si="445"/>
        <v>0</v>
      </c>
      <c r="AM380" s="561">
        <f t="shared" si="445"/>
        <v>0</v>
      </c>
      <c r="AN380" s="561">
        <f t="shared" si="446"/>
        <v>0</v>
      </c>
      <c r="AO380" s="561">
        <f t="shared" si="446"/>
        <v>0</v>
      </c>
      <c r="AP380" s="561"/>
      <c r="AQ380" s="562"/>
      <c r="AR380" s="562"/>
    </row>
    <row r="381" spans="1:45" s="83" customFormat="1" ht="27.6" hidden="1" outlineLevel="1">
      <c r="A381" s="545">
        <v>12</v>
      </c>
      <c r="B381" s="554" t="s">
        <v>506</v>
      </c>
      <c r="C381" s="523">
        <f t="shared" ref="C381:AR381" si="455">SUM(C382:C393)</f>
        <v>24806.043839999998</v>
      </c>
      <c r="D381" s="523">
        <f t="shared" si="455"/>
        <v>0</v>
      </c>
      <c r="E381" s="523">
        <f t="shared" si="455"/>
        <v>928.18000000000029</v>
      </c>
      <c r="F381" s="523">
        <f t="shared" si="455"/>
        <v>0</v>
      </c>
      <c r="G381" s="523">
        <f t="shared" si="455"/>
        <v>23877.863839999998</v>
      </c>
      <c r="H381" s="523">
        <f t="shared" si="455"/>
        <v>11066</v>
      </c>
      <c r="I381" s="523">
        <f t="shared" si="455"/>
        <v>679</v>
      </c>
      <c r="J381" s="523">
        <f t="shared" si="455"/>
        <v>0</v>
      </c>
      <c r="K381" s="523">
        <f t="shared" si="455"/>
        <v>679</v>
      </c>
      <c r="L381" s="523">
        <f t="shared" si="455"/>
        <v>10387</v>
      </c>
      <c r="M381" s="523">
        <f t="shared" si="455"/>
        <v>0</v>
      </c>
      <c r="N381" s="523">
        <f t="shared" si="455"/>
        <v>10387</v>
      </c>
      <c r="O381" s="523">
        <f t="shared" si="455"/>
        <v>32508</v>
      </c>
      <c r="P381" s="543">
        <f t="shared" si="399"/>
        <v>0</v>
      </c>
      <c r="Q381" s="543">
        <f t="shared" si="400"/>
        <v>32508</v>
      </c>
      <c r="R381" s="523">
        <f t="shared" si="455"/>
        <v>679</v>
      </c>
      <c r="S381" s="523">
        <f t="shared" si="455"/>
        <v>0</v>
      </c>
      <c r="T381" s="523">
        <f>SUM(T382:T393)</f>
        <v>679</v>
      </c>
      <c r="U381" s="523">
        <f t="shared" si="455"/>
        <v>31829</v>
      </c>
      <c r="V381" s="523">
        <f t="shared" si="455"/>
        <v>0</v>
      </c>
      <c r="W381" s="523">
        <f t="shared" si="455"/>
        <v>31829</v>
      </c>
      <c r="X381" s="523">
        <f t="shared" si="455"/>
        <v>958.86383999999998</v>
      </c>
      <c r="Y381" s="523">
        <f t="shared" si="455"/>
        <v>0</v>
      </c>
      <c r="Z381" s="523">
        <f t="shared" si="455"/>
        <v>0</v>
      </c>
      <c r="AA381" s="523">
        <f t="shared" si="455"/>
        <v>0</v>
      </c>
      <c r="AB381" s="523">
        <f t="shared" si="455"/>
        <v>958.86383999999998</v>
      </c>
      <c r="AC381" s="523">
        <f t="shared" si="455"/>
        <v>0</v>
      </c>
      <c r="AD381" s="523">
        <f t="shared" si="455"/>
        <v>958.86383999999998</v>
      </c>
      <c r="AE381" s="523">
        <f t="shared" si="455"/>
        <v>0</v>
      </c>
      <c r="AF381" s="523">
        <f t="shared" si="455"/>
        <v>0</v>
      </c>
      <c r="AG381" s="523">
        <f t="shared" si="455"/>
        <v>0</v>
      </c>
      <c r="AH381" s="523">
        <f t="shared" si="455"/>
        <v>0</v>
      </c>
      <c r="AI381" s="523">
        <f t="shared" si="455"/>
        <v>0</v>
      </c>
      <c r="AJ381" s="523">
        <f t="shared" si="455"/>
        <v>0</v>
      </c>
      <c r="AK381" s="523">
        <f t="shared" si="455"/>
        <v>2405.1800000000003</v>
      </c>
      <c r="AL381" s="523">
        <f t="shared" si="455"/>
        <v>0</v>
      </c>
      <c r="AM381" s="523">
        <f t="shared" si="455"/>
        <v>928.18000000000029</v>
      </c>
      <c r="AN381" s="523">
        <f t="shared" si="455"/>
        <v>0</v>
      </c>
      <c r="AO381" s="523">
        <f t="shared" si="455"/>
        <v>1477</v>
      </c>
      <c r="AP381" s="523"/>
      <c r="AQ381" s="524">
        <f t="shared" si="455"/>
        <v>928.18000000000029</v>
      </c>
      <c r="AR381" s="524">
        <f t="shared" si="455"/>
        <v>0</v>
      </c>
      <c r="AS381" s="83" t="s">
        <v>2181</v>
      </c>
    </row>
    <row r="382" spans="1:45" s="83" customFormat="1" hidden="1" outlineLevel="1">
      <c r="A382" s="521"/>
      <c r="B382" s="522" t="s">
        <v>2188</v>
      </c>
      <c r="C382" s="528">
        <f t="shared" ref="C382:C391" si="456">SUM(D382:G382)</f>
        <v>8537</v>
      </c>
      <c r="D382" s="523">
        <v>0</v>
      </c>
      <c r="E382" s="523">
        <v>0</v>
      </c>
      <c r="F382" s="523">
        <v>0</v>
      </c>
      <c r="G382" s="523">
        <f>2717+5820</f>
        <v>8537</v>
      </c>
      <c r="H382" s="523">
        <f t="shared" ref="H382:H393" si="457">I382+L382</f>
        <v>3567</v>
      </c>
      <c r="I382" s="523">
        <f t="shared" ref="I382:I392" si="458">J382+K382</f>
        <v>0</v>
      </c>
      <c r="J382" s="523"/>
      <c r="K382" s="523">
        <v>0</v>
      </c>
      <c r="L382" s="523">
        <f t="shared" ref="L382:L391" si="459">M382+N382</f>
        <v>3567</v>
      </c>
      <c r="M382" s="523"/>
      <c r="N382" s="523">
        <v>3567</v>
      </c>
      <c r="O382" s="523">
        <f t="shared" si="442"/>
        <v>12104</v>
      </c>
      <c r="P382" s="543">
        <f t="shared" si="399"/>
        <v>0</v>
      </c>
      <c r="Q382" s="543">
        <f t="shared" si="400"/>
        <v>12104</v>
      </c>
      <c r="R382" s="523">
        <f t="shared" si="443"/>
        <v>0</v>
      </c>
      <c r="S382" s="523"/>
      <c r="T382" s="523"/>
      <c r="U382" s="523">
        <f t="shared" si="444"/>
        <v>12104</v>
      </c>
      <c r="V382" s="523"/>
      <c r="W382" s="523">
        <f>N382+G382</f>
        <v>12104</v>
      </c>
      <c r="X382" s="523">
        <f t="shared" ref="X382:X393" si="460">Y382+AB382+AE382+AH382</f>
        <v>0</v>
      </c>
      <c r="Y382" s="523">
        <f t="shared" ref="Y382:Y393" si="461">Z382+AA382</f>
        <v>0</v>
      </c>
      <c r="Z382" s="523"/>
      <c r="AA382" s="523"/>
      <c r="AB382" s="523">
        <f t="shared" ref="AB382:AB393" si="462">AC382+AD382</f>
        <v>0</v>
      </c>
      <c r="AC382" s="523"/>
      <c r="AD382" s="523"/>
      <c r="AE382" s="523">
        <f t="shared" ref="AE382:AE393" si="463">AF382+AG382</f>
        <v>0</v>
      </c>
      <c r="AF382" s="523"/>
      <c r="AG382" s="523"/>
      <c r="AH382" s="523">
        <f t="shared" ref="AH382:AH393" si="464">AI382+AJ382</f>
        <v>0</v>
      </c>
      <c r="AI382" s="523"/>
      <c r="AJ382" s="523"/>
      <c r="AK382" s="561">
        <f t="shared" si="431"/>
        <v>0</v>
      </c>
      <c r="AL382" s="561">
        <f t="shared" si="445"/>
        <v>0</v>
      </c>
      <c r="AM382" s="561">
        <f t="shared" si="445"/>
        <v>0</v>
      </c>
      <c r="AN382" s="561">
        <f t="shared" si="446"/>
        <v>0</v>
      </c>
      <c r="AO382" s="561">
        <f t="shared" si="446"/>
        <v>0</v>
      </c>
      <c r="AP382" s="561"/>
      <c r="AQ382" s="562"/>
      <c r="AR382" s="562"/>
    </row>
    <row r="383" spans="1:45" s="83" customFormat="1" hidden="1" outlineLevel="1">
      <c r="A383" s="521"/>
      <c r="B383" s="522" t="s">
        <v>200</v>
      </c>
      <c r="C383" s="528">
        <f t="shared" si="456"/>
        <v>5069</v>
      </c>
      <c r="D383" s="523">
        <v>0</v>
      </c>
      <c r="E383" s="523">
        <v>0</v>
      </c>
      <c r="F383" s="523">
        <v>0</v>
      </c>
      <c r="G383" s="523">
        <v>5069</v>
      </c>
      <c r="H383" s="523">
        <f t="shared" si="457"/>
        <v>1239</v>
      </c>
      <c r="I383" s="523">
        <f t="shared" si="458"/>
        <v>0</v>
      </c>
      <c r="J383" s="523"/>
      <c r="K383" s="523"/>
      <c r="L383" s="523">
        <f t="shared" si="459"/>
        <v>1239</v>
      </c>
      <c r="M383" s="523"/>
      <c r="N383" s="523">
        <v>1239</v>
      </c>
      <c r="O383" s="523">
        <f t="shared" si="442"/>
        <v>6308</v>
      </c>
      <c r="P383" s="543">
        <f t="shared" si="399"/>
        <v>0</v>
      </c>
      <c r="Q383" s="543">
        <f t="shared" si="400"/>
        <v>6308</v>
      </c>
      <c r="R383" s="523">
        <f t="shared" si="443"/>
        <v>0</v>
      </c>
      <c r="S383" s="523"/>
      <c r="T383" s="523"/>
      <c r="U383" s="523">
        <f t="shared" si="444"/>
        <v>6308</v>
      </c>
      <c r="V383" s="523"/>
      <c r="W383" s="523">
        <f>N383+G383</f>
        <v>6308</v>
      </c>
      <c r="X383" s="523">
        <f t="shared" si="460"/>
        <v>0</v>
      </c>
      <c r="Y383" s="523">
        <f t="shared" si="461"/>
        <v>0</v>
      </c>
      <c r="Z383" s="523"/>
      <c r="AA383" s="523"/>
      <c r="AB383" s="523">
        <f t="shared" si="462"/>
        <v>0</v>
      </c>
      <c r="AC383" s="523"/>
      <c r="AD383" s="523"/>
      <c r="AE383" s="523">
        <f t="shared" si="463"/>
        <v>0</v>
      </c>
      <c r="AF383" s="523"/>
      <c r="AG383" s="523"/>
      <c r="AH383" s="523">
        <f t="shared" si="464"/>
        <v>0</v>
      </c>
      <c r="AI383" s="523"/>
      <c r="AJ383" s="523"/>
      <c r="AK383" s="561">
        <f t="shared" si="431"/>
        <v>0</v>
      </c>
      <c r="AL383" s="561">
        <f t="shared" si="445"/>
        <v>0</v>
      </c>
      <c r="AM383" s="561">
        <f t="shared" si="445"/>
        <v>0</v>
      </c>
      <c r="AN383" s="561">
        <f t="shared" si="446"/>
        <v>0</v>
      </c>
      <c r="AO383" s="561">
        <f t="shared" si="446"/>
        <v>0</v>
      </c>
      <c r="AP383" s="561"/>
      <c r="AQ383" s="562"/>
      <c r="AR383" s="562"/>
    </row>
    <row r="384" spans="1:45" s="83" customFormat="1" hidden="1" outlineLevel="1">
      <c r="A384" s="521"/>
      <c r="B384" s="522" t="s">
        <v>197</v>
      </c>
      <c r="C384" s="528">
        <f t="shared" si="456"/>
        <v>1477</v>
      </c>
      <c r="D384" s="523">
        <v>0</v>
      </c>
      <c r="E384" s="523">
        <v>0</v>
      </c>
      <c r="F384" s="523">
        <v>0</v>
      </c>
      <c r="G384" s="523">
        <v>1477</v>
      </c>
      <c r="H384" s="523">
        <f t="shared" si="457"/>
        <v>854</v>
      </c>
      <c r="I384" s="523">
        <f t="shared" si="458"/>
        <v>0</v>
      </c>
      <c r="J384" s="523"/>
      <c r="K384" s="523">
        <v>0</v>
      </c>
      <c r="L384" s="523">
        <f t="shared" si="459"/>
        <v>854</v>
      </c>
      <c r="M384" s="523"/>
      <c r="N384" s="523">
        <v>854</v>
      </c>
      <c r="O384" s="523">
        <f t="shared" si="442"/>
        <v>854</v>
      </c>
      <c r="P384" s="543">
        <f t="shared" si="399"/>
        <v>0</v>
      </c>
      <c r="Q384" s="543">
        <f t="shared" si="400"/>
        <v>854</v>
      </c>
      <c r="R384" s="523">
        <f t="shared" si="443"/>
        <v>0</v>
      </c>
      <c r="S384" s="523"/>
      <c r="T384" s="523"/>
      <c r="U384" s="523">
        <f t="shared" si="444"/>
        <v>854</v>
      </c>
      <c r="V384" s="523"/>
      <c r="W384" s="523">
        <v>854</v>
      </c>
      <c r="X384" s="523">
        <f t="shared" si="460"/>
        <v>0</v>
      </c>
      <c r="Y384" s="523">
        <f t="shared" si="461"/>
        <v>0</v>
      </c>
      <c r="Z384" s="523"/>
      <c r="AA384" s="523"/>
      <c r="AB384" s="523">
        <f t="shared" si="462"/>
        <v>0</v>
      </c>
      <c r="AC384" s="523"/>
      <c r="AD384" s="523"/>
      <c r="AE384" s="523">
        <f t="shared" si="463"/>
        <v>0</v>
      </c>
      <c r="AF384" s="523"/>
      <c r="AG384" s="523"/>
      <c r="AH384" s="523">
        <f t="shared" si="464"/>
        <v>0</v>
      </c>
      <c r="AI384" s="523"/>
      <c r="AJ384" s="523"/>
      <c r="AK384" s="561">
        <f t="shared" si="431"/>
        <v>1477</v>
      </c>
      <c r="AL384" s="561">
        <f t="shared" si="445"/>
        <v>0</v>
      </c>
      <c r="AM384" s="561">
        <f t="shared" si="445"/>
        <v>0</v>
      </c>
      <c r="AN384" s="561">
        <f t="shared" si="446"/>
        <v>0</v>
      </c>
      <c r="AO384" s="561">
        <f t="shared" si="446"/>
        <v>1477</v>
      </c>
      <c r="AP384" s="561"/>
      <c r="AQ384" s="562"/>
      <c r="AR384" s="562"/>
    </row>
    <row r="385" spans="1:44" s="83" customFormat="1" hidden="1" outlineLevel="1">
      <c r="A385" s="521"/>
      <c r="B385" s="522" t="s">
        <v>198</v>
      </c>
      <c r="C385" s="528">
        <f t="shared" si="456"/>
        <v>1130</v>
      </c>
      <c r="D385" s="523">
        <v>0</v>
      </c>
      <c r="E385" s="523">
        <v>0</v>
      </c>
      <c r="F385" s="523">
        <v>0</v>
      </c>
      <c r="G385" s="523">
        <v>1130</v>
      </c>
      <c r="H385" s="523">
        <f t="shared" si="457"/>
        <v>856</v>
      </c>
      <c r="I385" s="523">
        <f t="shared" si="458"/>
        <v>0</v>
      </c>
      <c r="J385" s="523"/>
      <c r="K385" s="523">
        <v>0</v>
      </c>
      <c r="L385" s="523">
        <f t="shared" si="459"/>
        <v>856</v>
      </c>
      <c r="M385" s="523"/>
      <c r="N385" s="523">
        <v>856</v>
      </c>
      <c r="O385" s="523">
        <f t="shared" si="442"/>
        <v>1986</v>
      </c>
      <c r="P385" s="543">
        <f t="shared" si="399"/>
        <v>0</v>
      </c>
      <c r="Q385" s="543">
        <f t="shared" si="400"/>
        <v>1986</v>
      </c>
      <c r="R385" s="523">
        <f t="shared" si="443"/>
        <v>0</v>
      </c>
      <c r="S385" s="523"/>
      <c r="T385" s="523"/>
      <c r="U385" s="523">
        <f t="shared" si="444"/>
        <v>1986</v>
      </c>
      <c r="V385" s="523"/>
      <c r="W385" s="523">
        <f>N385+G385</f>
        <v>1986</v>
      </c>
      <c r="X385" s="523">
        <f t="shared" si="460"/>
        <v>0</v>
      </c>
      <c r="Y385" s="523">
        <f t="shared" si="461"/>
        <v>0</v>
      </c>
      <c r="Z385" s="523"/>
      <c r="AA385" s="523"/>
      <c r="AB385" s="523">
        <f t="shared" si="462"/>
        <v>0</v>
      </c>
      <c r="AC385" s="523"/>
      <c r="AD385" s="523"/>
      <c r="AE385" s="523">
        <f t="shared" si="463"/>
        <v>0</v>
      </c>
      <c r="AF385" s="523"/>
      <c r="AG385" s="523"/>
      <c r="AH385" s="523"/>
      <c r="AI385" s="523"/>
      <c r="AJ385" s="523"/>
      <c r="AK385" s="561">
        <f t="shared" si="431"/>
        <v>0</v>
      </c>
      <c r="AL385" s="561">
        <f t="shared" si="445"/>
        <v>0</v>
      </c>
      <c r="AM385" s="561">
        <f t="shared" si="445"/>
        <v>0</v>
      </c>
      <c r="AN385" s="561">
        <f t="shared" si="446"/>
        <v>0</v>
      </c>
      <c r="AO385" s="561">
        <f t="shared" si="446"/>
        <v>0</v>
      </c>
      <c r="AP385" s="561"/>
      <c r="AQ385" s="562"/>
      <c r="AR385" s="562"/>
    </row>
    <row r="386" spans="1:44" s="83" customFormat="1" hidden="1" outlineLevel="1">
      <c r="A386" s="521"/>
      <c r="B386" s="522" t="s">
        <v>194</v>
      </c>
      <c r="C386" s="528">
        <f t="shared" si="456"/>
        <v>1543</v>
      </c>
      <c r="D386" s="523">
        <v>0</v>
      </c>
      <c r="E386" s="523">
        <v>0</v>
      </c>
      <c r="F386" s="523">
        <v>0</v>
      </c>
      <c r="G386" s="523">
        <v>1543</v>
      </c>
      <c r="H386" s="523">
        <f t="shared" si="457"/>
        <v>643</v>
      </c>
      <c r="I386" s="523">
        <f t="shared" si="458"/>
        <v>0</v>
      </c>
      <c r="J386" s="523"/>
      <c r="K386" s="523">
        <v>0</v>
      </c>
      <c r="L386" s="523">
        <f t="shared" si="459"/>
        <v>643</v>
      </c>
      <c r="M386" s="523"/>
      <c r="N386" s="523">
        <v>643</v>
      </c>
      <c r="O386" s="523">
        <f t="shared" si="442"/>
        <v>2186</v>
      </c>
      <c r="P386" s="543">
        <f t="shared" si="399"/>
        <v>0</v>
      </c>
      <c r="Q386" s="543">
        <f t="shared" si="400"/>
        <v>2186</v>
      </c>
      <c r="R386" s="523">
        <f t="shared" si="443"/>
        <v>0</v>
      </c>
      <c r="S386" s="523"/>
      <c r="T386" s="523"/>
      <c r="U386" s="523">
        <f t="shared" si="444"/>
        <v>2186</v>
      </c>
      <c r="V386" s="523"/>
      <c r="W386" s="523">
        <f>643+1543</f>
        <v>2186</v>
      </c>
      <c r="X386" s="523">
        <f t="shared" si="460"/>
        <v>0</v>
      </c>
      <c r="Y386" s="523">
        <f t="shared" si="461"/>
        <v>0</v>
      </c>
      <c r="Z386" s="523"/>
      <c r="AA386" s="523"/>
      <c r="AB386" s="523">
        <f t="shared" si="462"/>
        <v>0</v>
      </c>
      <c r="AC386" s="523"/>
      <c r="AD386" s="523"/>
      <c r="AE386" s="523">
        <f t="shared" si="463"/>
        <v>0</v>
      </c>
      <c r="AF386" s="523"/>
      <c r="AG386" s="523"/>
      <c r="AH386" s="523"/>
      <c r="AI386" s="523"/>
      <c r="AJ386" s="523"/>
      <c r="AK386" s="561">
        <f t="shared" si="431"/>
        <v>0</v>
      </c>
      <c r="AL386" s="561">
        <f t="shared" si="445"/>
        <v>0</v>
      </c>
      <c r="AM386" s="561">
        <f t="shared" si="445"/>
        <v>0</v>
      </c>
      <c r="AN386" s="561">
        <f t="shared" si="446"/>
        <v>0</v>
      </c>
      <c r="AO386" s="561">
        <f t="shared" si="446"/>
        <v>0</v>
      </c>
      <c r="AP386" s="561"/>
      <c r="AQ386" s="562"/>
      <c r="AR386" s="562"/>
    </row>
    <row r="387" spans="1:44" s="83" customFormat="1" hidden="1" outlineLevel="1">
      <c r="A387" s="521"/>
      <c r="B387" s="522" t="s">
        <v>388</v>
      </c>
      <c r="C387" s="528">
        <f t="shared" si="456"/>
        <v>3728.86384</v>
      </c>
      <c r="D387" s="523">
        <v>0</v>
      </c>
      <c r="E387" s="523">
        <v>0</v>
      </c>
      <c r="F387" s="523">
        <v>0</v>
      </c>
      <c r="G387" s="523">
        <f>699.86384+3029</f>
        <v>3728.86384</v>
      </c>
      <c r="H387" s="523">
        <f t="shared" si="457"/>
        <v>1415</v>
      </c>
      <c r="I387" s="523">
        <f t="shared" si="458"/>
        <v>0</v>
      </c>
      <c r="J387" s="523"/>
      <c r="K387" s="523">
        <v>0</v>
      </c>
      <c r="L387" s="523">
        <f t="shared" si="459"/>
        <v>1415</v>
      </c>
      <c r="M387" s="523"/>
      <c r="N387" s="523">
        <v>1415</v>
      </c>
      <c r="O387" s="523">
        <f t="shared" si="442"/>
        <v>4444</v>
      </c>
      <c r="P387" s="543">
        <f t="shared" si="399"/>
        <v>0</v>
      </c>
      <c r="Q387" s="543">
        <f t="shared" si="400"/>
        <v>4444</v>
      </c>
      <c r="R387" s="523">
        <f t="shared" si="443"/>
        <v>0</v>
      </c>
      <c r="S387" s="523"/>
      <c r="T387" s="523"/>
      <c r="U387" s="523">
        <f t="shared" si="444"/>
        <v>4444</v>
      </c>
      <c r="V387" s="523"/>
      <c r="W387" s="523">
        <v>4444</v>
      </c>
      <c r="X387" s="523">
        <f t="shared" si="460"/>
        <v>699.86383999999998</v>
      </c>
      <c r="Y387" s="523">
        <f t="shared" si="461"/>
        <v>0</v>
      </c>
      <c r="Z387" s="523"/>
      <c r="AA387" s="523"/>
      <c r="AB387" s="523">
        <f t="shared" si="462"/>
        <v>699.86383999999998</v>
      </c>
      <c r="AC387" s="523"/>
      <c r="AD387" s="523">
        <v>699.86383999999998</v>
      </c>
      <c r="AE387" s="523">
        <f t="shared" si="463"/>
        <v>0</v>
      </c>
      <c r="AF387" s="523"/>
      <c r="AG387" s="523"/>
      <c r="AH387" s="523"/>
      <c r="AI387" s="523"/>
      <c r="AJ387" s="523"/>
      <c r="AK387" s="561">
        <f t="shared" si="431"/>
        <v>0</v>
      </c>
      <c r="AL387" s="561">
        <f t="shared" si="445"/>
        <v>0</v>
      </c>
      <c r="AM387" s="561">
        <f t="shared" si="445"/>
        <v>0</v>
      </c>
      <c r="AN387" s="561">
        <f t="shared" si="446"/>
        <v>0</v>
      </c>
      <c r="AO387" s="561">
        <f t="shared" si="446"/>
        <v>0</v>
      </c>
      <c r="AP387" s="561"/>
      <c r="AQ387" s="562"/>
      <c r="AR387" s="562"/>
    </row>
    <row r="388" spans="1:44" s="83" customFormat="1" hidden="1" outlineLevel="1">
      <c r="A388" s="521"/>
      <c r="B388" s="522" t="s">
        <v>199</v>
      </c>
      <c r="C388" s="528">
        <f t="shared" si="456"/>
        <v>0</v>
      </c>
      <c r="D388" s="523">
        <v>0</v>
      </c>
      <c r="E388" s="523">
        <v>0</v>
      </c>
      <c r="F388" s="523">
        <v>0</v>
      </c>
      <c r="G388" s="523">
        <v>0</v>
      </c>
      <c r="H388" s="523">
        <f t="shared" si="457"/>
        <v>41</v>
      </c>
      <c r="I388" s="523"/>
      <c r="J388" s="523"/>
      <c r="K388" s="523"/>
      <c r="L388" s="523">
        <f t="shared" si="459"/>
        <v>41</v>
      </c>
      <c r="M388" s="523"/>
      <c r="N388" s="523">
        <v>41</v>
      </c>
      <c r="O388" s="523">
        <f t="shared" si="442"/>
        <v>41</v>
      </c>
      <c r="P388" s="543">
        <f t="shared" si="399"/>
        <v>0</v>
      </c>
      <c r="Q388" s="543">
        <f t="shared" si="400"/>
        <v>41</v>
      </c>
      <c r="R388" s="523">
        <f t="shared" si="443"/>
        <v>0</v>
      </c>
      <c r="S388" s="523"/>
      <c r="T388" s="523"/>
      <c r="U388" s="523">
        <f t="shared" si="444"/>
        <v>41</v>
      </c>
      <c r="V388" s="523"/>
      <c r="W388" s="523">
        <v>41</v>
      </c>
      <c r="X388" s="523">
        <f t="shared" si="460"/>
        <v>0</v>
      </c>
      <c r="Y388" s="523">
        <f t="shared" si="461"/>
        <v>0</v>
      </c>
      <c r="Z388" s="523"/>
      <c r="AA388" s="523"/>
      <c r="AB388" s="523">
        <f t="shared" si="462"/>
        <v>0</v>
      </c>
      <c r="AC388" s="523"/>
      <c r="AD388" s="523"/>
      <c r="AE388" s="523">
        <f t="shared" si="463"/>
        <v>0</v>
      </c>
      <c r="AF388" s="523"/>
      <c r="AG388" s="523"/>
      <c r="AH388" s="523"/>
      <c r="AI388" s="523"/>
      <c r="AJ388" s="523"/>
      <c r="AK388" s="561">
        <f t="shared" si="431"/>
        <v>0</v>
      </c>
      <c r="AL388" s="561">
        <f t="shared" si="445"/>
        <v>0</v>
      </c>
      <c r="AM388" s="561">
        <f t="shared" si="445"/>
        <v>0</v>
      </c>
      <c r="AN388" s="561">
        <f t="shared" si="446"/>
        <v>0</v>
      </c>
      <c r="AO388" s="561">
        <f t="shared" si="446"/>
        <v>0</v>
      </c>
      <c r="AP388" s="561"/>
      <c r="AQ388" s="562"/>
      <c r="AR388" s="562"/>
    </row>
    <row r="389" spans="1:44" s="83" customFormat="1" hidden="1" outlineLevel="1">
      <c r="A389" s="521"/>
      <c r="B389" s="522" t="s">
        <v>196</v>
      </c>
      <c r="C389" s="528">
        <f t="shared" si="456"/>
        <v>398</v>
      </c>
      <c r="D389" s="523">
        <v>0</v>
      </c>
      <c r="E389" s="523">
        <v>0</v>
      </c>
      <c r="F389" s="523">
        <v>0</v>
      </c>
      <c r="G389" s="523">
        <f>259+139</f>
        <v>398</v>
      </c>
      <c r="H389" s="523">
        <f t="shared" si="457"/>
        <v>527</v>
      </c>
      <c r="I389" s="523">
        <f t="shared" si="458"/>
        <v>0</v>
      </c>
      <c r="J389" s="523"/>
      <c r="K389" s="523">
        <v>0</v>
      </c>
      <c r="L389" s="523">
        <f t="shared" si="459"/>
        <v>527</v>
      </c>
      <c r="M389" s="523"/>
      <c r="N389" s="523">
        <v>527</v>
      </c>
      <c r="O389" s="523">
        <f t="shared" si="442"/>
        <v>666</v>
      </c>
      <c r="P389" s="543">
        <f t="shared" si="399"/>
        <v>0</v>
      </c>
      <c r="Q389" s="543">
        <f t="shared" si="400"/>
        <v>666</v>
      </c>
      <c r="R389" s="523">
        <f t="shared" si="443"/>
        <v>0</v>
      </c>
      <c r="S389" s="523"/>
      <c r="T389" s="523"/>
      <c r="U389" s="523">
        <f t="shared" si="444"/>
        <v>666</v>
      </c>
      <c r="V389" s="523"/>
      <c r="W389" s="523">
        <f>527+139</f>
        <v>666</v>
      </c>
      <c r="X389" s="523">
        <f t="shared" si="460"/>
        <v>259</v>
      </c>
      <c r="Y389" s="523">
        <f t="shared" si="461"/>
        <v>0</v>
      </c>
      <c r="Z389" s="523"/>
      <c r="AA389" s="523"/>
      <c r="AB389" s="523">
        <f t="shared" si="462"/>
        <v>259</v>
      </c>
      <c r="AC389" s="523"/>
      <c r="AD389" s="523">
        <v>259</v>
      </c>
      <c r="AE389" s="523">
        <f t="shared" si="463"/>
        <v>0</v>
      </c>
      <c r="AF389" s="523"/>
      <c r="AG389" s="523"/>
      <c r="AH389" s="523">
        <f t="shared" si="464"/>
        <v>0</v>
      </c>
      <c r="AI389" s="523"/>
      <c r="AJ389" s="523"/>
      <c r="AK389" s="561">
        <f t="shared" si="431"/>
        <v>0</v>
      </c>
      <c r="AL389" s="561">
        <f t="shared" si="445"/>
        <v>0</v>
      </c>
      <c r="AM389" s="561">
        <f t="shared" si="445"/>
        <v>0</v>
      </c>
      <c r="AN389" s="561">
        <f t="shared" si="446"/>
        <v>0</v>
      </c>
      <c r="AO389" s="561">
        <f t="shared" si="446"/>
        <v>0</v>
      </c>
      <c r="AP389" s="561"/>
      <c r="AQ389" s="562"/>
      <c r="AR389" s="562"/>
    </row>
    <row r="390" spans="1:44" s="83" customFormat="1" hidden="1" outlineLevel="1">
      <c r="A390" s="521"/>
      <c r="B390" s="522" t="s">
        <v>193</v>
      </c>
      <c r="C390" s="528">
        <f t="shared" si="456"/>
        <v>0</v>
      </c>
      <c r="D390" s="523">
        <v>0</v>
      </c>
      <c r="E390" s="523">
        <v>0</v>
      </c>
      <c r="F390" s="523">
        <v>0</v>
      </c>
      <c r="G390" s="523">
        <v>0</v>
      </c>
      <c r="H390" s="523">
        <f t="shared" si="457"/>
        <v>470</v>
      </c>
      <c r="I390" s="523">
        <f t="shared" si="458"/>
        <v>0</v>
      </c>
      <c r="J390" s="523"/>
      <c r="K390" s="523">
        <v>0</v>
      </c>
      <c r="L390" s="523">
        <f t="shared" si="459"/>
        <v>470</v>
      </c>
      <c r="M390" s="523"/>
      <c r="N390" s="523">
        <v>470</v>
      </c>
      <c r="O390" s="523">
        <f t="shared" si="442"/>
        <v>470</v>
      </c>
      <c r="P390" s="543">
        <f t="shared" si="399"/>
        <v>0</v>
      </c>
      <c r="Q390" s="543">
        <f t="shared" si="400"/>
        <v>470</v>
      </c>
      <c r="R390" s="523">
        <f t="shared" si="443"/>
        <v>0</v>
      </c>
      <c r="S390" s="523"/>
      <c r="T390" s="523"/>
      <c r="U390" s="523">
        <f t="shared" si="444"/>
        <v>470</v>
      </c>
      <c r="V390" s="523"/>
      <c r="W390" s="523">
        <v>470</v>
      </c>
      <c r="X390" s="523">
        <f t="shared" si="460"/>
        <v>0</v>
      </c>
      <c r="Y390" s="523">
        <f t="shared" si="461"/>
        <v>0</v>
      </c>
      <c r="Z390" s="523"/>
      <c r="AA390" s="523"/>
      <c r="AB390" s="523">
        <f t="shared" si="462"/>
        <v>0</v>
      </c>
      <c r="AC390" s="523"/>
      <c r="AD390" s="523"/>
      <c r="AE390" s="523">
        <f t="shared" si="463"/>
        <v>0</v>
      </c>
      <c r="AF390" s="523"/>
      <c r="AG390" s="523"/>
      <c r="AH390" s="523">
        <f t="shared" si="464"/>
        <v>0</v>
      </c>
      <c r="AI390" s="523"/>
      <c r="AJ390" s="523"/>
      <c r="AK390" s="561">
        <f t="shared" si="431"/>
        <v>0</v>
      </c>
      <c r="AL390" s="561">
        <f t="shared" si="445"/>
        <v>0</v>
      </c>
      <c r="AM390" s="561">
        <f t="shared" si="445"/>
        <v>0</v>
      </c>
      <c r="AN390" s="561">
        <f t="shared" si="446"/>
        <v>0</v>
      </c>
      <c r="AO390" s="561">
        <f t="shared" si="446"/>
        <v>0</v>
      </c>
      <c r="AP390" s="561"/>
      <c r="AQ390" s="562"/>
      <c r="AR390" s="562"/>
    </row>
    <row r="391" spans="1:44" s="83" customFormat="1" hidden="1" outlineLevel="1">
      <c r="A391" s="521"/>
      <c r="B391" s="522" t="s">
        <v>192</v>
      </c>
      <c r="C391" s="528">
        <f t="shared" si="456"/>
        <v>1995</v>
      </c>
      <c r="D391" s="523">
        <v>0</v>
      </c>
      <c r="E391" s="523">
        <v>0</v>
      </c>
      <c r="F391" s="523">
        <v>0</v>
      </c>
      <c r="G391" s="523">
        <f>2699-704</f>
        <v>1995</v>
      </c>
      <c r="H391" s="523">
        <f t="shared" si="457"/>
        <v>775</v>
      </c>
      <c r="I391" s="523">
        <f t="shared" si="458"/>
        <v>0</v>
      </c>
      <c r="J391" s="523"/>
      <c r="K391" s="523">
        <v>0</v>
      </c>
      <c r="L391" s="523">
        <f t="shared" si="459"/>
        <v>775</v>
      </c>
      <c r="M391" s="523"/>
      <c r="N391" s="523">
        <v>775</v>
      </c>
      <c r="O391" s="523">
        <f t="shared" si="442"/>
        <v>2770</v>
      </c>
      <c r="P391" s="543">
        <f t="shared" si="399"/>
        <v>0</v>
      </c>
      <c r="Q391" s="543">
        <f t="shared" si="400"/>
        <v>2770</v>
      </c>
      <c r="R391" s="523">
        <f t="shared" si="443"/>
        <v>0</v>
      </c>
      <c r="S391" s="523"/>
      <c r="T391" s="523"/>
      <c r="U391" s="523">
        <f t="shared" si="444"/>
        <v>2770</v>
      </c>
      <c r="V391" s="523"/>
      <c r="W391" s="523">
        <f>N391+G391</f>
        <v>2770</v>
      </c>
      <c r="X391" s="523">
        <f t="shared" si="460"/>
        <v>0</v>
      </c>
      <c r="Y391" s="523">
        <f t="shared" si="461"/>
        <v>0</v>
      </c>
      <c r="Z391" s="523"/>
      <c r="AA391" s="523"/>
      <c r="AB391" s="523">
        <f t="shared" si="462"/>
        <v>0</v>
      </c>
      <c r="AC391" s="523"/>
      <c r="AD391" s="523"/>
      <c r="AE391" s="523">
        <f t="shared" si="463"/>
        <v>0</v>
      </c>
      <c r="AF391" s="523"/>
      <c r="AG391" s="523"/>
      <c r="AH391" s="523">
        <f t="shared" si="464"/>
        <v>0</v>
      </c>
      <c r="AI391" s="523"/>
      <c r="AJ391" s="523"/>
      <c r="AK391" s="561">
        <f t="shared" si="431"/>
        <v>0</v>
      </c>
      <c r="AL391" s="561">
        <f t="shared" si="445"/>
        <v>0</v>
      </c>
      <c r="AM391" s="561">
        <f t="shared" si="445"/>
        <v>0</v>
      </c>
      <c r="AN391" s="561">
        <f t="shared" si="446"/>
        <v>0</v>
      </c>
      <c r="AO391" s="561">
        <f t="shared" si="446"/>
        <v>0</v>
      </c>
      <c r="AP391" s="561"/>
      <c r="AQ391" s="562"/>
      <c r="AR391" s="562"/>
    </row>
    <row r="392" spans="1:44" s="83" customFormat="1" hidden="1" outlineLevel="1">
      <c r="A392" s="521"/>
      <c r="B392" s="522" t="s">
        <v>180</v>
      </c>
      <c r="C392" s="528"/>
      <c r="D392" s="523"/>
      <c r="E392" s="523"/>
      <c r="F392" s="523"/>
      <c r="G392" s="523"/>
      <c r="H392" s="523">
        <f t="shared" si="457"/>
        <v>679</v>
      </c>
      <c r="I392" s="523">
        <f t="shared" si="458"/>
        <v>679</v>
      </c>
      <c r="J392" s="523"/>
      <c r="K392" s="523">
        <v>679</v>
      </c>
      <c r="L392" s="523"/>
      <c r="M392" s="523"/>
      <c r="N392" s="523"/>
      <c r="O392" s="523">
        <f t="shared" si="442"/>
        <v>679</v>
      </c>
      <c r="P392" s="543">
        <f t="shared" si="399"/>
        <v>0</v>
      </c>
      <c r="Q392" s="543">
        <f t="shared" si="400"/>
        <v>679</v>
      </c>
      <c r="R392" s="523">
        <f t="shared" si="443"/>
        <v>679</v>
      </c>
      <c r="S392" s="523"/>
      <c r="T392" s="523">
        <v>679</v>
      </c>
      <c r="U392" s="523">
        <f t="shared" si="444"/>
        <v>0</v>
      </c>
      <c r="V392" s="523"/>
      <c r="W392" s="523"/>
      <c r="X392" s="523"/>
      <c r="Y392" s="523"/>
      <c r="Z392" s="523"/>
      <c r="AA392" s="523"/>
      <c r="AB392" s="523"/>
      <c r="AC392" s="523"/>
      <c r="AD392" s="523"/>
      <c r="AE392" s="523"/>
      <c r="AF392" s="523"/>
      <c r="AG392" s="523"/>
      <c r="AH392" s="523"/>
      <c r="AI392" s="523"/>
      <c r="AJ392" s="523"/>
      <c r="AK392" s="561">
        <f t="shared" si="431"/>
        <v>0</v>
      </c>
      <c r="AL392" s="561">
        <f t="shared" si="445"/>
        <v>0</v>
      </c>
      <c r="AM392" s="561">
        <f t="shared" si="445"/>
        <v>0</v>
      </c>
      <c r="AN392" s="561">
        <f t="shared" si="446"/>
        <v>0</v>
      </c>
      <c r="AO392" s="561">
        <f t="shared" si="446"/>
        <v>0</v>
      </c>
      <c r="AP392" s="561"/>
      <c r="AQ392" s="562"/>
      <c r="AR392" s="562"/>
    </row>
    <row r="393" spans="1:44" s="83" customFormat="1" hidden="1" outlineLevel="1">
      <c r="A393" s="521"/>
      <c r="B393" s="522" t="s">
        <v>398</v>
      </c>
      <c r="C393" s="528">
        <f t="shared" ref="C393:C408" si="465">SUM(D393:G393)</f>
        <v>928.18000000000029</v>
      </c>
      <c r="D393" s="523">
        <v>0</v>
      </c>
      <c r="E393" s="523">
        <f>21129.18-20201</f>
        <v>928.18000000000029</v>
      </c>
      <c r="F393" s="523">
        <v>0</v>
      </c>
      <c r="G393" s="523">
        <v>0</v>
      </c>
      <c r="H393" s="523">
        <f t="shared" si="457"/>
        <v>0</v>
      </c>
      <c r="I393" s="523">
        <f>J393+K393</f>
        <v>0</v>
      </c>
      <c r="J393" s="523"/>
      <c r="K393" s="523"/>
      <c r="L393" s="523">
        <f>M393+N393</f>
        <v>0</v>
      </c>
      <c r="M393" s="523"/>
      <c r="N393" s="523">
        <v>0</v>
      </c>
      <c r="O393" s="523">
        <f t="shared" si="442"/>
        <v>0</v>
      </c>
      <c r="P393" s="543">
        <f t="shared" si="399"/>
        <v>0</v>
      </c>
      <c r="Q393" s="543">
        <f t="shared" si="400"/>
        <v>0</v>
      </c>
      <c r="R393" s="523">
        <f t="shared" si="443"/>
        <v>0</v>
      </c>
      <c r="S393" s="523"/>
      <c r="T393" s="523"/>
      <c r="U393" s="523">
        <f t="shared" si="444"/>
        <v>0</v>
      </c>
      <c r="V393" s="523"/>
      <c r="W393" s="523"/>
      <c r="X393" s="523">
        <f t="shared" si="460"/>
        <v>0</v>
      </c>
      <c r="Y393" s="523">
        <f t="shared" si="461"/>
        <v>0</v>
      </c>
      <c r="Z393" s="523"/>
      <c r="AA393" s="523"/>
      <c r="AB393" s="523">
        <f t="shared" si="462"/>
        <v>0</v>
      </c>
      <c r="AC393" s="523"/>
      <c r="AD393" s="523"/>
      <c r="AE393" s="523">
        <f t="shared" si="463"/>
        <v>0</v>
      </c>
      <c r="AF393" s="523"/>
      <c r="AG393" s="523"/>
      <c r="AH393" s="523">
        <f t="shared" si="464"/>
        <v>0</v>
      </c>
      <c r="AI393" s="523"/>
      <c r="AJ393" s="523"/>
      <c r="AK393" s="561">
        <f t="shared" si="431"/>
        <v>928.18000000000029</v>
      </c>
      <c r="AL393" s="561">
        <f t="shared" si="445"/>
        <v>0</v>
      </c>
      <c r="AM393" s="561">
        <f t="shared" si="445"/>
        <v>928.18000000000029</v>
      </c>
      <c r="AN393" s="561">
        <f t="shared" si="446"/>
        <v>0</v>
      </c>
      <c r="AO393" s="561">
        <f t="shared" si="446"/>
        <v>0</v>
      </c>
      <c r="AP393" s="561"/>
      <c r="AQ393" s="562">
        <v>928.18000000000029</v>
      </c>
      <c r="AR393" s="562"/>
    </row>
    <row r="394" spans="1:44" s="83" customFormat="1" hidden="1" outlineLevel="1">
      <c r="A394" s="541">
        <v>13</v>
      </c>
      <c r="B394" s="536" t="s">
        <v>480</v>
      </c>
      <c r="C394" s="528">
        <f t="shared" si="465"/>
        <v>4439.2240000000002</v>
      </c>
      <c r="D394" s="546">
        <v>0</v>
      </c>
      <c r="E394" s="546">
        <v>1461.6999999999998</v>
      </c>
      <c r="F394" s="546">
        <v>0</v>
      </c>
      <c r="G394" s="546">
        <v>2977.5240000000003</v>
      </c>
      <c r="H394" s="546">
        <f>SUM(H395:H405)</f>
        <v>14348</v>
      </c>
      <c r="I394" s="546">
        <f t="shared" ref="I394:AJ394" si="466">SUM(I395:I405)</f>
        <v>0</v>
      </c>
      <c r="J394" s="546">
        <f t="shared" si="466"/>
        <v>0</v>
      </c>
      <c r="K394" s="546">
        <f t="shared" si="466"/>
        <v>0</v>
      </c>
      <c r="L394" s="546">
        <f t="shared" si="466"/>
        <v>14348</v>
      </c>
      <c r="M394" s="546">
        <f t="shared" si="466"/>
        <v>0</v>
      </c>
      <c r="N394" s="546">
        <f t="shared" si="466"/>
        <v>14348</v>
      </c>
      <c r="O394" s="546">
        <f t="shared" si="466"/>
        <v>13912.441999999999</v>
      </c>
      <c r="P394" s="543">
        <f t="shared" si="399"/>
        <v>0</v>
      </c>
      <c r="Q394" s="543">
        <f t="shared" si="400"/>
        <v>13912.441999999999</v>
      </c>
      <c r="R394" s="546">
        <f t="shared" si="466"/>
        <v>0</v>
      </c>
      <c r="S394" s="546">
        <f t="shared" si="466"/>
        <v>0</v>
      </c>
      <c r="T394" s="546">
        <f>SUM(T395:T405)</f>
        <v>0</v>
      </c>
      <c r="U394" s="546">
        <f t="shared" si="466"/>
        <v>13912.441999999999</v>
      </c>
      <c r="V394" s="546">
        <f t="shared" si="466"/>
        <v>0</v>
      </c>
      <c r="W394" s="546">
        <f t="shared" si="466"/>
        <v>13912.441999999999</v>
      </c>
      <c r="X394" s="546">
        <f t="shared" si="466"/>
        <v>2912.826</v>
      </c>
      <c r="Y394" s="546">
        <f t="shared" si="466"/>
        <v>1461.6999999999998</v>
      </c>
      <c r="Z394" s="546">
        <f t="shared" si="466"/>
        <v>0</v>
      </c>
      <c r="AA394" s="546">
        <f t="shared" si="466"/>
        <v>1461.6999999999998</v>
      </c>
      <c r="AB394" s="546">
        <f t="shared" si="466"/>
        <v>1451.1260000000002</v>
      </c>
      <c r="AC394" s="546">
        <f t="shared" si="466"/>
        <v>0</v>
      </c>
      <c r="AD394" s="546">
        <f t="shared" si="466"/>
        <v>1451.1260000000002</v>
      </c>
      <c r="AE394" s="546">
        <f t="shared" si="466"/>
        <v>0</v>
      </c>
      <c r="AF394" s="546">
        <f t="shared" si="466"/>
        <v>0</v>
      </c>
      <c r="AG394" s="546">
        <f t="shared" si="466"/>
        <v>0</v>
      </c>
      <c r="AH394" s="546">
        <f t="shared" si="466"/>
        <v>0</v>
      </c>
      <c r="AI394" s="546">
        <f t="shared" si="466"/>
        <v>0</v>
      </c>
      <c r="AJ394" s="546">
        <f t="shared" si="466"/>
        <v>0</v>
      </c>
      <c r="AK394" s="561">
        <f t="shared" si="431"/>
        <v>1961.9560000000019</v>
      </c>
      <c r="AL394" s="561">
        <f t="shared" si="445"/>
        <v>0</v>
      </c>
      <c r="AM394" s="561">
        <f t="shared" si="445"/>
        <v>0</v>
      </c>
      <c r="AN394" s="561">
        <f t="shared" si="446"/>
        <v>0</v>
      </c>
      <c r="AO394" s="561">
        <f t="shared" si="446"/>
        <v>1961.9560000000019</v>
      </c>
      <c r="AP394" s="561"/>
      <c r="AQ394" s="562"/>
      <c r="AR394" s="562"/>
    </row>
    <row r="395" spans="1:44" s="83" customFormat="1" hidden="1" outlineLevel="1">
      <c r="A395" s="521"/>
      <c r="B395" s="522" t="s">
        <v>188</v>
      </c>
      <c r="C395" s="528">
        <f t="shared" si="465"/>
        <v>831.82600000000002</v>
      </c>
      <c r="D395" s="523">
        <v>0</v>
      </c>
      <c r="E395" s="523">
        <v>0</v>
      </c>
      <c r="F395" s="523">
        <v>0</v>
      </c>
      <c r="G395" s="523">
        <v>831.82600000000002</v>
      </c>
      <c r="H395" s="523">
        <f t="shared" ref="H395:H405" si="467">I395+L395</f>
        <v>1301</v>
      </c>
      <c r="I395" s="523">
        <f>J395+K395</f>
        <v>0</v>
      </c>
      <c r="J395" s="523"/>
      <c r="K395" s="523">
        <v>0</v>
      </c>
      <c r="L395" s="523">
        <f t="shared" ref="L395:L405" si="468">M395+N395</f>
        <v>1301</v>
      </c>
      <c r="M395" s="523"/>
      <c r="N395" s="523">
        <v>1301</v>
      </c>
      <c r="O395" s="523">
        <f t="shared" si="442"/>
        <v>944.50900000000001</v>
      </c>
      <c r="P395" s="543">
        <f t="shared" si="399"/>
        <v>0</v>
      </c>
      <c r="Q395" s="543">
        <f t="shared" si="400"/>
        <v>944.50900000000001</v>
      </c>
      <c r="R395" s="523">
        <f t="shared" si="443"/>
        <v>0</v>
      </c>
      <c r="S395" s="523"/>
      <c r="T395" s="523"/>
      <c r="U395" s="523">
        <f t="shared" si="444"/>
        <v>944.50900000000001</v>
      </c>
      <c r="V395" s="523"/>
      <c r="W395" s="523">
        <v>944.50900000000001</v>
      </c>
      <c r="X395" s="523">
        <f t="shared" ref="X395:X405" si="469">Y395+AB395+AE395+AH395</f>
        <v>841.976</v>
      </c>
      <c r="Y395" s="523">
        <f t="shared" ref="Y395:Y405" si="470">Z395+AA395</f>
        <v>0</v>
      </c>
      <c r="Z395" s="523"/>
      <c r="AA395" s="523"/>
      <c r="AB395" s="523">
        <f t="shared" ref="AB395:AB405" si="471">AC395+AD395</f>
        <v>841.976</v>
      </c>
      <c r="AC395" s="523"/>
      <c r="AD395" s="523">
        <v>841.976</v>
      </c>
      <c r="AE395" s="523">
        <f t="shared" ref="AE395:AE400" si="472">AF395+AG395</f>
        <v>0</v>
      </c>
      <c r="AF395" s="523"/>
      <c r="AG395" s="523"/>
      <c r="AH395" s="523">
        <f t="shared" ref="AH395:AH400" si="473">AI395+AJ395</f>
        <v>0</v>
      </c>
      <c r="AI395" s="523"/>
      <c r="AJ395" s="523"/>
      <c r="AK395" s="561">
        <f t="shared" si="431"/>
        <v>346.34100000000001</v>
      </c>
      <c r="AL395" s="561">
        <f t="shared" si="445"/>
        <v>0</v>
      </c>
      <c r="AM395" s="561">
        <f t="shared" si="445"/>
        <v>0</v>
      </c>
      <c r="AN395" s="561">
        <f t="shared" si="446"/>
        <v>0</v>
      </c>
      <c r="AO395" s="561">
        <f t="shared" si="446"/>
        <v>346.34100000000001</v>
      </c>
      <c r="AP395" s="561"/>
      <c r="AQ395" s="562"/>
      <c r="AR395" s="562"/>
    </row>
    <row r="396" spans="1:44" s="83" customFormat="1" hidden="1" outlineLevel="1">
      <c r="A396" s="521"/>
      <c r="B396" s="522" t="s">
        <v>200</v>
      </c>
      <c r="C396" s="528">
        <f t="shared" si="465"/>
        <v>53.590000000000146</v>
      </c>
      <c r="D396" s="523">
        <v>0</v>
      </c>
      <c r="E396" s="523">
        <v>0</v>
      </c>
      <c r="F396" s="523">
        <v>0</v>
      </c>
      <c r="G396" s="523">
        <v>53.590000000000146</v>
      </c>
      <c r="H396" s="523">
        <f t="shared" si="467"/>
        <v>1952</v>
      </c>
      <c r="I396" s="523">
        <f>J396+K396</f>
        <v>0</v>
      </c>
      <c r="J396" s="523"/>
      <c r="K396" s="523"/>
      <c r="L396" s="523">
        <f t="shared" si="468"/>
        <v>1952</v>
      </c>
      <c r="M396" s="523"/>
      <c r="N396" s="523">
        <v>1952</v>
      </c>
      <c r="O396" s="523">
        <f t="shared" si="442"/>
        <v>1773.57</v>
      </c>
      <c r="P396" s="543">
        <f t="shared" si="399"/>
        <v>0</v>
      </c>
      <c r="Q396" s="543">
        <f t="shared" si="400"/>
        <v>1773.57</v>
      </c>
      <c r="R396" s="523">
        <f t="shared" si="443"/>
        <v>0</v>
      </c>
      <c r="S396" s="523"/>
      <c r="T396" s="523"/>
      <c r="U396" s="523">
        <f t="shared" si="444"/>
        <v>1773.57</v>
      </c>
      <c r="V396" s="523"/>
      <c r="W396" s="523">
        <v>1773.57</v>
      </c>
      <c r="X396" s="523">
        <f t="shared" si="469"/>
        <v>53.590000000000146</v>
      </c>
      <c r="Y396" s="523">
        <f t="shared" si="470"/>
        <v>0</v>
      </c>
      <c r="Z396" s="523"/>
      <c r="AA396" s="523"/>
      <c r="AB396" s="523">
        <f t="shared" si="471"/>
        <v>53.590000000000146</v>
      </c>
      <c r="AC396" s="523"/>
      <c r="AD396" s="523">
        <v>53.590000000000146</v>
      </c>
      <c r="AE396" s="523">
        <f t="shared" si="472"/>
        <v>0</v>
      </c>
      <c r="AF396" s="523"/>
      <c r="AG396" s="523"/>
      <c r="AH396" s="523">
        <f t="shared" si="473"/>
        <v>0</v>
      </c>
      <c r="AI396" s="523"/>
      <c r="AJ396" s="523"/>
      <c r="AK396" s="561">
        <f t="shared" si="431"/>
        <v>178.43000000000006</v>
      </c>
      <c r="AL396" s="561">
        <f t="shared" si="445"/>
        <v>0</v>
      </c>
      <c r="AM396" s="561">
        <f t="shared" si="445"/>
        <v>0</v>
      </c>
      <c r="AN396" s="561">
        <f t="shared" si="446"/>
        <v>0</v>
      </c>
      <c r="AO396" s="561">
        <f t="shared" si="446"/>
        <v>178.43000000000006</v>
      </c>
      <c r="AP396" s="561"/>
      <c r="AQ396" s="562"/>
      <c r="AR396" s="562"/>
    </row>
    <row r="397" spans="1:44" s="83" customFormat="1" hidden="1" outlineLevel="1">
      <c r="A397" s="521"/>
      <c r="B397" s="522" t="s">
        <v>197</v>
      </c>
      <c r="C397" s="528">
        <f t="shared" si="465"/>
        <v>660.91999999999985</v>
      </c>
      <c r="D397" s="523">
        <v>0</v>
      </c>
      <c r="E397" s="523">
        <v>0</v>
      </c>
      <c r="F397" s="523">
        <v>0</v>
      </c>
      <c r="G397" s="523">
        <v>660.91999999999985</v>
      </c>
      <c r="H397" s="523">
        <f t="shared" si="467"/>
        <v>976</v>
      </c>
      <c r="I397" s="523">
        <f>J397+K397</f>
        <v>0</v>
      </c>
      <c r="J397" s="523"/>
      <c r="K397" s="523">
        <v>0</v>
      </c>
      <c r="L397" s="523">
        <f t="shared" si="468"/>
        <v>976</v>
      </c>
      <c r="M397" s="523"/>
      <c r="N397" s="523">
        <v>976</v>
      </c>
      <c r="O397" s="523">
        <f t="shared" si="442"/>
        <v>830.697</v>
      </c>
      <c r="P397" s="543">
        <f t="shared" si="399"/>
        <v>0</v>
      </c>
      <c r="Q397" s="543">
        <f t="shared" si="400"/>
        <v>830.697</v>
      </c>
      <c r="R397" s="523">
        <f t="shared" si="443"/>
        <v>0</v>
      </c>
      <c r="S397" s="523"/>
      <c r="T397" s="523"/>
      <c r="U397" s="523">
        <f t="shared" si="444"/>
        <v>830.697</v>
      </c>
      <c r="V397" s="523"/>
      <c r="W397" s="523">
        <v>830.697</v>
      </c>
      <c r="X397" s="523">
        <f t="shared" si="469"/>
        <v>0</v>
      </c>
      <c r="Y397" s="523">
        <f t="shared" si="470"/>
        <v>0</v>
      </c>
      <c r="Z397" s="523"/>
      <c r="AA397" s="523"/>
      <c r="AB397" s="523">
        <f t="shared" si="471"/>
        <v>0</v>
      </c>
      <c r="AC397" s="523"/>
      <c r="AD397" s="523"/>
      <c r="AE397" s="523">
        <f t="shared" si="472"/>
        <v>0</v>
      </c>
      <c r="AF397" s="523"/>
      <c r="AG397" s="523"/>
      <c r="AH397" s="523">
        <f t="shared" si="473"/>
        <v>0</v>
      </c>
      <c r="AI397" s="523"/>
      <c r="AJ397" s="523"/>
      <c r="AK397" s="561">
        <f t="shared" si="431"/>
        <v>806.22299999999984</v>
      </c>
      <c r="AL397" s="561">
        <f t="shared" si="445"/>
        <v>0</v>
      </c>
      <c r="AM397" s="561">
        <f t="shared" si="445"/>
        <v>0</v>
      </c>
      <c r="AN397" s="561">
        <f t="shared" si="446"/>
        <v>0</v>
      </c>
      <c r="AO397" s="561">
        <f t="shared" si="446"/>
        <v>806.22299999999984</v>
      </c>
      <c r="AP397" s="561"/>
      <c r="AQ397" s="562"/>
      <c r="AR397" s="562"/>
    </row>
    <row r="398" spans="1:44" s="83" customFormat="1" hidden="1" outlineLevel="1">
      <c r="A398" s="521"/>
      <c r="B398" s="522" t="s">
        <v>198</v>
      </c>
      <c r="C398" s="528">
        <f t="shared" si="465"/>
        <v>158.86199999999997</v>
      </c>
      <c r="D398" s="523">
        <v>0</v>
      </c>
      <c r="E398" s="523">
        <v>0</v>
      </c>
      <c r="F398" s="523">
        <v>0</v>
      </c>
      <c r="G398" s="523">
        <v>158.86199999999997</v>
      </c>
      <c r="H398" s="523">
        <f t="shared" si="467"/>
        <v>606</v>
      </c>
      <c r="I398" s="523">
        <f>J398+K398</f>
        <v>0</v>
      </c>
      <c r="J398" s="523"/>
      <c r="K398" s="523">
        <v>0</v>
      </c>
      <c r="L398" s="523">
        <f t="shared" si="468"/>
        <v>606</v>
      </c>
      <c r="M398" s="523"/>
      <c r="N398" s="523">
        <v>606</v>
      </c>
      <c r="O398" s="523">
        <f t="shared" si="442"/>
        <v>694.23599999999999</v>
      </c>
      <c r="P398" s="543">
        <f t="shared" si="399"/>
        <v>0</v>
      </c>
      <c r="Q398" s="543">
        <f t="shared" si="400"/>
        <v>694.23599999999999</v>
      </c>
      <c r="R398" s="523">
        <f t="shared" si="443"/>
        <v>0</v>
      </c>
      <c r="S398" s="523"/>
      <c r="T398" s="523"/>
      <c r="U398" s="523">
        <f t="shared" si="444"/>
        <v>694.23599999999999</v>
      </c>
      <c r="V398" s="523"/>
      <c r="W398" s="523">
        <v>694.23599999999999</v>
      </c>
      <c r="X398" s="523">
        <f t="shared" si="469"/>
        <v>0</v>
      </c>
      <c r="Y398" s="523">
        <f t="shared" si="470"/>
        <v>0</v>
      </c>
      <c r="Z398" s="523"/>
      <c r="AA398" s="523"/>
      <c r="AB398" s="523">
        <f t="shared" si="471"/>
        <v>0</v>
      </c>
      <c r="AC398" s="523"/>
      <c r="AD398" s="523"/>
      <c r="AE398" s="523">
        <f t="shared" si="472"/>
        <v>0</v>
      </c>
      <c r="AF398" s="523"/>
      <c r="AG398" s="523"/>
      <c r="AH398" s="523">
        <f t="shared" si="473"/>
        <v>0</v>
      </c>
      <c r="AI398" s="523"/>
      <c r="AJ398" s="523"/>
      <c r="AK398" s="561">
        <f t="shared" si="431"/>
        <v>70.625999999999976</v>
      </c>
      <c r="AL398" s="561">
        <f t="shared" si="445"/>
        <v>0</v>
      </c>
      <c r="AM398" s="561">
        <f t="shared" si="445"/>
        <v>0</v>
      </c>
      <c r="AN398" s="561">
        <f t="shared" si="446"/>
        <v>0</v>
      </c>
      <c r="AO398" s="561">
        <f t="shared" si="446"/>
        <v>70.625999999999976</v>
      </c>
      <c r="AP398" s="561"/>
      <c r="AQ398" s="562"/>
      <c r="AR398" s="562"/>
    </row>
    <row r="399" spans="1:44" s="83" customFormat="1" hidden="1" outlineLevel="1">
      <c r="A399" s="521"/>
      <c r="B399" s="522" t="s">
        <v>194</v>
      </c>
      <c r="C399" s="528">
        <f t="shared" si="465"/>
        <v>84.72</v>
      </c>
      <c r="D399" s="523">
        <v>0</v>
      </c>
      <c r="E399" s="523">
        <v>0</v>
      </c>
      <c r="F399" s="523">
        <v>0</v>
      </c>
      <c r="G399" s="523">
        <v>84.72</v>
      </c>
      <c r="H399" s="523">
        <f t="shared" si="467"/>
        <v>2335</v>
      </c>
      <c r="I399" s="523"/>
      <c r="J399" s="523"/>
      <c r="K399" s="523">
        <v>0</v>
      </c>
      <c r="L399" s="523">
        <f t="shared" si="468"/>
        <v>2335</v>
      </c>
      <c r="M399" s="523"/>
      <c r="N399" s="523">
        <v>2335</v>
      </c>
      <c r="O399" s="523">
        <f t="shared" si="442"/>
        <v>2144.44</v>
      </c>
      <c r="P399" s="543">
        <f t="shared" ref="P399:P462" si="474">S399+V399</f>
        <v>0</v>
      </c>
      <c r="Q399" s="543">
        <f t="shared" ref="Q399:Q462" si="475">T399+W399</f>
        <v>2144.44</v>
      </c>
      <c r="R399" s="523">
        <f t="shared" si="443"/>
        <v>0</v>
      </c>
      <c r="S399" s="523"/>
      <c r="T399" s="523"/>
      <c r="U399" s="523">
        <f t="shared" si="444"/>
        <v>2144.44</v>
      </c>
      <c r="V399" s="523"/>
      <c r="W399" s="523">
        <v>2144.44</v>
      </c>
      <c r="X399" s="523">
        <f t="shared" si="469"/>
        <v>84.72</v>
      </c>
      <c r="Y399" s="523">
        <f t="shared" si="470"/>
        <v>0</v>
      </c>
      <c r="Z399" s="523"/>
      <c r="AA399" s="523"/>
      <c r="AB399" s="523">
        <f t="shared" si="471"/>
        <v>84.72</v>
      </c>
      <c r="AC399" s="523"/>
      <c r="AD399" s="523">
        <v>84.72</v>
      </c>
      <c r="AE399" s="523">
        <f t="shared" si="472"/>
        <v>0</v>
      </c>
      <c r="AF399" s="523"/>
      <c r="AG399" s="523"/>
      <c r="AH399" s="523">
        <f t="shared" si="473"/>
        <v>0</v>
      </c>
      <c r="AI399" s="523"/>
      <c r="AJ399" s="523"/>
      <c r="AK399" s="561">
        <f t="shared" si="431"/>
        <v>190.55999999999975</v>
      </c>
      <c r="AL399" s="561">
        <f t="shared" si="445"/>
        <v>0</v>
      </c>
      <c r="AM399" s="561">
        <f t="shared" si="445"/>
        <v>0</v>
      </c>
      <c r="AN399" s="561">
        <f t="shared" si="446"/>
        <v>0</v>
      </c>
      <c r="AO399" s="561">
        <f t="shared" si="446"/>
        <v>190.55999999999975</v>
      </c>
      <c r="AP399" s="561"/>
      <c r="AQ399" s="562"/>
      <c r="AR399" s="562"/>
    </row>
    <row r="400" spans="1:44" s="83" customFormat="1" hidden="1" outlineLevel="1">
      <c r="A400" s="521"/>
      <c r="B400" s="522" t="s">
        <v>388</v>
      </c>
      <c r="C400" s="528">
        <f t="shared" si="465"/>
        <v>0</v>
      </c>
      <c r="D400" s="523">
        <v>0</v>
      </c>
      <c r="E400" s="523">
        <v>0</v>
      </c>
      <c r="F400" s="523">
        <v>0</v>
      </c>
      <c r="G400" s="523">
        <v>0</v>
      </c>
      <c r="H400" s="523">
        <f t="shared" si="467"/>
        <v>1916</v>
      </c>
      <c r="I400" s="523">
        <f t="shared" ref="I400:I405" si="476">J400+K400</f>
        <v>0</v>
      </c>
      <c r="J400" s="523"/>
      <c r="K400" s="523">
        <v>0</v>
      </c>
      <c r="L400" s="523">
        <f t="shared" si="468"/>
        <v>1916</v>
      </c>
      <c r="M400" s="523"/>
      <c r="N400" s="523">
        <v>1916</v>
      </c>
      <c r="O400" s="523">
        <f t="shared" si="442"/>
        <v>1901.69</v>
      </c>
      <c r="P400" s="543">
        <f t="shared" si="474"/>
        <v>0</v>
      </c>
      <c r="Q400" s="543">
        <f t="shared" si="475"/>
        <v>1901.69</v>
      </c>
      <c r="R400" s="523">
        <f t="shared" si="443"/>
        <v>0</v>
      </c>
      <c r="S400" s="523"/>
      <c r="T400" s="523"/>
      <c r="U400" s="523">
        <f t="shared" si="444"/>
        <v>1901.69</v>
      </c>
      <c r="V400" s="523"/>
      <c r="W400" s="523">
        <v>1901.69</v>
      </c>
      <c r="X400" s="523">
        <f t="shared" si="469"/>
        <v>0</v>
      </c>
      <c r="Y400" s="523">
        <f t="shared" si="470"/>
        <v>0</v>
      </c>
      <c r="Z400" s="523"/>
      <c r="AA400" s="523"/>
      <c r="AB400" s="523">
        <f t="shared" si="471"/>
        <v>0</v>
      </c>
      <c r="AC400" s="523"/>
      <c r="AD400" s="523"/>
      <c r="AE400" s="523">
        <f t="shared" si="472"/>
        <v>0</v>
      </c>
      <c r="AF400" s="523"/>
      <c r="AG400" s="523"/>
      <c r="AH400" s="523">
        <f t="shared" si="473"/>
        <v>0</v>
      </c>
      <c r="AI400" s="523"/>
      <c r="AJ400" s="523"/>
      <c r="AK400" s="561">
        <f t="shared" si="431"/>
        <v>14.309999999999945</v>
      </c>
      <c r="AL400" s="561">
        <f t="shared" si="445"/>
        <v>0</v>
      </c>
      <c r="AM400" s="561">
        <f t="shared" si="445"/>
        <v>0</v>
      </c>
      <c r="AN400" s="561">
        <f t="shared" si="446"/>
        <v>0</v>
      </c>
      <c r="AO400" s="561">
        <f t="shared" si="446"/>
        <v>14.309999999999945</v>
      </c>
      <c r="AP400" s="561"/>
      <c r="AQ400" s="562"/>
      <c r="AR400" s="562"/>
    </row>
    <row r="401" spans="1:45" s="83" customFormat="1" hidden="1" outlineLevel="1">
      <c r="A401" s="521"/>
      <c r="B401" s="522" t="s">
        <v>199</v>
      </c>
      <c r="C401" s="528">
        <f t="shared" si="465"/>
        <v>627.904</v>
      </c>
      <c r="D401" s="523">
        <v>0</v>
      </c>
      <c r="E401" s="523">
        <v>0</v>
      </c>
      <c r="F401" s="523">
        <v>0</v>
      </c>
      <c r="G401" s="523">
        <v>627.904</v>
      </c>
      <c r="H401" s="523">
        <f>I401+L401</f>
        <v>629</v>
      </c>
      <c r="I401" s="523">
        <f>J401+K401</f>
        <v>0</v>
      </c>
      <c r="J401" s="523"/>
      <c r="K401" s="523">
        <v>0</v>
      </c>
      <c r="L401" s="523">
        <f t="shared" si="468"/>
        <v>629</v>
      </c>
      <c r="M401" s="523"/>
      <c r="N401" s="523">
        <v>629</v>
      </c>
      <c r="O401" s="523">
        <f t="shared" si="442"/>
        <v>742.84</v>
      </c>
      <c r="P401" s="543">
        <f t="shared" si="474"/>
        <v>0</v>
      </c>
      <c r="Q401" s="543">
        <f t="shared" si="475"/>
        <v>742.84</v>
      </c>
      <c r="R401" s="523">
        <f t="shared" si="443"/>
        <v>0</v>
      </c>
      <c r="S401" s="523"/>
      <c r="T401" s="523"/>
      <c r="U401" s="523">
        <f t="shared" si="444"/>
        <v>742.84</v>
      </c>
      <c r="V401" s="523"/>
      <c r="W401" s="523">
        <v>742.84</v>
      </c>
      <c r="X401" s="523">
        <f t="shared" si="469"/>
        <v>470.84</v>
      </c>
      <c r="Y401" s="523">
        <f t="shared" si="470"/>
        <v>0</v>
      </c>
      <c r="Z401" s="523"/>
      <c r="AA401" s="523"/>
      <c r="AB401" s="523">
        <f t="shared" si="471"/>
        <v>470.84</v>
      </c>
      <c r="AC401" s="523"/>
      <c r="AD401" s="523">
        <v>470.84</v>
      </c>
      <c r="AE401" s="523">
        <f>AF401+AG401</f>
        <v>0</v>
      </c>
      <c r="AF401" s="523"/>
      <c r="AG401" s="523"/>
      <c r="AH401" s="523">
        <f>AI401+AJ401</f>
        <v>0</v>
      </c>
      <c r="AI401" s="523"/>
      <c r="AJ401" s="523"/>
      <c r="AK401" s="561">
        <f t="shared" si="431"/>
        <v>43.22399999999999</v>
      </c>
      <c r="AL401" s="561">
        <f t="shared" si="445"/>
        <v>0</v>
      </c>
      <c r="AM401" s="561">
        <f t="shared" si="445"/>
        <v>0</v>
      </c>
      <c r="AN401" s="561">
        <f t="shared" si="446"/>
        <v>0</v>
      </c>
      <c r="AO401" s="561">
        <f t="shared" si="446"/>
        <v>43.22399999999999</v>
      </c>
      <c r="AP401" s="561"/>
      <c r="AQ401" s="562"/>
      <c r="AR401" s="562"/>
    </row>
    <row r="402" spans="1:45" s="83" customFormat="1" hidden="1" outlineLevel="1">
      <c r="A402" s="521"/>
      <c r="B402" s="522" t="s">
        <v>196</v>
      </c>
      <c r="C402" s="528">
        <f t="shared" si="465"/>
        <v>0</v>
      </c>
      <c r="D402" s="523">
        <v>0</v>
      </c>
      <c r="E402" s="523">
        <v>0</v>
      </c>
      <c r="F402" s="523">
        <v>0</v>
      </c>
      <c r="G402" s="523">
        <v>0</v>
      </c>
      <c r="H402" s="523">
        <f t="shared" si="467"/>
        <v>1247</v>
      </c>
      <c r="I402" s="523">
        <f t="shared" si="476"/>
        <v>0</v>
      </c>
      <c r="J402" s="523"/>
      <c r="K402" s="523">
        <v>0</v>
      </c>
      <c r="L402" s="523">
        <f t="shared" si="468"/>
        <v>1247</v>
      </c>
      <c r="M402" s="523"/>
      <c r="N402" s="523">
        <v>1247</v>
      </c>
      <c r="O402" s="523">
        <f t="shared" si="442"/>
        <v>1247</v>
      </c>
      <c r="P402" s="543">
        <f t="shared" si="474"/>
        <v>0</v>
      </c>
      <c r="Q402" s="543">
        <f t="shared" si="475"/>
        <v>1247</v>
      </c>
      <c r="R402" s="523">
        <f t="shared" si="443"/>
        <v>0</v>
      </c>
      <c r="S402" s="523"/>
      <c r="T402" s="523"/>
      <c r="U402" s="523">
        <f t="shared" si="444"/>
        <v>1247</v>
      </c>
      <c r="V402" s="523"/>
      <c r="W402" s="523">
        <v>1247</v>
      </c>
      <c r="X402" s="523">
        <f t="shared" si="469"/>
        <v>0</v>
      </c>
      <c r="Y402" s="523">
        <f t="shared" si="470"/>
        <v>0</v>
      </c>
      <c r="Z402" s="523"/>
      <c r="AA402" s="523"/>
      <c r="AB402" s="523">
        <f t="shared" si="471"/>
        <v>0</v>
      </c>
      <c r="AC402" s="523"/>
      <c r="AD402" s="523"/>
      <c r="AE402" s="523">
        <f>AF402+AG402</f>
        <v>0</v>
      </c>
      <c r="AF402" s="523"/>
      <c r="AG402" s="523"/>
      <c r="AH402" s="523">
        <f>AI402+AJ402</f>
        <v>0</v>
      </c>
      <c r="AI402" s="523"/>
      <c r="AJ402" s="523"/>
      <c r="AK402" s="561">
        <f t="shared" si="431"/>
        <v>0</v>
      </c>
      <c r="AL402" s="561">
        <f t="shared" si="445"/>
        <v>0</v>
      </c>
      <c r="AM402" s="561">
        <f t="shared" si="445"/>
        <v>0</v>
      </c>
      <c r="AN402" s="561">
        <f t="shared" si="446"/>
        <v>0</v>
      </c>
      <c r="AO402" s="561">
        <f t="shared" si="446"/>
        <v>0</v>
      </c>
      <c r="AP402" s="561"/>
      <c r="AQ402" s="562"/>
      <c r="AR402" s="562"/>
    </row>
    <row r="403" spans="1:45" s="83" customFormat="1" hidden="1" outlineLevel="1">
      <c r="A403" s="521"/>
      <c r="B403" s="522" t="s">
        <v>193</v>
      </c>
      <c r="C403" s="528">
        <f t="shared" si="465"/>
        <v>559.70000000000005</v>
      </c>
      <c r="D403" s="523">
        <v>0</v>
      </c>
      <c r="E403" s="523">
        <v>0</v>
      </c>
      <c r="F403" s="523">
        <v>0</v>
      </c>
      <c r="G403" s="523">
        <v>559.70000000000005</v>
      </c>
      <c r="H403" s="523">
        <f t="shared" si="467"/>
        <v>1469</v>
      </c>
      <c r="I403" s="523">
        <f t="shared" si="476"/>
        <v>0</v>
      </c>
      <c r="J403" s="523"/>
      <c r="K403" s="523">
        <v>0</v>
      </c>
      <c r="L403" s="523">
        <f t="shared" si="468"/>
        <v>1469</v>
      </c>
      <c r="M403" s="523"/>
      <c r="N403" s="523">
        <v>1469</v>
      </c>
      <c r="O403" s="523">
        <f t="shared" si="442"/>
        <v>1994.75</v>
      </c>
      <c r="P403" s="543">
        <f t="shared" si="474"/>
        <v>0</v>
      </c>
      <c r="Q403" s="543">
        <f t="shared" si="475"/>
        <v>1994.75</v>
      </c>
      <c r="R403" s="523">
        <f t="shared" si="443"/>
        <v>0</v>
      </c>
      <c r="S403" s="523"/>
      <c r="T403" s="523"/>
      <c r="U403" s="523">
        <f t="shared" si="444"/>
        <v>1994.75</v>
      </c>
      <c r="V403" s="523"/>
      <c r="W403" s="523">
        <v>1994.75</v>
      </c>
      <c r="X403" s="523">
        <f t="shared" si="469"/>
        <v>0</v>
      </c>
      <c r="Y403" s="523">
        <f t="shared" si="470"/>
        <v>0</v>
      </c>
      <c r="Z403" s="523"/>
      <c r="AA403" s="523"/>
      <c r="AB403" s="523">
        <f t="shared" si="471"/>
        <v>0</v>
      </c>
      <c r="AC403" s="523"/>
      <c r="AD403" s="523"/>
      <c r="AE403" s="523">
        <f>AF403+AG403</f>
        <v>0</v>
      </c>
      <c r="AF403" s="523"/>
      <c r="AG403" s="523"/>
      <c r="AH403" s="523">
        <f>AI403+AJ403</f>
        <v>0</v>
      </c>
      <c r="AI403" s="523"/>
      <c r="AJ403" s="523"/>
      <c r="AK403" s="561">
        <f t="shared" si="431"/>
        <v>33.950000000000045</v>
      </c>
      <c r="AL403" s="561">
        <f t="shared" si="445"/>
        <v>0</v>
      </c>
      <c r="AM403" s="561">
        <f t="shared" si="445"/>
        <v>0</v>
      </c>
      <c r="AN403" s="561">
        <f t="shared" si="446"/>
        <v>0</v>
      </c>
      <c r="AO403" s="561">
        <f t="shared" si="446"/>
        <v>33.950000000000045</v>
      </c>
      <c r="AP403" s="561"/>
      <c r="AQ403" s="562"/>
      <c r="AR403" s="562"/>
    </row>
    <row r="404" spans="1:45" s="83" customFormat="1" hidden="1" outlineLevel="1">
      <c r="A404" s="521"/>
      <c r="B404" s="522" t="s">
        <v>192</v>
      </c>
      <c r="C404" s="528">
        <f t="shared" si="465"/>
        <v>0</v>
      </c>
      <c r="D404" s="523">
        <v>0</v>
      </c>
      <c r="E404" s="523">
        <v>0</v>
      </c>
      <c r="F404" s="523">
        <v>0</v>
      </c>
      <c r="G404" s="523">
        <v>0</v>
      </c>
      <c r="H404" s="523">
        <f t="shared" si="467"/>
        <v>1917</v>
      </c>
      <c r="I404" s="523">
        <f t="shared" si="476"/>
        <v>0</v>
      </c>
      <c r="J404" s="523"/>
      <c r="K404" s="523">
        <v>0</v>
      </c>
      <c r="L404" s="523">
        <f t="shared" si="468"/>
        <v>1917</v>
      </c>
      <c r="M404" s="523"/>
      <c r="N404" s="523">
        <v>1917</v>
      </c>
      <c r="O404" s="523">
        <f t="shared" si="442"/>
        <v>1638.71</v>
      </c>
      <c r="P404" s="543">
        <f t="shared" si="474"/>
        <v>0</v>
      </c>
      <c r="Q404" s="543">
        <f t="shared" si="475"/>
        <v>1638.71</v>
      </c>
      <c r="R404" s="523">
        <f t="shared" si="443"/>
        <v>0</v>
      </c>
      <c r="S404" s="523"/>
      <c r="T404" s="523"/>
      <c r="U404" s="523">
        <f t="shared" si="444"/>
        <v>1638.71</v>
      </c>
      <c r="V404" s="523"/>
      <c r="W404" s="523">
        <v>1638.71</v>
      </c>
      <c r="X404" s="523">
        <f t="shared" si="469"/>
        <v>0</v>
      </c>
      <c r="Y404" s="523">
        <f t="shared" si="470"/>
        <v>0</v>
      </c>
      <c r="Z404" s="523"/>
      <c r="AA404" s="523"/>
      <c r="AB404" s="523">
        <f t="shared" si="471"/>
        <v>0</v>
      </c>
      <c r="AC404" s="523"/>
      <c r="AD404" s="523"/>
      <c r="AE404" s="523">
        <f>AF404+AG404</f>
        <v>0</v>
      </c>
      <c r="AF404" s="523"/>
      <c r="AG404" s="523"/>
      <c r="AH404" s="523">
        <f>AI404+AJ404</f>
        <v>0</v>
      </c>
      <c r="AI404" s="523"/>
      <c r="AJ404" s="523"/>
      <c r="AK404" s="561">
        <f t="shared" si="431"/>
        <v>278.28999999999996</v>
      </c>
      <c r="AL404" s="561">
        <f t="shared" si="445"/>
        <v>0</v>
      </c>
      <c r="AM404" s="561">
        <f t="shared" si="445"/>
        <v>0</v>
      </c>
      <c r="AN404" s="561">
        <f t="shared" si="446"/>
        <v>0</v>
      </c>
      <c r="AO404" s="561">
        <f t="shared" si="446"/>
        <v>278.28999999999996</v>
      </c>
      <c r="AP404" s="561"/>
      <c r="AQ404" s="562"/>
      <c r="AR404" s="562"/>
    </row>
    <row r="405" spans="1:45" s="83" customFormat="1" hidden="1" outlineLevel="1">
      <c r="A405" s="521"/>
      <c r="B405" s="522" t="s">
        <v>2189</v>
      </c>
      <c r="C405" s="528">
        <f t="shared" si="465"/>
        <v>1461.6999999999998</v>
      </c>
      <c r="D405" s="523">
        <v>0</v>
      </c>
      <c r="E405" s="523">
        <v>1461.6999999999998</v>
      </c>
      <c r="F405" s="523">
        <v>0</v>
      </c>
      <c r="G405" s="523">
        <v>0</v>
      </c>
      <c r="H405" s="523">
        <f t="shared" si="467"/>
        <v>0</v>
      </c>
      <c r="I405" s="523">
        <f t="shared" si="476"/>
        <v>0</v>
      </c>
      <c r="J405" s="523"/>
      <c r="K405" s="523"/>
      <c r="L405" s="523">
        <f t="shared" si="468"/>
        <v>0</v>
      </c>
      <c r="M405" s="523"/>
      <c r="N405" s="523"/>
      <c r="O405" s="523">
        <f t="shared" si="442"/>
        <v>0</v>
      </c>
      <c r="P405" s="543">
        <f t="shared" si="474"/>
        <v>0</v>
      </c>
      <c r="Q405" s="543">
        <f t="shared" si="475"/>
        <v>0</v>
      </c>
      <c r="R405" s="523">
        <f t="shared" si="443"/>
        <v>0</v>
      </c>
      <c r="S405" s="523"/>
      <c r="T405" s="523"/>
      <c r="U405" s="523">
        <f t="shared" si="444"/>
        <v>0</v>
      </c>
      <c r="V405" s="523"/>
      <c r="W405" s="523"/>
      <c r="X405" s="523">
        <f t="shared" si="469"/>
        <v>1461.6999999999998</v>
      </c>
      <c r="Y405" s="523">
        <f t="shared" si="470"/>
        <v>1461.6999999999998</v>
      </c>
      <c r="Z405" s="523"/>
      <c r="AA405" s="523">
        <v>1461.6999999999998</v>
      </c>
      <c r="AB405" s="523">
        <f t="shared" si="471"/>
        <v>0</v>
      </c>
      <c r="AC405" s="523"/>
      <c r="AD405" s="523"/>
      <c r="AE405" s="523">
        <f>AF405+AG405</f>
        <v>0</v>
      </c>
      <c r="AF405" s="523"/>
      <c r="AG405" s="523"/>
      <c r="AH405" s="523">
        <f>AI405+AJ405</f>
        <v>0</v>
      </c>
      <c r="AI405" s="523"/>
      <c r="AJ405" s="523"/>
      <c r="AK405" s="561">
        <f t="shared" si="431"/>
        <v>0</v>
      </c>
      <c r="AL405" s="561">
        <f t="shared" si="445"/>
        <v>0</v>
      </c>
      <c r="AM405" s="561">
        <f t="shared" si="445"/>
        <v>0</v>
      </c>
      <c r="AN405" s="561">
        <f t="shared" si="446"/>
        <v>0</v>
      </c>
      <c r="AO405" s="561">
        <f t="shared" si="446"/>
        <v>0</v>
      </c>
      <c r="AP405" s="561"/>
      <c r="AQ405" s="562"/>
      <c r="AR405" s="562"/>
    </row>
    <row r="406" spans="1:45" s="83" customFormat="1" ht="31.2" hidden="1" outlineLevel="1">
      <c r="A406" s="567">
        <v>14</v>
      </c>
      <c r="B406" s="554" t="s">
        <v>483</v>
      </c>
      <c r="C406" s="528">
        <f t="shared" si="465"/>
        <v>1192.58</v>
      </c>
      <c r="D406" s="523">
        <v>0</v>
      </c>
      <c r="E406" s="523">
        <v>0</v>
      </c>
      <c r="F406" s="523">
        <v>0</v>
      </c>
      <c r="G406" s="523">
        <v>1192.58</v>
      </c>
      <c r="H406" s="523">
        <f t="shared" ref="H406:AR406" si="477">SUM(H407:H416)</f>
        <v>2719</v>
      </c>
      <c r="I406" s="523">
        <f t="shared" si="477"/>
        <v>234</v>
      </c>
      <c r="J406" s="523">
        <f t="shared" si="477"/>
        <v>0</v>
      </c>
      <c r="K406" s="523">
        <f>SUM(K407:K416)</f>
        <v>234</v>
      </c>
      <c r="L406" s="523">
        <f t="shared" si="477"/>
        <v>2485</v>
      </c>
      <c r="M406" s="523">
        <f t="shared" si="477"/>
        <v>0</v>
      </c>
      <c r="N406" s="523">
        <f t="shared" si="477"/>
        <v>2485</v>
      </c>
      <c r="O406" s="523">
        <f t="shared" si="442"/>
        <v>3489.08</v>
      </c>
      <c r="P406" s="543">
        <f t="shared" si="474"/>
        <v>0</v>
      </c>
      <c r="Q406" s="543">
        <f t="shared" si="475"/>
        <v>3489.08</v>
      </c>
      <c r="R406" s="523">
        <f t="shared" si="443"/>
        <v>0</v>
      </c>
      <c r="S406" s="523"/>
      <c r="T406" s="523"/>
      <c r="U406" s="523">
        <f t="shared" si="444"/>
        <v>3489.08</v>
      </c>
      <c r="V406" s="523">
        <f t="shared" si="477"/>
        <v>0</v>
      </c>
      <c r="W406" s="523">
        <f t="shared" si="477"/>
        <v>3489.08</v>
      </c>
      <c r="X406" s="523">
        <f t="shared" si="477"/>
        <v>167.4</v>
      </c>
      <c r="Y406" s="523">
        <f t="shared" si="477"/>
        <v>0</v>
      </c>
      <c r="Z406" s="523">
        <f t="shared" si="477"/>
        <v>0</v>
      </c>
      <c r="AA406" s="523">
        <f t="shared" si="477"/>
        <v>0</v>
      </c>
      <c r="AB406" s="523">
        <f t="shared" si="477"/>
        <v>167.4</v>
      </c>
      <c r="AC406" s="523">
        <f t="shared" si="477"/>
        <v>0</v>
      </c>
      <c r="AD406" s="523">
        <f t="shared" si="477"/>
        <v>167.4</v>
      </c>
      <c r="AE406" s="523">
        <f t="shared" si="477"/>
        <v>0</v>
      </c>
      <c r="AF406" s="523">
        <f t="shared" si="477"/>
        <v>0</v>
      </c>
      <c r="AG406" s="523">
        <f t="shared" si="477"/>
        <v>0</v>
      </c>
      <c r="AH406" s="523">
        <f t="shared" si="477"/>
        <v>0</v>
      </c>
      <c r="AI406" s="523">
        <f t="shared" si="477"/>
        <v>0</v>
      </c>
      <c r="AJ406" s="523">
        <f t="shared" si="477"/>
        <v>0</v>
      </c>
      <c r="AK406" s="523">
        <f t="shared" si="477"/>
        <v>255.1</v>
      </c>
      <c r="AL406" s="523">
        <f t="shared" si="477"/>
        <v>0</v>
      </c>
      <c r="AM406" s="523">
        <f t="shared" si="477"/>
        <v>234</v>
      </c>
      <c r="AN406" s="523">
        <f t="shared" si="477"/>
        <v>0</v>
      </c>
      <c r="AO406" s="523">
        <f t="shared" si="477"/>
        <v>21.099999999999994</v>
      </c>
      <c r="AP406" s="523"/>
      <c r="AQ406" s="524">
        <f t="shared" si="477"/>
        <v>234</v>
      </c>
      <c r="AR406" s="524">
        <f t="shared" si="477"/>
        <v>0</v>
      </c>
      <c r="AS406" s="83" t="s">
        <v>2190</v>
      </c>
    </row>
    <row r="407" spans="1:45" s="83" customFormat="1" hidden="1" outlineLevel="1">
      <c r="A407" s="521"/>
      <c r="B407" s="522" t="s">
        <v>188</v>
      </c>
      <c r="C407" s="528">
        <f t="shared" si="465"/>
        <v>73.5</v>
      </c>
      <c r="D407" s="523">
        <v>0</v>
      </c>
      <c r="E407" s="523">
        <v>0</v>
      </c>
      <c r="F407" s="523">
        <v>0</v>
      </c>
      <c r="G407" s="523">
        <v>73.5</v>
      </c>
      <c r="H407" s="523">
        <f t="shared" ref="H407:H416" si="478">I407+L407</f>
        <v>90</v>
      </c>
      <c r="I407" s="523">
        <f t="shared" ref="I407:I415" si="479">J407+K407</f>
        <v>0</v>
      </c>
      <c r="J407" s="523"/>
      <c r="K407" s="523">
        <v>0</v>
      </c>
      <c r="L407" s="523">
        <f t="shared" ref="L407:L415" si="480">M407+N407</f>
        <v>90</v>
      </c>
      <c r="M407" s="523"/>
      <c r="N407" s="523">
        <v>90</v>
      </c>
      <c r="O407" s="523">
        <f t="shared" si="442"/>
        <v>0</v>
      </c>
      <c r="P407" s="543">
        <f t="shared" si="474"/>
        <v>0</v>
      </c>
      <c r="Q407" s="543">
        <f t="shared" si="475"/>
        <v>0</v>
      </c>
      <c r="R407" s="523">
        <f t="shared" si="443"/>
        <v>0</v>
      </c>
      <c r="S407" s="523"/>
      <c r="T407" s="523"/>
      <c r="U407" s="523">
        <f t="shared" si="444"/>
        <v>0</v>
      </c>
      <c r="V407" s="523"/>
      <c r="W407" s="523"/>
      <c r="X407" s="523">
        <f t="shared" ref="X407:X416" si="481">Y407+AB407+AE407+AH407</f>
        <v>150.9</v>
      </c>
      <c r="Y407" s="523">
        <f>Z407+AA407</f>
        <v>0</v>
      </c>
      <c r="Z407" s="523"/>
      <c r="AA407" s="523"/>
      <c r="AB407" s="523">
        <f>AC407+AD407</f>
        <v>150.9</v>
      </c>
      <c r="AC407" s="523"/>
      <c r="AD407" s="523">
        <v>150.9</v>
      </c>
      <c r="AE407" s="523">
        <f>AF407+AG407</f>
        <v>0</v>
      </c>
      <c r="AF407" s="523"/>
      <c r="AG407" s="523"/>
      <c r="AH407" s="523">
        <f>AI407+AJ407</f>
        <v>0</v>
      </c>
      <c r="AI407" s="523"/>
      <c r="AJ407" s="523"/>
      <c r="AK407" s="561">
        <f t="shared" si="431"/>
        <v>12.599999999999994</v>
      </c>
      <c r="AL407" s="561">
        <f t="shared" si="445"/>
        <v>0</v>
      </c>
      <c r="AM407" s="561">
        <f t="shared" si="445"/>
        <v>0</v>
      </c>
      <c r="AN407" s="561">
        <f t="shared" si="446"/>
        <v>0</v>
      </c>
      <c r="AO407" s="561">
        <f t="shared" si="446"/>
        <v>12.599999999999994</v>
      </c>
      <c r="AP407" s="561"/>
      <c r="AQ407" s="562"/>
      <c r="AR407" s="562"/>
    </row>
    <row r="408" spans="1:45" s="83" customFormat="1" hidden="1" outlineLevel="1">
      <c r="A408" s="521"/>
      <c r="B408" s="522" t="s">
        <v>200</v>
      </c>
      <c r="C408" s="528">
        <f t="shared" si="465"/>
        <v>736.57999999999993</v>
      </c>
      <c r="D408" s="523">
        <v>0</v>
      </c>
      <c r="E408" s="523">
        <v>0</v>
      </c>
      <c r="F408" s="523">
        <v>0</v>
      </c>
      <c r="G408" s="523">
        <v>736.57999999999993</v>
      </c>
      <c r="H408" s="523">
        <f t="shared" si="478"/>
        <v>831</v>
      </c>
      <c r="I408" s="523">
        <f t="shared" si="479"/>
        <v>0</v>
      </c>
      <c r="J408" s="523"/>
      <c r="K408" s="523"/>
      <c r="L408" s="523">
        <f t="shared" si="480"/>
        <v>831</v>
      </c>
      <c r="M408" s="523"/>
      <c r="N408" s="523">
        <f>615+216</f>
        <v>831</v>
      </c>
      <c r="O408" s="523">
        <f t="shared" si="442"/>
        <v>1567.58</v>
      </c>
      <c r="P408" s="543">
        <f t="shared" si="474"/>
        <v>0</v>
      </c>
      <c r="Q408" s="543">
        <f t="shared" si="475"/>
        <v>1567.58</v>
      </c>
      <c r="R408" s="523">
        <f t="shared" si="443"/>
        <v>0</v>
      </c>
      <c r="S408" s="523"/>
      <c r="T408" s="523"/>
      <c r="U408" s="523">
        <f t="shared" si="444"/>
        <v>1567.58</v>
      </c>
      <c r="V408" s="523"/>
      <c r="W408" s="523">
        <f>N408+G408</f>
        <v>1567.58</v>
      </c>
      <c r="X408" s="523">
        <f t="shared" si="481"/>
        <v>0</v>
      </c>
      <c r="Y408" s="523">
        <f>Z408+AA408</f>
        <v>0</v>
      </c>
      <c r="Z408" s="523"/>
      <c r="AA408" s="523"/>
      <c r="AB408" s="523">
        <f>AC408+AD408</f>
        <v>0</v>
      </c>
      <c r="AC408" s="523"/>
      <c r="AD408" s="523"/>
      <c r="AE408" s="523">
        <f>AF408+AG408</f>
        <v>0</v>
      </c>
      <c r="AF408" s="523"/>
      <c r="AG408" s="523"/>
      <c r="AH408" s="523">
        <f>AI408+AJ408</f>
        <v>0</v>
      </c>
      <c r="AI408" s="523"/>
      <c r="AJ408" s="523"/>
      <c r="AK408" s="561">
        <f t="shared" si="431"/>
        <v>0</v>
      </c>
      <c r="AL408" s="561">
        <f t="shared" si="445"/>
        <v>0</v>
      </c>
      <c r="AM408" s="561">
        <f t="shared" si="445"/>
        <v>0</v>
      </c>
      <c r="AN408" s="561">
        <f t="shared" si="446"/>
        <v>0</v>
      </c>
      <c r="AO408" s="561">
        <f t="shared" si="446"/>
        <v>0</v>
      </c>
      <c r="AP408" s="561"/>
      <c r="AQ408" s="562"/>
      <c r="AR408" s="562"/>
    </row>
    <row r="409" spans="1:45" s="83" customFormat="1" hidden="1" outlineLevel="1">
      <c r="A409" s="521"/>
      <c r="B409" s="522" t="s">
        <v>197</v>
      </c>
      <c r="C409" s="528"/>
      <c r="D409" s="523"/>
      <c r="E409" s="523"/>
      <c r="F409" s="523"/>
      <c r="G409" s="523"/>
      <c r="H409" s="523">
        <f t="shared" si="478"/>
        <v>98</v>
      </c>
      <c r="I409" s="523"/>
      <c r="J409" s="523"/>
      <c r="K409" s="523"/>
      <c r="L409" s="523">
        <f t="shared" si="480"/>
        <v>98</v>
      </c>
      <c r="M409" s="523"/>
      <c r="N409" s="523">
        <v>98</v>
      </c>
      <c r="O409" s="523">
        <f t="shared" si="442"/>
        <v>98</v>
      </c>
      <c r="P409" s="543">
        <f t="shared" si="474"/>
        <v>0</v>
      </c>
      <c r="Q409" s="543">
        <f t="shared" si="475"/>
        <v>98</v>
      </c>
      <c r="R409" s="523">
        <f t="shared" si="443"/>
        <v>0</v>
      </c>
      <c r="S409" s="523"/>
      <c r="T409" s="523"/>
      <c r="U409" s="523">
        <f t="shared" si="444"/>
        <v>98</v>
      </c>
      <c r="V409" s="523"/>
      <c r="W409" s="523">
        <v>98</v>
      </c>
      <c r="X409" s="523"/>
      <c r="Y409" s="523"/>
      <c r="Z409" s="523"/>
      <c r="AA409" s="523"/>
      <c r="AB409" s="523"/>
      <c r="AC409" s="523"/>
      <c r="AD409" s="523"/>
      <c r="AE409" s="523"/>
      <c r="AF409" s="523"/>
      <c r="AG409" s="523"/>
      <c r="AH409" s="523"/>
      <c r="AI409" s="523"/>
      <c r="AJ409" s="523"/>
      <c r="AK409" s="561">
        <f t="shared" si="431"/>
        <v>0</v>
      </c>
      <c r="AL409" s="561">
        <f t="shared" si="445"/>
        <v>0</v>
      </c>
      <c r="AM409" s="561">
        <f t="shared" si="445"/>
        <v>0</v>
      </c>
      <c r="AN409" s="561">
        <f t="shared" si="446"/>
        <v>0</v>
      </c>
      <c r="AO409" s="561">
        <f t="shared" si="446"/>
        <v>0</v>
      </c>
      <c r="AP409" s="561"/>
      <c r="AQ409" s="562"/>
      <c r="AR409" s="562"/>
    </row>
    <row r="410" spans="1:45" s="83" customFormat="1" hidden="1" outlineLevel="1">
      <c r="A410" s="521"/>
      <c r="B410" s="522" t="s">
        <v>198</v>
      </c>
      <c r="C410" s="528">
        <f>SUM(D410:G410)</f>
        <v>0</v>
      </c>
      <c r="D410" s="523">
        <v>0</v>
      </c>
      <c r="E410" s="523">
        <v>0</v>
      </c>
      <c r="F410" s="523">
        <v>0</v>
      </c>
      <c r="G410" s="523">
        <v>0</v>
      </c>
      <c r="H410" s="523">
        <f t="shared" si="478"/>
        <v>0</v>
      </c>
      <c r="I410" s="523">
        <f t="shared" si="479"/>
        <v>0</v>
      </c>
      <c r="J410" s="523"/>
      <c r="K410" s="523">
        <v>0</v>
      </c>
      <c r="L410" s="523">
        <f t="shared" si="480"/>
        <v>0</v>
      </c>
      <c r="M410" s="523"/>
      <c r="N410" s="523"/>
      <c r="O410" s="523">
        <f t="shared" si="442"/>
        <v>0</v>
      </c>
      <c r="P410" s="543">
        <f t="shared" si="474"/>
        <v>0</v>
      </c>
      <c r="Q410" s="543">
        <f t="shared" si="475"/>
        <v>0</v>
      </c>
      <c r="R410" s="523">
        <f t="shared" si="443"/>
        <v>0</v>
      </c>
      <c r="S410" s="523"/>
      <c r="T410" s="523"/>
      <c r="U410" s="523">
        <f t="shared" si="444"/>
        <v>0</v>
      </c>
      <c r="V410" s="523"/>
      <c r="W410" s="523"/>
      <c r="X410" s="523">
        <f t="shared" si="481"/>
        <v>0</v>
      </c>
      <c r="Y410" s="523">
        <f>Z410+AA410</f>
        <v>0</v>
      </c>
      <c r="Z410" s="523"/>
      <c r="AA410" s="523"/>
      <c r="AB410" s="523">
        <f>AC410+AD410</f>
        <v>0</v>
      </c>
      <c r="AC410" s="523"/>
      <c r="AD410" s="523"/>
      <c r="AE410" s="523">
        <f>AF410+AG410</f>
        <v>0</v>
      </c>
      <c r="AF410" s="523"/>
      <c r="AG410" s="523"/>
      <c r="AH410" s="523">
        <f>AI410+AJ410</f>
        <v>0</v>
      </c>
      <c r="AI410" s="523"/>
      <c r="AJ410" s="523"/>
      <c r="AK410" s="561">
        <f t="shared" si="431"/>
        <v>0</v>
      </c>
      <c r="AL410" s="561">
        <f t="shared" si="445"/>
        <v>0</v>
      </c>
      <c r="AM410" s="561">
        <f t="shared" si="445"/>
        <v>0</v>
      </c>
      <c r="AN410" s="561">
        <f t="shared" si="446"/>
        <v>0</v>
      </c>
      <c r="AO410" s="561">
        <f t="shared" si="446"/>
        <v>0</v>
      </c>
      <c r="AP410" s="561"/>
      <c r="AQ410" s="562"/>
      <c r="AR410" s="562"/>
    </row>
    <row r="411" spans="1:45" s="83" customFormat="1" hidden="1" outlineLevel="1">
      <c r="A411" s="521"/>
      <c r="B411" s="522" t="s">
        <v>195</v>
      </c>
      <c r="C411" s="528">
        <f>SUM(D411:G411)</f>
        <v>16.5</v>
      </c>
      <c r="D411" s="523">
        <v>0</v>
      </c>
      <c r="E411" s="523">
        <v>0</v>
      </c>
      <c r="F411" s="523">
        <v>0</v>
      </c>
      <c r="G411" s="523">
        <v>16.5</v>
      </c>
      <c r="H411" s="523">
        <f t="shared" si="478"/>
        <v>337</v>
      </c>
      <c r="I411" s="523">
        <f t="shared" si="479"/>
        <v>0</v>
      </c>
      <c r="J411" s="523"/>
      <c r="K411" s="523">
        <v>0</v>
      </c>
      <c r="L411" s="523">
        <f t="shared" si="480"/>
        <v>337</v>
      </c>
      <c r="M411" s="523"/>
      <c r="N411" s="523">
        <v>337</v>
      </c>
      <c r="O411" s="523">
        <f t="shared" si="442"/>
        <v>337</v>
      </c>
      <c r="P411" s="543">
        <f t="shared" si="474"/>
        <v>0</v>
      </c>
      <c r="Q411" s="543">
        <f t="shared" si="475"/>
        <v>337</v>
      </c>
      <c r="R411" s="523">
        <f t="shared" si="443"/>
        <v>0</v>
      </c>
      <c r="S411" s="523"/>
      <c r="T411" s="523"/>
      <c r="U411" s="523">
        <f t="shared" si="444"/>
        <v>337</v>
      </c>
      <c r="V411" s="523"/>
      <c r="W411" s="523">
        <v>337</v>
      </c>
      <c r="X411" s="523">
        <f t="shared" si="481"/>
        <v>16.5</v>
      </c>
      <c r="Y411" s="523">
        <f>Z411+AA411</f>
        <v>0</v>
      </c>
      <c r="Z411" s="523"/>
      <c r="AA411" s="523"/>
      <c r="AB411" s="523">
        <f>AC411+AD411</f>
        <v>16.5</v>
      </c>
      <c r="AC411" s="523"/>
      <c r="AD411" s="523">
        <v>16.5</v>
      </c>
      <c r="AE411" s="523">
        <f>AF411+AG411</f>
        <v>0</v>
      </c>
      <c r="AF411" s="523"/>
      <c r="AG411" s="523"/>
      <c r="AH411" s="523">
        <f>AI411+AJ411</f>
        <v>0</v>
      </c>
      <c r="AI411" s="523"/>
      <c r="AJ411" s="523"/>
      <c r="AK411" s="561">
        <f t="shared" si="431"/>
        <v>0</v>
      </c>
      <c r="AL411" s="561">
        <f t="shared" si="445"/>
        <v>0</v>
      </c>
      <c r="AM411" s="561">
        <f t="shared" si="445"/>
        <v>0</v>
      </c>
      <c r="AN411" s="561">
        <f t="shared" si="446"/>
        <v>0</v>
      </c>
      <c r="AO411" s="561">
        <f t="shared" si="446"/>
        <v>0</v>
      </c>
      <c r="AP411" s="561"/>
      <c r="AQ411" s="562"/>
      <c r="AR411" s="562"/>
    </row>
    <row r="412" spans="1:45" s="83" customFormat="1" hidden="1" outlineLevel="1">
      <c r="A412" s="521"/>
      <c r="B412" s="522" t="s">
        <v>199</v>
      </c>
      <c r="C412" s="528">
        <f>SUM(D412:G412)</f>
        <v>301.5</v>
      </c>
      <c r="D412" s="523">
        <v>0</v>
      </c>
      <c r="E412" s="523">
        <v>0</v>
      </c>
      <c r="F412" s="523">
        <v>0</v>
      </c>
      <c r="G412" s="523">
        <v>301.5</v>
      </c>
      <c r="H412" s="523">
        <f t="shared" si="478"/>
        <v>321</v>
      </c>
      <c r="I412" s="523"/>
      <c r="J412" s="523"/>
      <c r="K412" s="523"/>
      <c r="L412" s="523">
        <f t="shared" si="480"/>
        <v>321</v>
      </c>
      <c r="M412" s="523"/>
      <c r="N412" s="523">
        <f>232+89</f>
        <v>321</v>
      </c>
      <c r="O412" s="523">
        <f t="shared" si="442"/>
        <v>614</v>
      </c>
      <c r="P412" s="543">
        <f t="shared" si="474"/>
        <v>0</v>
      </c>
      <c r="Q412" s="543">
        <f t="shared" si="475"/>
        <v>614</v>
      </c>
      <c r="R412" s="523">
        <f t="shared" si="443"/>
        <v>0</v>
      </c>
      <c r="S412" s="523"/>
      <c r="T412" s="523"/>
      <c r="U412" s="523">
        <f t="shared" si="444"/>
        <v>614</v>
      </c>
      <c r="V412" s="523"/>
      <c r="W412" s="523">
        <v>614</v>
      </c>
      <c r="X412" s="523">
        <f t="shared" si="481"/>
        <v>0</v>
      </c>
      <c r="Y412" s="523"/>
      <c r="Z412" s="523"/>
      <c r="AA412" s="523"/>
      <c r="AB412" s="523"/>
      <c r="AC412" s="523"/>
      <c r="AD412" s="523"/>
      <c r="AE412" s="523"/>
      <c r="AF412" s="523"/>
      <c r="AG412" s="523"/>
      <c r="AH412" s="523"/>
      <c r="AI412" s="523"/>
      <c r="AJ412" s="523"/>
      <c r="AK412" s="561">
        <f t="shared" si="431"/>
        <v>8.5</v>
      </c>
      <c r="AL412" s="561">
        <f t="shared" si="445"/>
        <v>0</v>
      </c>
      <c r="AM412" s="561">
        <f t="shared" si="445"/>
        <v>0</v>
      </c>
      <c r="AN412" s="561">
        <f t="shared" si="446"/>
        <v>0</v>
      </c>
      <c r="AO412" s="561">
        <f t="shared" si="446"/>
        <v>8.5</v>
      </c>
      <c r="AP412" s="561"/>
      <c r="AQ412" s="562"/>
      <c r="AR412" s="562"/>
    </row>
    <row r="413" spans="1:45" s="83" customFormat="1" hidden="1" outlineLevel="1">
      <c r="A413" s="521"/>
      <c r="B413" s="522" t="s">
        <v>196</v>
      </c>
      <c r="C413" s="528">
        <f>SUM(D413:G413)</f>
        <v>64.5</v>
      </c>
      <c r="D413" s="523">
        <v>0</v>
      </c>
      <c r="E413" s="523">
        <v>0</v>
      </c>
      <c r="F413" s="523">
        <v>0</v>
      </c>
      <c r="G413" s="523">
        <v>64.5</v>
      </c>
      <c r="H413" s="523">
        <f t="shared" si="478"/>
        <v>279</v>
      </c>
      <c r="I413" s="523">
        <f t="shared" si="479"/>
        <v>0</v>
      </c>
      <c r="J413" s="523"/>
      <c r="K413" s="523">
        <v>0</v>
      </c>
      <c r="L413" s="523">
        <f t="shared" si="480"/>
        <v>279</v>
      </c>
      <c r="M413" s="523"/>
      <c r="N413" s="523">
        <v>279</v>
      </c>
      <c r="O413" s="523">
        <f t="shared" si="442"/>
        <v>343.5</v>
      </c>
      <c r="P413" s="543">
        <f t="shared" si="474"/>
        <v>0</v>
      </c>
      <c r="Q413" s="543">
        <f t="shared" si="475"/>
        <v>343.5</v>
      </c>
      <c r="R413" s="523">
        <f t="shared" si="443"/>
        <v>0</v>
      </c>
      <c r="S413" s="523"/>
      <c r="T413" s="523"/>
      <c r="U413" s="523">
        <f t="shared" si="444"/>
        <v>343.5</v>
      </c>
      <c r="V413" s="523"/>
      <c r="W413" s="523">
        <f>H413+G413</f>
        <v>343.5</v>
      </c>
      <c r="X413" s="523">
        <f t="shared" si="481"/>
        <v>0</v>
      </c>
      <c r="Y413" s="523">
        <f>Z413+AA413</f>
        <v>0</v>
      </c>
      <c r="Z413" s="523"/>
      <c r="AA413" s="523"/>
      <c r="AB413" s="523">
        <f>AC413+AD413</f>
        <v>0</v>
      </c>
      <c r="AC413" s="523"/>
      <c r="AD413" s="523"/>
      <c r="AE413" s="523">
        <f>AF413+AG413</f>
        <v>0</v>
      </c>
      <c r="AF413" s="523"/>
      <c r="AG413" s="523"/>
      <c r="AH413" s="523">
        <f>AI413+AJ413</f>
        <v>0</v>
      </c>
      <c r="AI413" s="523"/>
      <c r="AJ413" s="523"/>
      <c r="AK413" s="561">
        <f t="shared" si="431"/>
        <v>0</v>
      </c>
      <c r="AL413" s="561">
        <f t="shared" si="445"/>
        <v>0</v>
      </c>
      <c r="AM413" s="561">
        <f t="shared" si="445"/>
        <v>0</v>
      </c>
      <c r="AN413" s="561">
        <f t="shared" si="446"/>
        <v>0</v>
      </c>
      <c r="AO413" s="561">
        <f t="shared" si="446"/>
        <v>0</v>
      </c>
      <c r="AP413" s="561"/>
      <c r="AQ413" s="562"/>
      <c r="AR413" s="562"/>
    </row>
    <row r="414" spans="1:45" s="83" customFormat="1" hidden="1" outlineLevel="1">
      <c r="A414" s="521"/>
      <c r="B414" s="522" t="s">
        <v>193</v>
      </c>
      <c r="C414" s="528"/>
      <c r="D414" s="523"/>
      <c r="E414" s="523"/>
      <c r="F414" s="523"/>
      <c r="G414" s="523"/>
      <c r="H414" s="523">
        <f t="shared" si="478"/>
        <v>30</v>
      </c>
      <c r="I414" s="523"/>
      <c r="J414" s="523"/>
      <c r="K414" s="523"/>
      <c r="L414" s="523">
        <f t="shared" si="480"/>
        <v>30</v>
      </c>
      <c r="M414" s="523"/>
      <c r="N414" s="523">
        <v>30</v>
      </c>
      <c r="O414" s="523">
        <f t="shared" si="442"/>
        <v>30</v>
      </c>
      <c r="P414" s="543">
        <f t="shared" si="474"/>
        <v>0</v>
      </c>
      <c r="Q414" s="543">
        <f t="shared" si="475"/>
        <v>30</v>
      </c>
      <c r="R414" s="523">
        <f t="shared" si="443"/>
        <v>0</v>
      </c>
      <c r="S414" s="523"/>
      <c r="T414" s="523"/>
      <c r="U414" s="523">
        <f t="shared" si="444"/>
        <v>30</v>
      </c>
      <c r="V414" s="523"/>
      <c r="W414" s="523">
        <v>30</v>
      </c>
      <c r="X414" s="523"/>
      <c r="Y414" s="523"/>
      <c r="Z414" s="523"/>
      <c r="AA414" s="523"/>
      <c r="AB414" s="523"/>
      <c r="AC414" s="523"/>
      <c r="AD414" s="523"/>
      <c r="AE414" s="523"/>
      <c r="AF414" s="523"/>
      <c r="AG414" s="523"/>
      <c r="AH414" s="523"/>
      <c r="AI414" s="523"/>
      <c r="AJ414" s="523"/>
      <c r="AK414" s="561">
        <f t="shared" si="431"/>
        <v>0</v>
      </c>
      <c r="AL414" s="561">
        <f t="shared" si="445"/>
        <v>0</v>
      </c>
      <c r="AM414" s="561">
        <f t="shared" si="445"/>
        <v>0</v>
      </c>
      <c r="AN414" s="561">
        <f t="shared" si="446"/>
        <v>0</v>
      </c>
      <c r="AO414" s="561">
        <f t="shared" si="446"/>
        <v>0</v>
      </c>
      <c r="AP414" s="561"/>
      <c r="AQ414" s="562"/>
      <c r="AR414" s="562"/>
    </row>
    <row r="415" spans="1:45" s="83" customFormat="1" hidden="1" outlineLevel="1">
      <c r="A415" s="521"/>
      <c r="B415" s="522" t="s">
        <v>192</v>
      </c>
      <c r="C415" s="528">
        <f t="shared" ref="C415:C435" si="482">SUM(D415:G415)</f>
        <v>0</v>
      </c>
      <c r="D415" s="523">
        <v>0</v>
      </c>
      <c r="E415" s="523">
        <v>0</v>
      </c>
      <c r="F415" s="523">
        <v>0</v>
      </c>
      <c r="G415" s="523">
        <v>0</v>
      </c>
      <c r="H415" s="523">
        <f t="shared" si="478"/>
        <v>499</v>
      </c>
      <c r="I415" s="523">
        <f t="shared" si="479"/>
        <v>0</v>
      </c>
      <c r="J415" s="523"/>
      <c r="K415" s="523">
        <v>0</v>
      </c>
      <c r="L415" s="523">
        <f t="shared" si="480"/>
        <v>499</v>
      </c>
      <c r="M415" s="523"/>
      <c r="N415" s="523">
        <v>499</v>
      </c>
      <c r="O415" s="523">
        <f t="shared" si="442"/>
        <v>499</v>
      </c>
      <c r="P415" s="543">
        <f t="shared" si="474"/>
        <v>0</v>
      </c>
      <c r="Q415" s="543">
        <f t="shared" si="475"/>
        <v>499</v>
      </c>
      <c r="R415" s="523">
        <f t="shared" si="443"/>
        <v>0</v>
      </c>
      <c r="S415" s="523"/>
      <c r="T415" s="523"/>
      <c r="U415" s="523">
        <f t="shared" si="444"/>
        <v>499</v>
      </c>
      <c r="V415" s="523"/>
      <c r="W415" s="523">
        <v>499</v>
      </c>
      <c r="X415" s="523">
        <f t="shared" si="481"/>
        <v>0</v>
      </c>
      <c r="Y415" s="523">
        <f>Z415+AA415</f>
        <v>0</v>
      </c>
      <c r="Z415" s="523"/>
      <c r="AA415" s="523"/>
      <c r="AB415" s="523">
        <f>AC415+AD415</f>
        <v>0</v>
      </c>
      <c r="AC415" s="523"/>
      <c r="AD415" s="523"/>
      <c r="AE415" s="523">
        <f>AF415+AG415</f>
        <v>0</v>
      </c>
      <c r="AF415" s="523"/>
      <c r="AG415" s="523"/>
      <c r="AH415" s="523">
        <f>AI415+AJ415</f>
        <v>0</v>
      </c>
      <c r="AI415" s="523"/>
      <c r="AJ415" s="523"/>
      <c r="AK415" s="561">
        <f t="shared" si="431"/>
        <v>0</v>
      </c>
      <c r="AL415" s="561">
        <f t="shared" si="445"/>
        <v>0</v>
      </c>
      <c r="AM415" s="561">
        <f t="shared" si="445"/>
        <v>0</v>
      </c>
      <c r="AN415" s="561">
        <f t="shared" si="446"/>
        <v>0</v>
      </c>
      <c r="AO415" s="561">
        <f t="shared" si="446"/>
        <v>0</v>
      </c>
      <c r="AP415" s="561"/>
      <c r="AQ415" s="562"/>
      <c r="AR415" s="562"/>
    </row>
    <row r="416" spans="1:45" s="83" customFormat="1" hidden="1" outlineLevel="1">
      <c r="A416" s="521"/>
      <c r="B416" s="522" t="s">
        <v>484</v>
      </c>
      <c r="C416" s="528">
        <f t="shared" si="482"/>
        <v>0</v>
      </c>
      <c r="D416" s="523">
        <v>0</v>
      </c>
      <c r="E416" s="568">
        <v>0</v>
      </c>
      <c r="F416" s="523">
        <v>0</v>
      </c>
      <c r="G416" s="523">
        <v>0</v>
      </c>
      <c r="H416" s="523">
        <f t="shared" si="478"/>
        <v>234</v>
      </c>
      <c r="I416" s="523">
        <f>J416+K416</f>
        <v>234</v>
      </c>
      <c r="J416" s="80"/>
      <c r="K416" s="523">
        <f>539-305</f>
        <v>234</v>
      </c>
      <c r="L416" s="523">
        <f>M416+N416</f>
        <v>0</v>
      </c>
      <c r="M416" s="523"/>
      <c r="N416" s="523">
        <v>0</v>
      </c>
      <c r="O416" s="523">
        <f t="shared" si="442"/>
        <v>0</v>
      </c>
      <c r="P416" s="543">
        <f t="shared" si="474"/>
        <v>0</v>
      </c>
      <c r="Q416" s="543">
        <f t="shared" si="475"/>
        <v>0</v>
      </c>
      <c r="R416" s="523">
        <f t="shared" si="443"/>
        <v>0</v>
      </c>
      <c r="S416" s="523"/>
      <c r="T416" s="523"/>
      <c r="U416" s="523">
        <f t="shared" si="444"/>
        <v>0</v>
      </c>
      <c r="V416" s="523"/>
      <c r="W416" s="523"/>
      <c r="X416" s="523">
        <f t="shared" si="481"/>
        <v>0</v>
      </c>
      <c r="Y416" s="523">
        <f>Z416+AA416</f>
        <v>0</v>
      </c>
      <c r="Z416" s="523"/>
      <c r="AA416" s="523"/>
      <c r="AB416" s="523">
        <f>AC416+AD416</f>
        <v>0</v>
      </c>
      <c r="AC416" s="523"/>
      <c r="AD416" s="523"/>
      <c r="AE416" s="523">
        <f>AF416+AG416</f>
        <v>0</v>
      </c>
      <c r="AF416" s="523"/>
      <c r="AG416" s="523"/>
      <c r="AH416" s="523">
        <f>AI416+AJ416</f>
        <v>0</v>
      </c>
      <c r="AI416" s="523"/>
      <c r="AJ416" s="523"/>
      <c r="AK416" s="561">
        <f t="shared" si="431"/>
        <v>234</v>
      </c>
      <c r="AL416" s="561">
        <f t="shared" si="445"/>
        <v>0</v>
      </c>
      <c r="AM416" s="561">
        <f t="shared" si="445"/>
        <v>234</v>
      </c>
      <c r="AN416" s="561">
        <f t="shared" si="446"/>
        <v>0</v>
      </c>
      <c r="AO416" s="561">
        <f t="shared" si="446"/>
        <v>0</v>
      </c>
      <c r="AP416" s="561"/>
      <c r="AQ416" s="562">
        <v>234</v>
      </c>
      <c r="AR416" s="562"/>
    </row>
    <row r="417" spans="1:45" s="83" customFormat="1" hidden="1" outlineLevel="1">
      <c r="A417" s="549">
        <v>15</v>
      </c>
      <c r="B417" s="522" t="s">
        <v>504</v>
      </c>
      <c r="C417" s="528">
        <f t="shared" si="482"/>
        <v>99.372</v>
      </c>
      <c r="D417" s="523">
        <v>0</v>
      </c>
      <c r="E417" s="523">
        <v>42</v>
      </c>
      <c r="F417" s="523">
        <v>0</v>
      </c>
      <c r="G417" s="523">
        <v>57.372</v>
      </c>
      <c r="H417" s="523">
        <f>SUM(H418:H429)</f>
        <v>1500</v>
      </c>
      <c r="I417" s="523">
        <f t="shared" ref="I417:AJ417" si="483">SUM(I418:I429)</f>
        <v>821</v>
      </c>
      <c r="J417" s="523">
        <f t="shared" si="483"/>
        <v>0</v>
      </c>
      <c r="K417" s="523">
        <f t="shared" si="483"/>
        <v>821</v>
      </c>
      <c r="L417" s="523">
        <f t="shared" si="483"/>
        <v>679</v>
      </c>
      <c r="M417" s="523">
        <f t="shared" si="483"/>
        <v>0</v>
      </c>
      <c r="N417" s="523">
        <f t="shared" si="483"/>
        <v>679</v>
      </c>
      <c r="O417" s="523">
        <f t="shared" si="483"/>
        <v>1505.7</v>
      </c>
      <c r="P417" s="543">
        <f t="shared" si="474"/>
        <v>0</v>
      </c>
      <c r="Q417" s="543">
        <f t="shared" si="475"/>
        <v>1505.7</v>
      </c>
      <c r="R417" s="523">
        <f t="shared" si="483"/>
        <v>821</v>
      </c>
      <c r="S417" s="523">
        <f t="shared" si="483"/>
        <v>0</v>
      </c>
      <c r="T417" s="523">
        <f t="shared" si="483"/>
        <v>821</v>
      </c>
      <c r="U417" s="523">
        <f t="shared" si="483"/>
        <v>684.7</v>
      </c>
      <c r="V417" s="523">
        <f t="shared" si="483"/>
        <v>0</v>
      </c>
      <c r="W417" s="523">
        <f t="shared" si="483"/>
        <v>684.7</v>
      </c>
      <c r="X417" s="523">
        <f t="shared" si="483"/>
        <v>92.9</v>
      </c>
      <c r="Y417" s="523">
        <f t="shared" si="483"/>
        <v>42</v>
      </c>
      <c r="Z417" s="523">
        <f t="shared" si="483"/>
        <v>0</v>
      </c>
      <c r="AA417" s="523">
        <f t="shared" si="483"/>
        <v>42</v>
      </c>
      <c r="AB417" s="523">
        <f t="shared" si="483"/>
        <v>50.900000000000006</v>
      </c>
      <c r="AC417" s="523">
        <f t="shared" si="483"/>
        <v>0</v>
      </c>
      <c r="AD417" s="523">
        <f t="shared" si="483"/>
        <v>50.900000000000006</v>
      </c>
      <c r="AE417" s="523">
        <f t="shared" si="483"/>
        <v>0</v>
      </c>
      <c r="AF417" s="523">
        <f t="shared" si="483"/>
        <v>0</v>
      </c>
      <c r="AG417" s="523">
        <f t="shared" si="483"/>
        <v>0</v>
      </c>
      <c r="AH417" s="523">
        <f t="shared" si="483"/>
        <v>0</v>
      </c>
      <c r="AI417" s="523">
        <f t="shared" si="483"/>
        <v>0</v>
      </c>
      <c r="AJ417" s="523">
        <f t="shared" si="483"/>
        <v>0</v>
      </c>
      <c r="AK417" s="561">
        <f t="shared" si="431"/>
        <v>0.77199999999990609</v>
      </c>
      <c r="AL417" s="561">
        <f t="shared" si="445"/>
        <v>0</v>
      </c>
      <c r="AM417" s="561">
        <f t="shared" si="445"/>
        <v>0</v>
      </c>
      <c r="AN417" s="561">
        <f t="shared" si="446"/>
        <v>0</v>
      </c>
      <c r="AO417" s="561">
        <f t="shared" si="446"/>
        <v>0.77199999999990609</v>
      </c>
      <c r="AP417" s="561"/>
      <c r="AQ417" s="562"/>
      <c r="AR417" s="562"/>
    </row>
    <row r="418" spans="1:45" s="83" customFormat="1" hidden="1" outlineLevel="1">
      <c r="A418" s="549"/>
      <c r="B418" s="522" t="s">
        <v>188</v>
      </c>
      <c r="C418" s="528">
        <f t="shared" si="482"/>
        <v>19.972000000000012</v>
      </c>
      <c r="D418" s="523">
        <v>0</v>
      </c>
      <c r="E418" s="523">
        <v>0</v>
      </c>
      <c r="F418" s="523">
        <v>0</v>
      </c>
      <c r="G418" s="523">
        <v>19.972000000000012</v>
      </c>
      <c r="H418" s="523">
        <f>I418+L418</f>
        <v>67</v>
      </c>
      <c r="I418" s="523">
        <f>J418+K418</f>
        <v>0</v>
      </c>
      <c r="J418" s="523"/>
      <c r="K418" s="523"/>
      <c r="L418" s="523">
        <f>M418+N418</f>
        <v>67</v>
      </c>
      <c r="M418" s="523"/>
      <c r="N418" s="523">
        <v>67</v>
      </c>
      <c r="O418" s="523">
        <f t="shared" si="442"/>
        <v>86.2</v>
      </c>
      <c r="P418" s="543">
        <f t="shared" si="474"/>
        <v>0</v>
      </c>
      <c r="Q418" s="543">
        <f t="shared" si="475"/>
        <v>86.2</v>
      </c>
      <c r="R418" s="523">
        <f t="shared" si="443"/>
        <v>0</v>
      </c>
      <c r="S418" s="523"/>
      <c r="T418" s="523"/>
      <c r="U418" s="523">
        <f t="shared" si="444"/>
        <v>86.2</v>
      </c>
      <c r="V418" s="523"/>
      <c r="W418" s="523">
        <v>86.2</v>
      </c>
      <c r="X418" s="523">
        <f t="shared" ref="X418:X429" si="484">Y418+AB418+AE418+AH418</f>
        <v>0</v>
      </c>
      <c r="Y418" s="523"/>
      <c r="Z418" s="523"/>
      <c r="AA418" s="523"/>
      <c r="AB418" s="523">
        <f>AC418+AD418</f>
        <v>0</v>
      </c>
      <c r="AC418" s="523"/>
      <c r="AD418" s="523"/>
      <c r="AE418" s="523">
        <f t="shared" ref="AE418:AE428" si="485">AF418+AG418</f>
        <v>0</v>
      </c>
      <c r="AF418" s="523"/>
      <c r="AG418" s="523"/>
      <c r="AH418" s="523">
        <f t="shared" ref="AH418:AH428" si="486">AI418+AJ418</f>
        <v>0</v>
      </c>
      <c r="AI418" s="523"/>
      <c r="AJ418" s="523"/>
      <c r="AK418" s="561">
        <f t="shared" si="431"/>
        <v>0.77200000000000557</v>
      </c>
      <c r="AL418" s="561">
        <f t="shared" si="445"/>
        <v>0</v>
      </c>
      <c r="AM418" s="561">
        <f t="shared" si="445"/>
        <v>0</v>
      </c>
      <c r="AN418" s="561">
        <f t="shared" si="446"/>
        <v>0</v>
      </c>
      <c r="AO418" s="561">
        <f t="shared" si="446"/>
        <v>0.77200000000000557</v>
      </c>
      <c r="AP418" s="561"/>
      <c r="AQ418" s="562"/>
      <c r="AR418" s="562"/>
    </row>
    <row r="419" spans="1:45" s="83" customFormat="1" hidden="1" outlineLevel="1">
      <c r="A419" s="549"/>
      <c r="B419" s="522" t="s">
        <v>200</v>
      </c>
      <c r="C419" s="528">
        <f t="shared" si="482"/>
        <v>0</v>
      </c>
      <c r="D419" s="523">
        <v>0</v>
      </c>
      <c r="E419" s="523">
        <v>0</v>
      </c>
      <c r="F419" s="523">
        <v>0</v>
      </c>
      <c r="G419" s="523">
        <v>0</v>
      </c>
      <c r="H419" s="523">
        <f t="shared" ref="H419:H428" si="487">I419+L419</f>
        <v>67</v>
      </c>
      <c r="I419" s="523">
        <f t="shared" ref="I419:I428" si="488">J419+K419</f>
        <v>0</v>
      </c>
      <c r="J419" s="523"/>
      <c r="K419" s="523"/>
      <c r="L419" s="523">
        <f t="shared" ref="L419:L428" si="489">M419+N419</f>
        <v>67</v>
      </c>
      <c r="M419" s="523"/>
      <c r="N419" s="523">
        <v>67</v>
      </c>
      <c r="O419" s="523">
        <f t="shared" si="442"/>
        <v>67</v>
      </c>
      <c r="P419" s="543">
        <f t="shared" si="474"/>
        <v>0</v>
      </c>
      <c r="Q419" s="543">
        <f t="shared" si="475"/>
        <v>67</v>
      </c>
      <c r="R419" s="523">
        <f t="shared" si="443"/>
        <v>0</v>
      </c>
      <c r="S419" s="523"/>
      <c r="T419" s="523"/>
      <c r="U419" s="523">
        <f t="shared" si="444"/>
        <v>67</v>
      </c>
      <c r="V419" s="523"/>
      <c r="W419" s="523">
        <v>67</v>
      </c>
      <c r="X419" s="523">
        <f t="shared" si="484"/>
        <v>0</v>
      </c>
      <c r="Y419" s="523"/>
      <c r="Z419" s="523"/>
      <c r="AA419" s="523"/>
      <c r="AB419" s="523"/>
      <c r="AC419" s="523"/>
      <c r="AD419" s="523"/>
      <c r="AE419" s="523">
        <f t="shared" si="485"/>
        <v>0</v>
      </c>
      <c r="AF419" s="523"/>
      <c r="AG419" s="523"/>
      <c r="AH419" s="523">
        <f t="shared" si="486"/>
        <v>0</v>
      </c>
      <c r="AI419" s="523"/>
      <c r="AJ419" s="523"/>
      <c r="AK419" s="561">
        <f t="shared" si="431"/>
        <v>0</v>
      </c>
      <c r="AL419" s="561">
        <f t="shared" si="445"/>
        <v>0</v>
      </c>
      <c r="AM419" s="561">
        <f t="shared" si="445"/>
        <v>0</v>
      </c>
      <c r="AN419" s="561">
        <f t="shared" si="446"/>
        <v>0</v>
      </c>
      <c r="AO419" s="561">
        <f t="shared" si="446"/>
        <v>0</v>
      </c>
      <c r="AP419" s="561"/>
      <c r="AQ419" s="562"/>
      <c r="AR419" s="562"/>
    </row>
    <row r="420" spans="1:45" s="83" customFormat="1" hidden="1" outlineLevel="1">
      <c r="A420" s="549"/>
      <c r="B420" s="522" t="s">
        <v>197</v>
      </c>
      <c r="C420" s="528">
        <f t="shared" si="482"/>
        <v>0</v>
      </c>
      <c r="D420" s="523">
        <v>0</v>
      </c>
      <c r="E420" s="523">
        <v>0</v>
      </c>
      <c r="F420" s="523">
        <v>0</v>
      </c>
      <c r="G420" s="523">
        <v>0</v>
      </c>
      <c r="H420" s="523">
        <f t="shared" si="487"/>
        <v>52</v>
      </c>
      <c r="I420" s="523">
        <f t="shared" si="488"/>
        <v>0</v>
      </c>
      <c r="J420" s="523"/>
      <c r="K420" s="523"/>
      <c r="L420" s="523">
        <f t="shared" si="489"/>
        <v>52</v>
      </c>
      <c r="M420" s="523"/>
      <c r="N420" s="523">
        <v>52</v>
      </c>
      <c r="O420" s="523">
        <f t="shared" si="442"/>
        <v>52</v>
      </c>
      <c r="P420" s="543">
        <f t="shared" si="474"/>
        <v>0</v>
      </c>
      <c r="Q420" s="543">
        <f t="shared" si="475"/>
        <v>52</v>
      </c>
      <c r="R420" s="523">
        <f t="shared" si="443"/>
        <v>0</v>
      </c>
      <c r="S420" s="523"/>
      <c r="T420" s="523"/>
      <c r="U420" s="523">
        <f t="shared" si="444"/>
        <v>52</v>
      </c>
      <c r="V420" s="523"/>
      <c r="W420" s="523">
        <v>52</v>
      </c>
      <c r="X420" s="523">
        <f t="shared" si="484"/>
        <v>0</v>
      </c>
      <c r="Y420" s="523"/>
      <c r="Z420" s="523"/>
      <c r="AA420" s="523"/>
      <c r="AB420" s="523"/>
      <c r="AC420" s="523"/>
      <c r="AD420" s="523"/>
      <c r="AE420" s="523">
        <f t="shared" si="485"/>
        <v>0</v>
      </c>
      <c r="AF420" s="523"/>
      <c r="AG420" s="523"/>
      <c r="AH420" s="523">
        <f t="shared" si="486"/>
        <v>0</v>
      </c>
      <c r="AI420" s="523"/>
      <c r="AJ420" s="523"/>
      <c r="AK420" s="561">
        <f t="shared" si="431"/>
        <v>0</v>
      </c>
      <c r="AL420" s="561">
        <f t="shared" si="445"/>
        <v>0</v>
      </c>
      <c r="AM420" s="561">
        <f t="shared" si="445"/>
        <v>0</v>
      </c>
      <c r="AN420" s="561">
        <f t="shared" si="446"/>
        <v>0</v>
      </c>
      <c r="AO420" s="561">
        <f t="shared" si="446"/>
        <v>0</v>
      </c>
      <c r="AP420" s="561"/>
      <c r="AQ420" s="562"/>
      <c r="AR420" s="562"/>
    </row>
    <row r="421" spans="1:45" s="83" customFormat="1" hidden="1" outlineLevel="1">
      <c r="A421" s="549"/>
      <c r="B421" s="522" t="s">
        <v>198</v>
      </c>
      <c r="C421" s="528">
        <f t="shared" si="482"/>
        <v>0</v>
      </c>
      <c r="D421" s="523">
        <v>0</v>
      </c>
      <c r="E421" s="523">
        <v>0</v>
      </c>
      <c r="F421" s="523">
        <v>0</v>
      </c>
      <c r="G421" s="523">
        <v>0</v>
      </c>
      <c r="H421" s="523">
        <f t="shared" si="487"/>
        <v>57</v>
      </c>
      <c r="I421" s="523">
        <f t="shared" si="488"/>
        <v>0</v>
      </c>
      <c r="J421" s="523"/>
      <c r="K421" s="523"/>
      <c r="L421" s="523">
        <f t="shared" si="489"/>
        <v>57</v>
      </c>
      <c r="M421" s="523"/>
      <c r="N421" s="523">
        <v>57</v>
      </c>
      <c r="O421" s="523">
        <f t="shared" si="442"/>
        <v>57</v>
      </c>
      <c r="P421" s="543">
        <f t="shared" si="474"/>
        <v>0</v>
      </c>
      <c r="Q421" s="543">
        <f t="shared" si="475"/>
        <v>57</v>
      </c>
      <c r="R421" s="523">
        <f t="shared" si="443"/>
        <v>0</v>
      </c>
      <c r="S421" s="523"/>
      <c r="T421" s="523"/>
      <c r="U421" s="523">
        <f t="shared" si="444"/>
        <v>57</v>
      </c>
      <c r="V421" s="523"/>
      <c r="W421" s="523">
        <v>57</v>
      </c>
      <c r="X421" s="523">
        <f t="shared" si="484"/>
        <v>0</v>
      </c>
      <c r="Y421" s="523"/>
      <c r="Z421" s="523"/>
      <c r="AA421" s="523"/>
      <c r="AB421" s="523"/>
      <c r="AC421" s="523"/>
      <c r="AD421" s="523"/>
      <c r="AE421" s="523">
        <f t="shared" si="485"/>
        <v>0</v>
      </c>
      <c r="AF421" s="523"/>
      <c r="AG421" s="523"/>
      <c r="AH421" s="523">
        <f t="shared" si="486"/>
        <v>0</v>
      </c>
      <c r="AI421" s="523"/>
      <c r="AJ421" s="523"/>
      <c r="AK421" s="561">
        <f t="shared" si="431"/>
        <v>0</v>
      </c>
      <c r="AL421" s="561">
        <f t="shared" si="445"/>
        <v>0</v>
      </c>
      <c r="AM421" s="561">
        <f t="shared" si="445"/>
        <v>0</v>
      </c>
      <c r="AN421" s="561">
        <f t="shared" si="446"/>
        <v>0</v>
      </c>
      <c r="AO421" s="561">
        <f t="shared" si="446"/>
        <v>0</v>
      </c>
      <c r="AP421" s="561"/>
      <c r="AQ421" s="562"/>
      <c r="AR421" s="562"/>
    </row>
    <row r="422" spans="1:45" s="83" customFormat="1" hidden="1" outlineLevel="1">
      <c r="A422" s="549"/>
      <c r="B422" s="522" t="s">
        <v>194</v>
      </c>
      <c r="C422" s="528">
        <f t="shared" si="482"/>
        <v>0</v>
      </c>
      <c r="D422" s="523">
        <v>0</v>
      </c>
      <c r="E422" s="523">
        <v>0</v>
      </c>
      <c r="F422" s="523">
        <v>0</v>
      </c>
      <c r="G422" s="523">
        <v>0</v>
      </c>
      <c r="H422" s="523">
        <f t="shared" si="487"/>
        <v>110</v>
      </c>
      <c r="I422" s="523">
        <f t="shared" si="488"/>
        <v>0</v>
      </c>
      <c r="J422" s="523"/>
      <c r="K422" s="523"/>
      <c r="L422" s="523">
        <f t="shared" si="489"/>
        <v>110</v>
      </c>
      <c r="M422" s="523"/>
      <c r="N422" s="523">
        <v>110</v>
      </c>
      <c r="O422" s="523">
        <f t="shared" si="442"/>
        <v>110</v>
      </c>
      <c r="P422" s="543">
        <f t="shared" si="474"/>
        <v>0</v>
      </c>
      <c r="Q422" s="543">
        <f t="shared" si="475"/>
        <v>110</v>
      </c>
      <c r="R422" s="523">
        <f t="shared" si="443"/>
        <v>0</v>
      </c>
      <c r="S422" s="523"/>
      <c r="T422" s="523"/>
      <c r="U422" s="523">
        <f t="shared" si="444"/>
        <v>110</v>
      </c>
      <c r="V422" s="523"/>
      <c r="W422" s="523">
        <v>110</v>
      </c>
      <c r="X422" s="523">
        <f t="shared" si="484"/>
        <v>0</v>
      </c>
      <c r="Y422" s="523"/>
      <c r="Z422" s="523"/>
      <c r="AA422" s="523"/>
      <c r="AB422" s="523"/>
      <c r="AC422" s="523"/>
      <c r="AD422" s="523"/>
      <c r="AE422" s="523">
        <f t="shared" si="485"/>
        <v>0</v>
      </c>
      <c r="AF422" s="523"/>
      <c r="AG422" s="523"/>
      <c r="AH422" s="523">
        <f t="shared" si="486"/>
        <v>0</v>
      </c>
      <c r="AI422" s="523"/>
      <c r="AJ422" s="523"/>
      <c r="AK422" s="561">
        <f t="shared" ref="AK422:AK429" si="490">SUM(AL422:AO422)</f>
        <v>0</v>
      </c>
      <c r="AL422" s="561">
        <f t="shared" si="445"/>
        <v>0</v>
      </c>
      <c r="AM422" s="561">
        <f t="shared" si="445"/>
        <v>0</v>
      </c>
      <c r="AN422" s="561">
        <f t="shared" si="446"/>
        <v>0</v>
      </c>
      <c r="AO422" s="561">
        <f t="shared" si="446"/>
        <v>0</v>
      </c>
      <c r="AP422" s="561"/>
      <c r="AQ422" s="562"/>
      <c r="AR422" s="562"/>
    </row>
    <row r="423" spans="1:45" s="83" customFormat="1" hidden="1" outlineLevel="1">
      <c r="A423" s="549"/>
      <c r="B423" s="522" t="s">
        <v>388</v>
      </c>
      <c r="C423" s="528">
        <f t="shared" si="482"/>
        <v>0</v>
      </c>
      <c r="D423" s="523">
        <v>0</v>
      </c>
      <c r="E423" s="523">
        <v>0</v>
      </c>
      <c r="F423" s="523">
        <v>0</v>
      </c>
      <c r="G423" s="523">
        <v>0</v>
      </c>
      <c r="H423" s="523">
        <f t="shared" si="487"/>
        <v>65</v>
      </c>
      <c r="I423" s="523">
        <f t="shared" si="488"/>
        <v>0</v>
      </c>
      <c r="J423" s="523"/>
      <c r="K423" s="523"/>
      <c r="L423" s="523">
        <f t="shared" si="489"/>
        <v>65</v>
      </c>
      <c r="M423" s="523"/>
      <c r="N423" s="523">
        <v>65</v>
      </c>
      <c r="O423" s="523">
        <f t="shared" si="442"/>
        <v>65</v>
      </c>
      <c r="P423" s="543">
        <f t="shared" si="474"/>
        <v>0</v>
      </c>
      <c r="Q423" s="543">
        <f t="shared" si="475"/>
        <v>65</v>
      </c>
      <c r="R423" s="523">
        <f t="shared" si="443"/>
        <v>0</v>
      </c>
      <c r="S423" s="523"/>
      <c r="T423" s="523"/>
      <c r="U423" s="523">
        <f t="shared" si="444"/>
        <v>65</v>
      </c>
      <c r="V423" s="523"/>
      <c r="W423" s="523">
        <v>65</v>
      </c>
      <c r="X423" s="523">
        <f t="shared" si="484"/>
        <v>0</v>
      </c>
      <c r="Y423" s="523"/>
      <c r="Z423" s="523"/>
      <c r="AA423" s="523"/>
      <c r="AB423" s="523"/>
      <c r="AC423" s="523"/>
      <c r="AD423" s="523"/>
      <c r="AE423" s="523">
        <f t="shared" si="485"/>
        <v>0</v>
      </c>
      <c r="AF423" s="523"/>
      <c r="AG423" s="523"/>
      <c r="AH423" s="523">
        <f t="shared" si="486"/>
        <v>0</v>
      </c>
      <c r="AI423" s="523"/>
      <c r="AJ423" s="523"/>
      <c r="AK423" s="561">
        <f t="shared" si="490"/>
        <v>0</v>
      </c>
      <c r="AL423" s="561">
        <f t="shared" si="445"/>
        <v>0</v>
      </c>
      <c r="AM423" s="561">
        <f t="shared" si="445"/>
        <v>0</v>
      </c>
      <c r="AN423" s="561">
        <f t="shared" si="446"/>
        <v>0</v>
      </c>
      <c r="AO423" s="561">
        <f t="shared" si="446"/>
        <v>0</v>
      </c>
      <c r="AP423" s="561"/>
      <c r="AQ423" s="562"/>
      <c r="AR423" s="562"/>
    </row>
    <row r="424" spans="1:45" s="83" customFormat="1" hidden="1" outlineLevel="1">
      <c r="A424" s="549"/>
      <c r="B424" s="522" t="s">
        <v>199</v>
      </c>
      <c r="C424" s="528">
        <f t="shared" si="482"/>
        <v>37.400000000000006</v>
      </c>
      <c r="D424" s="523">
        <v>0</v>
      </c>
      <c r="E424" s="523">
        <v>0</v>
      </c>
      <c r="F424" s="523">
        <v>0</v>
      </c>
      <c r="G424" s="523">
        <v>37.400000000000006</v>
      </c>
      <c r="H424" s="523">
        <f t="shared" si="487"/>
        <v>34</v>
      </c>
      <c r="I424" s="523">
        <f t="shared" si="488"/>
        <v>0</v>
      </c>
      <c r="J424" s="523"/>
      <c r="K424" s="523"/>
      <c r="L424" s="523">
        <f t="shared" si="489"/>
        <v>34</v>
      </c>
      <c r="M424" s="523"/>
      <c r="N424" s="523">
        <v>34</v>
      </c>
      <c r="O424" s="523">
        <f t="shared" si="442"/>
        <v>20.5</v>
      </c>
      <c r="P424" s="543">
        <f t="shared" si="474"/>
        <v>0</v>
      </c>
      <c r="Q424" s="543">
        <f t="shared" si="475"/>
        <v>20.5</v>
      </c>
      <c r="R424" s="523">
        <f t="shared" si="443"/>
        <v>0</v>
      </c>
      <c r="S424" s="523"/>
      <c r="T424" s="523"/>
      <c r="U424" s="523">
        <f t="shared" si="444"/>
        <v>20.5</v>
      </c>
      <c r="V424" s="523"/>
      <c r="W424" s="523">
        <v>20.5</v>
      </c>
      <c r="X424" s="523">
        <f t="shared" si="484"/>
        <v>50.900000000000006</v>
      </c>
      <c r="Y424" s="523"/>
      <c r="Z424" s="523"/>
      <c r="AA424" s="523"/>
      <c r="AB424" s="523">
        <f>AC424+AD424</f>
        <v>50.900000000000006</v>
      </c>
      <c r="AC424" s="523"/>
      <c r="AD424" s="523">
        <v>50.900000000000006</v>
      </c>
      <c r="AE424" s="523">
        <f t="shared" si="485"/>
        <v>0</v>
      </c>
      <c r="AF424" s="523"/>
      <c r="AG424" s="523"/>
      <c r="AH424" s="523">
        <f t="shared" si="486"/>
        <v>0</v>
      </c>
      <c r="AI424" s="523"/>
      <c r="AJ424" s="523"/>
      <c r="AK424" s="561">
        <f t="shared" si="490"/>
        <v>0</v>
      </c>
      <c r="AL424" s="561">
        <f t="shared" si="445"/>
        <v>0</v>
      </c>
      <c r="AM424" s="561">
        <f t="shared" si="445"/>
        <v>0</v>
      </c>
      <c r="AN424" s="561">
        <f t="shared" si="446"/>
        <v>0</v>
      </c>
      <c r="AO424" s="561">
        <f t="shared" si="446"/>
        <v>0</v>
      </c>
      <c r="AP424" s="561"/>
      <c r="AQ424" s="562"/>
      <c r="AR424" s="562"/>
    </row>
    <row r="425" spans="1:45" s="83" customFormat="1" hidden="1" outlineLevel="1">
      <c r="A425" s="549"/>
      <c r="B425" s="522" t="s">
        <v>196</v>
      </c>
      <c r="C425" s="528">
        <f t="shared" si="482"/>
        <v>0</v>
      </c>
      <c r="D425" s="523">
        <v>0</v>
      </c>
      <c r="E425" s="523">
        <v>0</v>
      </c>
      <c r="F425" s="523">
        <v>0</v>
      </c>
      <c r="G425" s="523">
        <v>0</v>
      </c>
      <c r="H425" s="523">
        <f t="shared" si="487"/>
        <v>55</v>
      </c>
      <c r="I425" s="523">
        <f t="shared" si="488"/>
        <v>0</v>
      </c>
      <c r="J425" s="523"/>
      <c r="K425" s="523"/>
      <c r="L425" s="523">
        <f t="shared" si="489"/>
        <v>55</v>
      </c>
      <c r="M425" s="523"/>
      <c r="N425" s="523">
        <v>55</v>
      </c>
      <c r="O425" s="523">
        <f t="shared" si="442"/>
        <v>55</v>
      </c>
      <c r="P425" s="543">
        <f t="shared" si="474"/>
        <v>0</v>
      </c>
      <c r="Q425" s="543">
        <f t="shared" si="475"/>
        <v>55</v>
      </c>
      <c r="R425" s="523">
        <f t="shared" si="443"/>
        <v>0</v>
      </c>
      <c r="S425" s="523"/>
      <c r="T425" s="523"/>
      <c r="U425" s="523">
        <f t="shared" si="444"/>
        <v>55</v>
      </c>
      <c r="V425" s="523"/>
      <c r="W425" s="523">
        <v>55</v>
      </c>
      <c r="X425" s="523">
        <f t="shared" si="484"/>
        <v>0</v>
      </c>
      <c r="Y425" s="523"/>
      <c r="Z425" s="523"/>
      <c r="AA425" s="523"/>
      <c r="AB425" s="523"/>
      <c r="AC425" s="523"/>
      <c r="AD425" s="523"/>
      <c r="AE425" s="523">
        <f t="shared" si="485"/>
        <v>0</v>
      </c>
      <c r="AF425" s="523"/>
      <c r="AG425" s="523"/>
      <c r="AH425" s="523">
        <f t="shared" si="486"/>
        <v>0</v>
      </c>
      <c r="AI425" s="523"/>
      <c r="AJ425" s="523"/>
      <c r="AK425" s="561">
        <f t="shared" si="490"/>
        <v>0</v>
      </c>
      <c r="AL425" s="561">
        <f t="shared" si="445"/>
        <v>0</v>
      </c>
      <c r="AM425" s="561">
        <f t="shared" si="445"/>
        <v>0</v>
      </c>
      <c r="AN425" s="561">
        <f t="shared" si="446"/>
        <v>0</v>
      </c>
      <c r="AO425" s="561">
        <f t="shared" si="446"/>
        <v>0</v>
      </c>
      <c r="AP425" s="561"/>
      <c r="AQ425" s="562"/>
      <c r="AR425" s="562"/>
    </row>
    <row r="426" spans="1:45" s="83" customFormat="1" hidden="1" outlineLevel="1">
      <c r="A426" s="549"/>
      <c r="B426" s="522" t="s">
        <v>193</v>
      </c>
      <c r="C426" s="528">
        <f t="shared" si="482"/>
        <v>0</v>
      </c>
      <c r="D426" s="523">
        <v>0</v>
      </c>
      <c r="E426" s="523">
        <v>0</v>
      </c>
      <c r="F426" s="523">
        <v>0</v>
      </c>
      <c r="G426" s="523">
        <v>0</v>
      </c>
      <c r="H426" s="523">
        <f t="shared" si="487"/>
        <v>90</v>
      </c>
      <c r="I426" s="523">
        <f t="shared" si="488"/>
        <v>0</v>
      </c>
      <c r="J426" s="523"/>
      <c r="K426" s="523"/>
      <c r="L426" s="523">
        <f t="shared" si="489"/>
        <v>90</v>
      </c>
      <c r="M426" s="523"/>
      <c r="N426" s="523">
        <v>90</v>
      </c>
      <c r="O426" s="523">
        <f t="shared" si="442"/>
        <v>90</v>
      </c>
      <c r="P426" s="543">
        <f t="shared" si="474"/>
        <v>0</v>
      </c>
      <c r="Q426" s="543">
        <f t="shared" si="475"/>
        <v>90</v>
      </c>
      <c r="R426" s="523">
        <f t="shared" si="443"/>
        <v>0</v>
      </c>
      <c r="S426" s="523"/>
      <c r="T426" s="523"/>
      <c r="U426" s="523">
        <f t="shared" si="444"/>
        <v>90</v>
      </c>
      <c r="V426" s="523"/>
      <c r="W426" s="523">
        <v>90</v>
      </c>
      <c r="X426" s="523">
        <f t="shared" si="484"/>
        <v>0</v>
      </c>
      <c r="Y426" s="523">
        <f>Z426+AA426</f>
        <v>0</v>
      </c>
      <c r="Z426" s="523"/>
      <c r="AA426" s="523"/>
      <c r="AB426" s="523">
        <f>AC426+AD426</f>
        <v>0</v>
      </c>
      <c r="AC426" s="523"/>
      <c r="AD426" s="523"/>
      <c r="AE426" s="523">
        <f t="shared" si="485"/>
        <v>0</v>
      </c>
      <c r="AF426" s="523"/>
      <c r="AG426" s="523"/>
      <c r="AH426" s="523">
        <f t="shared" si="486"/>
        <v>0</v>
      </c>
      <c r="AI426" s="523"/>
      <c r="AJ426" s="523"/>
      <c r="AK426" s="561">
        <f t="shared" si="490"/>
        <v>0</v>
      </c>
      <c r="AL426" s="561">
        <f t="shared" si="445"/>
        <v>0</v>
      </c>
      <c r="AM426" s="561">
        <f t="shared" si="445"/>
        <v>0</v>
      </c>
      <c r="AN426" s="561">
        <f t="shared" si="446"/>
        <v>0</v>
      </c>
      <c r="AO426" s="561">
        <f t="shared" si="446"/>
        <v>0</v>
      </c>
      <c r="AP426" s="561"/>
      <c r="AQ426" s="562"/>
      <c r="AR426" s="562"/>
    </row>
    <row r="427" spans="1:45" s="83" customFormat="1" hidden="1" outlineLevel="1">
      <c r="A427" s="549"/>
      <c r="B427" s="522" t="s">
        <v>192</v>
      </c>
      <c r="C427" s="528">
        <f t="shared" si="482"/>
        <v>0</v>
      </c>
      <c r="D427" s="523">
        <v>0</v>
      </c>
      <c r="E427" s="523">
        <v>0</v>
      </c>
      <c r="F427" s="523">
        <v>0</v>
      </c>
      <c r="G427" s="523">
        <v>0</v>
      </c>
      <c r="H427" s="523">
        <f t="shared" si="487"/>
        <v>82</v>
      </c>
      <c r="I427" s="523">
        <f t="shared" si="488"/>
        <v>0</v>
      </c>
      <c r="J427" s="523"/>
      <c r="K427" s="523"/>
      <c r="L427" s="523">
        <f t="shared" si="489"/>
        <v>82</v>
      </c>
      <c r="M427" s="523"/>
      <c r="N427" s="523">
        <v>82</v>
      </c>
      <c r="O427" s="523">
        <f t="shared" si="442"/>
        <v>82</v>
      </c>
      <c r="P427" s="543">
        <f t="shared" si="474"/>
        <v>0</v>
      </c>
      <c r="Q427" s="543">
        <f t="shared" si="475"/>
        <v>82</v>
      </c>
      <c r="R427" s="523">
        <f t="shared" si="443"/>
        <v>0</v>
      </c>
      <c r="S427" s="523"/>
      <c r="T427" s="523"/>
      <c r="U427" s="523">
        <f t="shared" si="444"/>
        <v>82</v>
      </c>
      <c r="V427" s="523"/>
      <c r="W427" s="523">
        <v>82</v>
      </c>
      <c r="X427" s="523">
        <f t="shared" si="484"/>
        <v>0</v>
      </c>
      <c r="Y427" s="523"/>
      <c r="Z427" s="523"/>
      <c r="AA427" s="523"/>
      <c r="AB427" s="523"/>
      <c r="AC427" s="523"/>
      <c r="AD427" s="523"/>
      <c r="AE427" s="523">
        <f t="shared" si="485"/>
        <v>0</v>
      </c>
      <c r="AF427" s="523"/>
      <c r="AG427" s="523"/>
      <c r="AH427" s="523">
        <f t="shared" si="486"/>
        <v>0</v>
      </c>
      <c r="AI427" s="523"/>
      <c r="AJ427" s="523"/>
      <c r="AK427" s="561">
        <f t="shared" si="490"/>
        <v>0</v>
      </c>
      <c r="AL427" s="561">
        <f t="shared" si="445"/>
        <v>0</v>
      </c>
      <c r="AM427" s="561">
        <f t="shared" si="445"/>
        <v>0</v>
      </c>
      <c r="AN427" s="561">
        <f t="shared" si="446"/>
        <v>0</v>
      </c>
      <c r="AO427" s="561">
        <f t="shared" si="446"/>
        <v>0</v>
      </c>
      <c r="AP427" s="561"/>
      <c r="AQ427" s="562"/>
      <c r="AR427" s="562"/>
    </row>
    <row r="428" spans="1:45" s="83" customFormat="1" hidden="1" outlineLevel="1">
      <c r="A428" s="549"/>
      <c r="B428" s="522" t="s">
        <v>181</v>
      </c>
      <c r="C428" s="528">
        <f t="shared" si="482"/>
        <v>0</v>
      </c>
      <c r="D428" s="523">
        <v>0</v>
      </c>
      <c r="E428" s="523">
        <v>0</v>
      </c>
      <c r="F428" s="523">
        <v>0</v>
      </c>
      <c r="G428" s="523">
        <v>0</v>
      </c>
      <c r="H428" s="523">
        <f t="shared" si="487"/>
        <v>821</v>
      </c>
      <c r="I428" s="523">
        <f t="shared" si="488"/>
        <v>821</v>
      </c>
      <c r="J428" s="523"/>
      <c r="K428" s="523">
        <v>821</v>
      </c>
      <c r="L428" s="523">
        <f t="shared" si="489"/>
        <v>0</v>
      </c>
      <c r="M428" s="523"/>
      <c r="N428" s="523">
        <v>0</v>
      </c>
      <c r="O428" s="523">
        <f t="shared" si="442"/>
        <v>821</v>
      </c>
      <c r="P428" s="543">
        <f t="shared" si="474"/>
        <v>0</v>
      </c>
      <c r="Q428" s="543">
        <f t="shared" si="475"/>
        <v>821</v>
      </c>
      <c r="R428" s="523">
        <f t="shared" si="443"/>
        <v>821</v>
      </c>
      <c r="S428" s="523"/>
      <c r="T428" s="523">
        <v>821</v>
      </c>
      <c r="U428" s="523">
        <f t="shared" si="444"/>
        <v>0</v>
      </c>
      <c r="V428" s="523"/>
      <c r="W428" s="523"/>
      <c r="X428" s="523">
        <f t="shared" si="484"/>
        <v>0</v>
      </c>
      <c r="Y428" s="523"/>
      <c r="Z428" s="523"/>
      <c r="AA428" s="523"/>
      <c r="AB428" s="523"/>
      <c r="AC428" s="523"/>
      <c r="AD428" s="523"/>
      <c r="AE428" s="523">
        <f t="shared" si="485"/>
        <v>0</v>
      </c>
      <c r="AF428" s="523"/>
      <c r="AG428" s="523"/>
      <c r="AH428" s="523">
        <f t="shared" si="486"/>
        <v>0</v>
      </c>
      <c r="AI428" s="523"/>
      <c r="AJ428" s="523"/>
      <c r="AK428" s="561">
        <f t="shared" si="490"/>
        <v>0</v>
      </c>
      <c r="AL428" s="561">
        <f t="shared" si="445"/>
        <v>0</v>
      </c>
      <c r="AM428" s="561">
        <f t="shared" si="445"/>
        <v>0</v>
      </c>
      <c r="AN428" s="561">
        <f t="shared" si="446"/>
        <v>0</v>
      </c>
      <c r="AO428" s="561">
        <f t="shared" si="446"/>
        <v>0</v>
      </c>
      <c r="AP428" s="561"/>
      <c r="AQ428" s="562"/>
      <c r="AR428" s="562"/>
    </row>
    <row r="429" spans="1:45" s="83" customFormat="1" hidden="1" outlineLevel="1">
      <c r="A429" s="549"/>
      <c r="B429" s="522" t="s">
        <v>505</v>
      </c>
      <c r="C429" s="528">
        <f t="shared" si="482"/>
        <v>42</v>
      </c>
      <c r="D429" s="523">
        <v>0</v>
      </c>
      <c r="E429" s="523">
        <v>42</v>
      </c>
      <c r="F429" s="523">
        <v>0</v>
      </c>
      <c r="G429" s="523">
        <v>0</v>
      </c>
      <c r="H429" s="523">
        <f>I429+L429</f>
        <v>0</v>
      </c>
      <c r="I429" s="523">
        <f>J429+K429</f>
        <v>0</v>
      </c>
      <c r="J429" s="523"/>
      <c r="K429" s="523"/>
      <c r="L429" s="523"/>
      <c r="M429" s="523"/>
      <c r="N429" s="523"/>
      <c r="O429" s="523">
        <f t="shared" si="442"/>
        <v>0</v>
      </c>
      <c r="P429" s="543">
        <f t="shared" si="474"/>
        <v>0</v>
      </c>
      <c r="Q429" s="543">
        <f t="shared" si="475"/>
        <v>0</v>
      </c>
      <c r="R429" s="523">
        <f t="shared" si="443"/>
        <v>0</v>
      </c>
      <c r="S429" s="523"/>
      <c r="T429" s="523"/>
      <c r="U429" s="523">
        <f t="shared" si="444"/>
        <v>0</v>
      </c>
      <c r="V429" s="523"/>
      <c r="W429" s="523"/>
      <c r="X429" s="523">
        <f t="shared" si="484"/>
        <v>42</v>
      </c>
      <c r="Y429" s="523">
        <f>Z429+AA429</f>
        <v>42</v>
      </c>
      <c r="Z429" s="523"/>
      <c r="AA429" s="523">
        <v>42</v>
      </c>
      <c r="AB429" s="523"/>
      <c r="AC429" s="523"/>
      <c r="AD429" s="523"/>
      <c r="AE429" s="523"/>
      <c r="AF429" s="523"/>
      <c r="AG429" s="523"/>
      <c r="AH429" s="523"/>
      <c r="AI429" s="523"/>
      <c r="AJ429" s="523"/>
      <c r="AK429" s="561">
        <f t="shared" si="490"/>
        <v>0</v>
      </c>
      <c r="AL429" s="561">
        <f t="shared" si="445"/>
        <v>0</v>
      </c>
      <c r="AM429" s="561">
        <f t="shared" si="445"/>
        <v>0</v>
      </c>
      <c r="AN429" s="561">
        <f t="shared" si="446"/>
        <v>0</v>
      </c>
      <c r="AO429" s="561">
        <f t="shared" si="446"/>
        <v>0</v>
      </c>
      <c r="AP429" s="561"/>
      <c r="AQ429" s="562"/>
      <c r="AR429" s="562"/>
    </row>
    <row r="430" spans="1:45" s="83" customFormat="1" ht="46.8" hidden="1" outlineLevel="1">
      <c r="A430" s="541">
        <v>16</v>
      </c>
      <c r="B430" s="560" t="s">
        <v>507</v>
      </c>
      <c r="C430" s="528">
        <f t="shared" si="482"/>
        <v>0</v>
      </c>
      <c r="D430" s="561">
        <v>0</v>
      </c>
      <c r="E430" s="561">
        <v>0</v>
      </c>
      <c r="F430" s="561">
        <v>0</v>
      </c>
      <c r="G430" s="561">
        <v>0</v>
      </c>
      <c r="H430" s="561">
        <f t="shared" ref="H430:J430" si="491">SUM(H431:H436)</f>
        <v>523</v>
      </c>
      <c r="I430" s="561">
        <f t="shared" si="491"/>
        <v>523</v>
      </c>
      <c r="J430" s="561">
        <f t="shared" si="491"/>
        <v>0</v>
      </c>
      <c r="K430" s="561">
        <f>SUM(K431:K436)</f>
        <v>523</v>
      </c>
      <c r="L430" s="561">
        <f t="shared" ref="L430:AR430" si="492">SUM(L431:L436)</f>
        <v>0</v>
      </c>
      <c r="M430" s="561">
        <f t="shared" si="492"/>
        <v>0</v>
      </c>
      <c r="N430" s="561">
        <f t="shared" si="492"/>
        <v>0</v>
      </c>
      <c r="O430" s="561">
        <f t="shared" si="492"/>
        <v>515.41800000000001</v>
      </c>
      <c r="P430" s="543">
        <f t="shared" si="474"/>
        <v>0</v>
      </c>
      <c r="Q430" s="543">
        <f t="shared" si="475"/>
        <v>515.41800000000001</v>
      </c>
      <c r="R430" s="561">
        <f t="shared" si="492"/>
        <v>515.41800000000001</v>
      </c>
      <c r="S430" s="561">
        <f t="shared" si="492"/>
        <v>0</v>
      </c>
      <c r="T430" s="561">
        <f t="shared" si="492"/>
        <v>515.41800000000001</v>
      </c>
      <c r="U430" s="561">
        <f t="shared" si="492"/>
        <v>0</v>
      </c>
      <c r="V430" s="561">
        <f t="shared" si="492"/>
        <v>0</v>
      </c>
      <c r="W430" s="561">
        <f t="shared" si="492"/>
        <v>0</v>
      </c>
      <c r="X430" s="561">
        <f t="shared" si="492"/>
        <v>0</v>
      </c>
      <c r="Y430" s="561">
        <f t="shared" si="492"/>
        <v>0</v>
      </c>
      <c r="Z430" s="561">
        <f t="shared" si="492"/>
        <v>0</v>
      </c>
      <c r="AA430" s="561">
        <f t="shared" si="492"/>
        <v>0</v>
      </c>
      <c r="AB430" s="561">
        <f t="shared" si="492"/>
        <v>0</v>
      </c>
      <c r="AC430" s="561">
        <f t="shared" si="492"/>
        <v>0</v>
      </c>
      <c r="AD430" s="561">
        <f t="shared" si="492"/>
        <v>0</v>
      </c>
      <c r="AE430" s="561">
        <f t="shared" si="492"/>
        <v>0</v>
      </c>
      <c r="AF430" s="561">
        <f t="shared" si="492"/>
        <v>0</v>
      </c>
      <c r="AG430" s="561">
        <f t="shared" si="492"/>
        <v>0</v>
      </c>
      <c r="AH430" s="561">
        <f t="shared" si="492"/>
        <v>0</v>
      </c>
      <c r="AI430" s="561">
        <f t="shared" si="492"/>
        <v>0</v>
      </c>
      <c r="AJ430" s="561">
        <f t="shared" si="492"/>
        <v>0</v>
      </c>
      <c r="AK430" s="561">
        <f t="shared" si="492"/>
        <v>7.5820000000000007</v>
      </c>
      <c r="AL430" s="561">
        <f t="shared" si="492"/>
        <v>0</v>
      </c>
      <c r="AM430" s="561">
        <f t="shared" si="492"/>
        <v>7.5820000000000007</v>
      </c>
      <c r="AN430" s="561">
        <f t="shared" si="492"/>
        <v>0</v>
      </c>
      <c r="AO430" s="561">
        <f t="shared" si="492"/>
        <v>0</v>
      </c>
      <c r="AP430" s="561"/>
      <c r="AQ430" s="562">
        <f t="shared" si="492"/>
        <v>7.5820000000000007</v>
      </c>
      <c r="AR430" s="562">
        <f t="shared" si="492"/>
        <v>0</v>
      </c>
      <c r="AS430" s="83" t="s">
        <v>2181</v>
      </c>
    </row>
    <row r="431" spans="1:45" s="83" customFormat="1" hidden="1" outlineLevel="1">
      <c r="A431" s="526"/>
      <c r="B431" s="565" t="s">
        <v>2191</v>
      </c>
      <c r="C431" s="528">
        <f t="shared" si="482"/>
        <v>0</v>
      </c>
      <c r="D431" s="563">
        <v>0</v>
      </c>
      <c r="E431" s="563">
        <v>0</v>
      </c>
      <c r="F431" s="563">
        <v>0</v>
      </c>
      <c r="G431" s="563">
        <v>0</v>
      </c>
      <c r="H431" s="523">
        <f t="shared" ref="H431:H436" si="493">I431+L431</f>
        <v>73</v>
      </c>
      <c r="I431" s="523">
        <f t="shared" ref="I431:I436" si="494">J431+K431</f>
        <v>73</v>
      </c>
      <c r="J431" s="523"/>
      <c r="K431" s="523">
        <v>73</v>
      </c>
      <c r="L431" s="523">
        <f>M431+N431</f>
        <v>0</v>
      </c>
      <c r="M431" s="563"/>
      <c r="N431" s="563"/>
      <c r="O431" s="523">
        <f t="shared" si="442"/>
        <v>73</v>
      </c>
      <c r="P431" s="543">
        <f t="shared" si="474"/>
        <v>0</v>
      </c>
      <c r="Q431" s="543">
        <f t="shared" si="475"/>
        <v>73</v>
      </c>
      <c r="R431" s="523">
        <f t="shared" si="443"/>
        <v>73</v>
      </c>
      <c r="S431" s="523"/>
      <c r="T431" s="523">
        <v>73</v>
      </c>
      <c r="U431" s="523">
        <f t="shared" si="444"/>
        <v>0</v>
      </c>
      <c r="V431" s="563"/>
      <c r="W431" s="563"/>
      <c r="X431" s="563">
        <f>Y431+AB431+AE431+AH431</f>
        <v>0</v>
      </c>
      <c r="Y431" s="563">
        <f>Z431+AA431</f>
        <v>0</v>
      </c>
      <c r="Z431" s="563"/>
      <c r="AA431" s="563"/>
      <c r="AB431" s="563">
        <f>AC431+AD431</f>
        <v>0</v>
      </c>
      <c r="AC431" s="563"/>
      <c r="AD431" s="563"/>
      <c r="AE431" s="523">
        <f>AF431+AG431</f>
        <v>0</v>
      </c>
      <c r="AF431" s="523"/>
      <c r="AG431" s="523"/>
      <c r="AH431" s="523">
        <f>AI431+AJ431</f>
        <v>0</v>
      </c>
      <c r="AI431" s="563"/>
      <c r="AJ431" s="563"/>
      <c r="AK431" s="563">
        <f t="shared" ref="AK431:AK436" si="495">SUM(AL431:AO431)</f>
        <v>0</v>
      </c>
      <c r="AL431" s="563">
        <f t="shared" ref="AL431:AM436" si="496">D431+J431-S431-Z431-AF431</f>
        <v>0</v>
      </c>
      <c r="AM431" s="563">
        <f t="shared" si="496"/>
        <v>0</v>
      </c>
      <c r="AN431" s="563">
        <f t="shared" ref="AN431:AO436" si="497">F431+M431-V431-AC431-AI431</f>
        <v>0</v>
      </c>
      <c r="AO431" s="563">
        <f t="shared" si="497"/>
        <v>0</v>
      </c>
      <c r="AP431" s="563"/>
      <c r="AQ431" s="564"/>
      <c r="AR431" s="564"/>
    </row>
    <row r="432" spans="1:45" s="83" customFormat="1" hidden="1" outlineLevel="1">
      <c r="A432" s="526"/>
      <c r="B432" s="565" t="s">
        <v>2192</v>
      </c>
      <c r="C432" s="528">
        <f t="shared" si="482"/>
        <v>0</v>
      </c>
      <c r="D432" s="563">
        <v>0</v>
      </c>
      <c r="E432" s="563">
        <v>0</v>
      </c>
      <c r="F432" s="563">
        <v>0</v>
      </c>
      <c r="G432" s="563">
        <v>0</v>
      </c>
      <c r="H432" s="523">
        <f t="shared" si="493"/>
        <v>21</v>
      </c>
      <c r="I432" s="523">
        <f t="shared" si="494"/>
        <v>21</v>
      </c>
      <c r="J432" s="523"/>
      <c r="K432" s="523">
        <v>21</v>
      </c>
      <c r="L432" s="523">
        <f>M432+N432</f>
        <v>0</v>
      </c>
      <c r="M432" s="563"/>
      <c r="N432" s="563"/>
      <c r="O432" s="523">
        <f t="shared" ref="O432:O494" si="498">R432+U432</f>
        <v>21</v>
      </c>
      <c r="P432" s="543">
        <f t="shared" si="474"/>
        <v>0</v>
      </c>
      <c r="Q432" s="543">
        <f t="shared" si="475"/>
        <v>21</v>
      </c>
      <c r="R432" s="523">
        <f t="shared" ref="R432:R494" si="499">S432+T432</f>
        <v>21</v>
      </c>
      <c r="S432" s="523"/>
      <c r="T432" s="523">
        <v>21</v>
      </c>
      <c r="U432" s="523">
        <f t="shared" ref="U432:U494" si="500">V432+W432</f>
        <v>0</v>
      </c>
      <c r="V432" s="563"/>
      <c r="W432" s="563"/>
      <c r="X432" s="563">
        <f>Y432+AB432+AE432+AH432</f>
        <v>0</v>
      </c>
      <c r="Y432" s="563">
        <f>Z432+AA432</f>
        <v>0</v>
      </c>
      <c r="Z432" s="563"/>
      <c r="AA432" s="563"/>
      <c r="AB432" s="563">
        <f>AC432+AD432</f>
        <v>0</v>
      </c>
      <c r="AC432" s="563"/>
      <c r="AD432" s="563"/>
      <c r="AE432" s="523">
        <f>AF432+AG432</f>
        <v>0</v>
      </c>
      <c r="AF432" s="523"/>
      <c r="AG432" s="523"/>
      <c r="AH432" s="523">
        <f>AI432+AJ432</f>
        <v>0</v>
      </c>
      <c r="AI432" s="563"/>
      <c r="AJ432" s="563"/>
      <c r="AK432" s="563">
        <f t="shared" si="495"/>
        <v>0</v>
      </c>
      <c r="AL432" s="563">
        <f t="shared" si="496"/>
        <v>0</v>
      </c>
      <c r="AM432" s="563">
        <f t="shared" si="496"/>
        <v>0</v>
      </c>
      <c r="AN432" s="563">
        <f t="shared" si="497"/>
        <v>0</v>
      </c>
      <c r="AO432" s="563">
        <f t="shared" si="497"/>
        <v>0</v>
      </c>
      <c r="AP432" s="563"/>
      <c r="AQ432" s="564"/>
      <c r="AR432" s="564"/>
    </row>
    <row r="433" spans="1:45" s="83" customFormat="1" hidden="1" outlineLevel="1">
      <c r="A433" s="526"/>
      <c r="B433" s="565" t="s">
        <v>2193</v>
      </c>
      <c r="C433" s="528">
        <f t="shared" si="482"/>
        <v>0</v>
      </c>
      <c r="D433" s="563">
        <v>0</v>
      </c>
      <c r="E433" s="563">
        <v>0</v>
      </c>
      <c r="F433" s="563">
        <v>0</v>
      </c>
      <c r="G433" s="563">
        <v>0</v>
      </c>
      <c r="H433" s="523">
        <f t="shared" si="493"/>
        <v>277</v>
      </c>
      <c r="I433" s="523">
        <f t="shared" si="494"/>
        <v>277</v>
      </c>
      <c r="J433" s="523"/>
      <c r="K433" s="523">
        <v>277</v>
      </c>
      <c r="L433" s="523">
        <f>M433+N433</f>
        <v>0</v>
      </c>
      <c r="M433" s="563"/>
      <c r="N433" s="563"/>
      <c r="O433" s="523">
        <f t="shared" si="498"/>
        <v>277</v>
      </c>
      <c r="P433" s="543">
        <f t="shared" si="474"/>
        <v>0</v>
      </c>
      <c r="Q433" s="543">
        <f t="shared" si="475"/>
        <v>277</v>
      </c>
      <c r="R433" s="523">
        <f t="shared" si="499"/>
        <v>277</v>
      </c>
      <c r="S433" s="523"/>
      <c r="T433" s="523">
        <v>277</v>
      </c>
      <c r="U433" s="523">
        <f t="shared" si="500"/>
        <v>0</v>
      </c>
      <c r="V433" s="563"/>
      <c r="W433" s="563"/>
      <c r="X433" s="563">
        <f>Y433+AB433+AE433+AH433</f>
        <v>0</v>
      </c>
      <c r="Y433" s="563">
        <f>Z433+AA433</f>
        <v>0</v>
      </c>
      <c r="Z433" s="563"/>
      <c r="AA433" s="563"/>
      <c r="AB433" s="563">
        <f>AC433+AD433</f>
        <v>0</v>
      </c>
      <c r="AC433" s="563"/>
      <c r="AD433" s="563"/>
      <c r="AE433" s="523">
        <f>AF433+AG433</f>
        <v>0</v>
      </c>
      <c r="AF433" s="523"/>
      <c r="AG433" s="523"/>
      <c r="AH433" s="523">
        <f>AI433+AJ433</f>
        <v>0</v>
      </c>
      <c r="AI433" s="563"/>
      <c r="AJ433" s="563"/>
      <c r="AK433" s="563">
        <f t="shared" si="495"/>
        <v>0</v>
      </c>
      <c r="AL433" s="563">
        <f t="shared" si="496"/>
        <v>0</v>
      </c>
      <c r="AM433" s="563">
        <f t="shared" si="496"/>
        <v>0</v>
      </c>
      <c r="AN433" s="563">
        <f t="shared" si="497"/>
        <v>0</v>
      </c>
      <c r="AO433" s="563">
        <f t="shared" si="497"/>
        <v>0</v>
      </c>
      <c r="AP433" s="563"/>
      <c r="AQ433" s="564"/>
      <c r="AR433" s="564"/>
    </row>
    <row r="434" spans="1:45" s="83" customFormat="1" hidden="1" outlineLevel="1">
      <c r="A434" s="526"/>
      <c r="B434" s="565" t="s">
        <v>2194</v>
      </c>
      <c r="C434" s="528">
        <f t="shared" si="482"/>
        <v>0</v>
      </c>
      <c r="D434" s="563">
        <v>0</v>
      </c>
      <c r="E434" s="563">
        <v>0</v>
      </c>
      <c r="F434" s="563">
        <v>0</v>
      </c>
      <c r="G434" s="563">
        <v>0</v>
      </c>
      <c r="H434" s="523">
        <f t="shared" si="493"/>
        <v>37</v>
      </c>
      <c r="I434" s="523">
        <f t="shared" si="494"/>
        <v>37</v>
      </c>
      <c r="J434" s="523"/>
      <c r="K434" s="523">
        <v>37</v>
      </c>
      <c r="L434" s="523">
        <f>M434+N434</f>
        <v>0</v>
      </c>
      <c r="M434" s="563"/>
      <c r="N434" s="563"/>
      <c r="O434" s="523">
        <f t="shared" si="498"/>
        <v>29.417999999999999</v>
      </c>
      <c r="P434" s="543">
        <f t="shared" si="474"/>
        <v>0</v>
      </c>
      <c r="Q434" s="543">
        <f t="shared" si="475"/>
        <v>29.417999999999999</v>
      </c>
      <c r="R434" s="523">
        <f t="shared" si="499"/>
        <v>29.417999999999999</v>
      </c>
      <c r="S434" s="523"/>
      <c r="T434" s="523">
        <v>29.417999999999999</v>
      </c>
      <c r="U434" s="523">
        <f t="shared" si="500"/>
        <v>0</v>
      </c>
      <c r="V434" s="563"/>
      <c r="W434" s="563"/>
      <c r="X434" s="563">
        <f>Y434+AB434+AE434+AH434</f>
        <v>0</v>
      </c>
      <c r="Y434" s="563">
        <f>Z434+AA434</f>
        <v>0</v>
      </c>
      <c r="Z434" s="563"/>
      <c r="AA434" s="563"/>
      <c r="AB434" s="563">
        <f>AC434+AD434</f>
        <v>0</v>
      </c>
      <c r="AC434" s="563"/>
      <c r="AD434" s="563"/>
      <c r="AE434" s="523">
        <f>AF434+AG434</f>
        <v>0</v>
      </c>
      <c r="AF434" s="523"/>
      <c r="AG434" s="523"/>
      <c r="AH434" s="523">
        <f>AI434+AJ434</f>
        <v>0</v>
      </c>
      <c r="AI434" s="563"/>
      <c r="AJ434" s="563"/>
      <c r="AK434" s="563">
        <f t="shared" si="495"/>
        <v>7.5820000000000007</v>
      </c>
      <c r="AL434" s="563">
        <f t="shared" si="496"/>
        <v>0</v>
      </c>
      <c r="AM434" s="563">
        <f t="shared" si="496"/>
        <v>7.5820000000000007</v>
      </c>
      <c r="AN434" s="563">
        <f t="shared" si="497"/>
        <v>0</v>
      </c>
      <c r="AO434" s="563">
        <f t="shared" si="497"/>
        <v>0</v>
      </c>
      <c r="AP434" s="563"/>
      <c r="AQ434" s="564">
        <v>7.5820000000000007</v>
      </c>
      <c r="AR434" s="564"/>
    </row>
    <row r="435" spans="1:45" s="83" customFormat="1" hidden="1" outlineLevel="1">
      <c r="A435" s="526"/>
      <c r="B435" s="565" t="s">
        <v>2195</v>
      </c>
      <c r="C435" s="528">
        <f t="shared" si="482"/>
        <v>0</v>
      </c>
      <c r="D435" s="563">
        <v>0</v>
      </c>
      <c r="E435" s="563">
        <v>0</v>
      </c>
      <c r="F435" s="563">
        <v>0</v>
      </c>
      <c r="G435" s="563">
        <v>0</v>
      </c>
      <c r="H435" s="523">
        <f t="shared" si="493"/>
        <v>21</v>
      </c>
      <c r="I435" s="523">
        <f t="shared" si="494"/>
        <v>21</v>
      </c>
      <c r="J435" s="523"/>
      <c r="K435" s="523">
        <v>21</v>
      </c>
      <c r="L435" s="523">
        <f>M435+N435</f>
        <v>0</v>
      </c>
      <c r="M435" s="563"/>
      <c r="N435" s="563"/>
      <c r="O435" s="523">
        <f t="shared" si="498"/>
        <v>21</v>
      </c>
      <c r="P435" s="543">
        <f t="shared" si="474"/>
        <v>0</v>
      </c>
      <c r="Q435" s="543">
        <f t="shared" si="475"/>
        <v>21</v>
      </c>
      <c r="R435" s="523">
        <f t="shared" si="499"/>
        <v>21</v>
      </c>
      <c r="S435" s="523"/>
      <c r="T435" s="523">
        <v>21</v>
      </c>
      <c r="U435" s="523">
        <f t="shared" si="500"/>
        <v>0</v>
      </c>
      <c r="V435" s="563"/>
      <c r="W435" s="563"/>
      <c r="X435" s="563">
        <f>Y435+AB435+AE435+AH435</f>
        <v>0</v>
      </c>
      <c r="Y435" s="563"/>
      <c r="Z435" s="563"/>
      <c r="AA435" s="563"/>
      <c r="AB435" s="563"/>
      <c r="AC435" s="563"/>
      <c r="AD435" s="563"/>
      <c r="AE435" s="523">
        <f>AF435+AG435</f>
        <v>0</v>
      </c>
      <c r="AF435" s="523"/>
      <c r="AG435" s="523"/>
      <c r="AH435" s="523">
        <f>AI435+AJ435</f>
        <v>0</v>
      </c>
      <c r="AI435" s="563"/>
      <c r="AJ435" s="563"/>
      <c r="AK435" s="563">
        <f t="shared" si="495"/>
        <v>0</v>
      </c>
      <c r="AL435" s="563">
        <f t="shared" si="496"/>
        <v>0</v>
      </c>
      <c r="AM435" s="563">
        <f t="shared" si="496"/>
        <v>0</v>
      </c>
      <c r="AN435" s="563">
        <f t="shared" si="497"/>
        <v>0</v>
      </c>
      <c r="AO435" s="563">
        <f t="shared" si="497"/>
        <v>0</v>
      </c>
      <c r="AP435" s="563"/>
      <c r="AQ435" s="564"/>
      <c r="AR435" s="564"/>
    </row>
    <row r="436" spans="1:45" s="83" customFormat="1" hidden="1" outlineLevel="1">
      <c r="A436" s="526"/>
      <c r="B436" s="565" t="s">
        <v>2196</v>
      </c>
      <c r="C436" s="528"/>
      <c r="D436" s="563"/>
      <c r="E436" s="563"/>
      <c r="F436" s="563"/>
      <c r="G436" s="563"/>
      <c r="H436" s="523">
        <f t="shared" si="493"/>
        <v>94</v>
      </c>
      <c r="I436" s="523">
        <f t="shared" si="494"/>
        <v>94</v>
      </c>
      <c r="J436" s="523"/>
      <c r="K436" s="523">
        <v>94</v>
      </c>
      <c r="L436" s="523"/>
      <c r="M436" s="563"/>
      <c r="N436" s="563"/>
      <c r="O436" s="523">
        <f t="shared" si="498"/>
        <v>94</v>
      </c>
      <c r="P436" s="543">
        <f t="shared" si="474"/>
        <v>0</v>
      </c>
      <c r="Q436" s="543">
        <f t="shared" si="475"/>
        <v>94</v>
      </c>
      <c r="R436" s="523">
        <f t="shared" si="499"/>
        <v>94</v>
      </c>
      <c r="S436" s="523"/>
      <c r="T436" s="523">
        <v>94</v>
      </c>
      <c r="U436" s="523">
        <f t="shared" si="500"/>
        <v>0</v>
      </c>
      <c r="V436" s="563"/>
      <c r="W436" s="563"/>
      <c r="X436" s="563"/>
      <c r="Y436" s="563"/>
      <c r="Z436" s="563"/>
      <c r="AA436" s="563"/>
      <c r="AB436" s="563"/>
      <c r="AC436" s="563"/>
      <c r="AD436" s="563"/>
      <c r="AE436" s="523"/>
      <c r="AF436" s="523"/>
      <c r="AG436" s="523"/>
      <c r="AH436" s="523"/>
      <c r="AI436" s="563"/>
      <c r="AJ436" s="563"/>
      <c r="AK436" s="563">
        <f t="shared" si="495"/>
        <v>0</v>
      </c>
      <c r="AL436" s="563">
        <f t="shared" si="496"/>
        <v>0</v>
      </c>
      <c r="AM436" s="563">
        <f t="shared" si="496"/>
        <v>0</v>
      </c>
      <c r="AN436" s="563">
        <f t="shared" si="497"/>
        <v>0</v>
      </c>
      <c r="AO436" s="563">
        <f t="shared" si="497"/>
        <v>0</v>
      </c>
      <c r="AP436" s="563"/>
      <c r="AQ436" s="564"/>
      <c r="AR436" s="564"/>
    </row>
    <row r="437" spans="1:45" s="83" customFormat="1" ht="31.2" hidden="1" outlineLevel="1">
      <c r="A437" s="526">
        <v>17</v>
      </c>
      <c r="B437" s="566" t="s">
        <v>2197</v>
      </c>
      <c r="C437" s="523">
        <f t="shared" ref="C437:J437" si="501">SUM(C438:C441)</f>
        <v>0</v>
      </c>
      <c r="D437" s="523">
        <f t="shared" si="501"/>
        <v>0</v>
      </c>
      <c r="E437" s="523">
        <f t="shared" si="501"/>
        <v>0</v>
      </c>
      <c r="F437" s="523">
        <f t="shared" si="501"/>
        <v>0</v>
      </c>
      <c r="G437" s="523">
        <f t="shared" si="501"/>
        <v>0</v>
      </c>
      <c r="H437" s="523">
        <f t="shared" si="501"/>
        <v>10206</v>
      </c>
      <c r="I437" s="523">
        <f t="shared" si="501"/>
        <v>10206</v>
      </c>
      <c r="J437" s="523">
        <f t="shared" si="501"/>
        <v>0</v>
      </c>
      <c r="K437" s="523">
        <f>SUM(K438:K441)</f>
        <v>10206</v>
      </c>
      <c r="L437" s="523">
        <f t="shared" ref="L437:AQ437" si="502">SUM(L438:L441)</f>
        <v>0</v>
      </c>
      <c r="M437" s="523">
        <f t="shared" si="502"/>
        <v>0</v>
      </c>
      <c r="N437" s="523">
        <f t="shared" si="502"/>
        <v>0</v>
      </c>
      <c r="O437" s="523">
        <f t="shared" si="502"/>
        <v>10065.299999999999</v>
      </c>
      <c r="P437" s="543">
        <f t="shared" si="474"/>
        <v>0</v>
      </c>
      <c r="Q437" s="543">
        <f t="shared" si="475"/>
        <v>10065.299999999999</v>
      </c>
      <c r="R437" s="523">
        <f t="shared" si="502"/>
        <v>10065.299999999999</v>
      </c>
      <c r="S437" s="523">
        <f t="shared" si="502"/>
        <v>0</v>
      </c>
      <c r="T437" s="523">
        <f t="shared" si="502"/>
        <v>10065.299999999999</v>
      </c>
      <c r="U437" s="523">
        <f t="shared" si="502"/>
        <v>0</v>
      </c>
      <c r="V437" s="523">
        <f t="shared" si="502"/>
        <v>0</v>
      </c>
      <c r="W437" s="523">
        <f t="shared" si="502"/>
        <v>0</v>
      </c>
      <c r="X437" s="523">
        <f t="shared" si="502"/>
        <v>0</v>
      </c>
      <c r="Y437" s="523">
        <f t="shared" si="502"/>
        <v>0</v>
      </c>
      <c r="Z437" s="523">
        <f t="shared" si="502"/>
        <v>0</v>
      </c>
      <c r="AA437" s="523">
        <f t="shared" si="502"/>
        <v>0</v>
      </c>
      <c r="AB437" s="523">
        <f t="shared" si="502"/>
        <v>0</v>
      </c>
      <c r="AC437" s="523">
        <f t="shared" si="502"/>
        <v>0</v>
      </c>
      <c r="AD437" s="523">
        <f t="shared" si="502"/>
        <v>0</v>
      </c>
      <c r="AE437" s="523">
        <f t="shared" si="502"/>
        <v>0</v>
      </c>
      <c r="AF437" s="523">
        <f t="shared" si="502"/>
        <v>0</v>
      </c>
      <c r="AG437" s="523">
        <f t="shared" si="502"/>
        <v>0</v>
      </c>
      <c r="AH437" s="523">
        <f t="shared" si="502"/>
        <v>0</v>
      </c>
      <c r="AI437" s="523">
        <f t="shared" si="502"/>
        <v>0</v>
      </c>
      <c r="AJ437" s="523">
        <f t="shared" si="502"/>
        <v>0</v>
      </c>
      <c r="AK437" s="523">
        <f t="shared" si="502"/>
        <v>140.69999999999982</v>
      </c>
      <c r="AL437" s="523">
        <f t="shared" si="502"/>
        <v>0</v>
      </c>
      <c r="AM437" s="523">
        <f t="shared" si="502"/>
        <v>140.69999999999982</v>
      </c>
      <c r="AN437" s="523">
        <f t="shared" si="502"/>
        <v>0</v>
      </c>
      <c r="AO437" s="523">
        <f t="shared" si="502"/>
        <v>0</v>
      </c>
      <c r="AP437" s="523"/>
      <c r="AQ437" s="524">
        <f t="shared" si="502"/>
        <v>140.69999999999982</v>
      </c>
      <c r="AR437" s="524"/>
      <c r="AS437" s="83" t="s">
        <v>2181</v>
      </c>
    </row>
    <row r="438" spans="1:45" s="83" customFormat="1" hidden="1" outlineLevel="1">
      <c r="A438" s="526"/>
      <c r="B438" s="565" t="s">
        <v>2198</v>
      </c>
      <c r="C438" s="528"/>
      <c r="D438" s="563"/>
      <c r="E438" s="563"/>
      <c r="F438" s="563"/>
      <c r="G438" s="563"/>
      <c r="H438" s="523">
        <f>I438+L438</f>
        <v>2960</v>
      </c>
      <c r="I438" s="523">
        <f>J438+K438</f>
        <v>2960</v>
      </c>
      <c r="J438" s="523"/>
      <c r="K438" s="523">
        <v>2960</v>
      </c>
      <c r="L438" s="523"/>
      <c r="M438" s="563"/>
      <c r="N438" s="563"/>
      <c r="O438" s="523">
        <f t="shared" si="498"/>
        <v>2918.3</v>
      </c>
      <c r="P438" s="543">
        <f t="shared" si="474"/>
        <v>0</v>
      </c>
      <c r="Q438" s="543">
        <f t="shared" si="475"/>
        <v>2918.3</v>
      </c>
      <c r="R438" s="523">
        <f t="shared" si="499"/>
        <v>2918.3</v>
      </c>
      <c r="S438" s="523"/>
      <c r="T438" s="523">
        <v>2918.3</v>
      </c>
      <c r="U438" s="523">
        <f t="shared" si="500"/>
        <v>0</v>
      </c>
      <c r="V438" s="563"/>
      <c r="W438" s="563"/>
      <c r="X438" s="563"/>
      <c r="Y438" s="563"/>
      <c r="Z438" s="563"/>
      <c r="AA438" s="563"/>
      <c r="AB438" s="563"/>
      <c r="AC438" s="563"/>
      <c r="AD438" s="563"/>
      <c r="AE438" s="523"/>
      <c r="AF438" s="523"/>
      <c r="AG438" s="523"/>
      <c r="AH438" s="523"/>
      <c r="AI438" s="563"/>
      <c r="AJ438" s="563"/>
      <c r="AK438" s="563">
        <f t="shared" ref="AK438" si="503">SUM(AL438:AO438)</f>
        <v>41.699999999999818</v>
      </c>
      <c r="AL438" s="563">
        <f t="shared" ref="AL438:AM441" si="504">D438+J438-S438-Z438-AF438</f>
        <v>0</v>
      </c>
      <c r="AM438" s="563">
        <f t="shared" si="504"/>
        <v>41.699999999999818</v>
      </c>
      <c r="AN438" s="563">
        <f t="shared" ref="AN438:AO441" si="505">F438+M438-V438-AC438-AI438</f>
        <v>0</v>
      </c>
      <c r="AO438" s="563">
        <f t="shared" si="505"/>
        <v>0</v>
      </c>
      <c r="AP438" s="563"/>
      <c r="AQ438" s="564">
        <v>41.699999999999818</v>
      </c>
      <c r="AR438" s="564"/>
    </row>
    <row r="439" spans="1:45" s="83" customFormat="1" hidden="1" outlineLevel="1">
      <c r="A439" s="526"/>
      <c r="B439" s="565" t="s">
        <v>2199</v>
      </c>
      <c r="C439" s="528"/>
      <c r="D439" s="563"/>
      <c r="E439" s="563"/>
      <c r="F439" s="563"/>
      <c r="G439" s="563"/>
      <c r="H439" s="523">
        <f t="shared" ref="H439:H441" si="506">I439+L439</f>
        <v>2861</v>
      </c>
      <c r="I439" s="523">
        <f t="shared" ref="I439:I441" si="507">J439+K439</f>
        <v>2861</v>
      </c>
      <c r="J439" s="523"/>
      <c r="K439" s="523">
        <v>2861</v>
      </c>
      <c r="L439" s="523"/>
      <c r="M439" s="563"/>
      <c r="N439" s="563"/>
      <c r="O439" s="523">
        <f t="shared" si="498"/>
        <v>2820.5</v>
      </c>
      <c r="P439" s="543">
        <f t="shared" si="474"/>
        <v>0</v>
      </c>
      <c r="Q439" s="543">
        <f t="shared" si="475"/>
        <v>2820.5</v>
      </c>
      <c r="R439" s="523">
        <f t="shared" si="499"/>
        <v>2820.5</v>
      </c>
      <c r="S439" s="523"/>
      <c r="T439" s="523">
        <v>2820.5</v>
      </c>
      <c r="U439" s="523">
        <f t="shared" si="500"/>
        <v>0</v>
      </c>
      <c r="V439" s="563"/>
      <c r="W439" s="563"/>
      <c r="X439" s="563"/>
      <c r="Y439" s="563"/>
      <c r="Z439" s="563"/>
      <c r="AA439" s="563"/>
      <c r="AB439" s="563"/>
      <c r="AC439" s="563"/>
      <c r="AD439" s="563"/>
      <c r="AE439" s="523"/>
      <c r="AF439" s="523"/>
      <c r="AG439" s="523"/>
      <c r="AH439" s="523"/>
      <c r="AI439" s="563"/>
      <c r="AJ439" s="563"/>
      <c r="AK439" s="563">
        <f t="shared" ref="AK439:AK441" si="508">SUM(AL439:AO439)</f>
        <v>40.5</v>
      </c>
      <c r="AL439" s="563">
        <f t="shared" si="504"/>
        <v>0</v>
      </c>
      <c r="AM439" s="563">
        <f t="shared" si="504"/>
        <v>40.5</v>
      </c>
      <c r="AN439" s="563">
        <f t="shared" si="505"/>
        <v>0</v>
      </c>
      <c r="AO439" s="563">
        <f t="shared" si="505"/>
        <v>0</v>
      </c>
      <c r="AP439" s="563"/>
      <c r="AQ439" s="564">
        <v>40.5</v>
      </c>
      <c r="AR439" s="564"/>
    </row>
    <row r="440" spans="1:45" s="83" customFormat="1" hidden="1" outlineLevel="1">
      <c r="A440" s="526"/>
      <c r="B440" s="565" t="s">
        <v>2200</v>
      </c>
      <c r="C440" s="528"/>
      <c r="D440" s="563"/>
      <c r="E440" s="563"/>
      <c r="F440" s="563"/>
      <c r="G440" s="563"/>
      <c r="H440" s="523">
        <f t="shared" si="506"/>
        <v>2040</v>
      </c>
      <c r="I440" s="523">
        <f t="shared" si="507"/>
        <v>2040</v>
      </c>
      <c r="J440" s="523"/>
      <c r="K440" s="523">
        <f>2345-305</f>
        <v>2040</v>
      </c>
      <c r="L440" s="523"/>
      <c r="M440" s="563"/>
      <c r="N440" s="563"/>
      <c r="O440" s="523">
        <f t="shared" si="498"/>
        <v>2040</v>
      </c>
      <c r="P440" s="543">
        <f t="shared" si="474"/>
        <v>0</v>
      </c>
      <c r="Q440" s="543">
        <f t="shared" si="475"/>
        <v>2040</v>
      </c>
      <c r="R440" s="523">
        <f t="shared" si="499"/>
        <v>2040</v>
      </c>
      <c r="S440" s="523"/>
      <c r="T440" s="523">
        <v>2040</v>
      </c>
      <c r="U440" s="523">
        <f t="shared" si="500"/>
        <v>0</v>
      </c>
      <c r="V440" s="563"/>
      <c r="W440" s="563"/>
      <c r="X440" s="563"/>
      <c r="Y440" s="563"/>
      <c r="Z440" s="563"/>
      <c r="AA440" s="563"/>
      <c r="AB440" s="563"/>
      <c r="AC440" s="563"/>
      <c r="AD440" s="563"/>
      <c r="AE440" s="523"/>
      <c r="AF440" s="523"/>
      <c r="AG440" s="523"/>
      <c r="AH440" s="523"/>
      <c r="AI440" s="563"/>
      <c r="AJ440" s="563"/>
      <c r="AK440" s="563">
        <f t="shared" si="508"/>
        <v>0</v>
      </c>
      <c r="AL440" s="563">
        <f t="shared" si="504"/>
        <v>0</v>
      </c>
      <c r="AM440" s="563">
        <f t="shared" si="504"/>
        <v>0</v>
      </c>
      <c r="AN440" s="563">
        <f t="shared" si="505"/>
        <v>0</v>
      </c>
      <c r="AO440" s="563">
        <f t="shared" si="505"/>
        <v>0</v>
      </c>
      <c r="AP440" s="563"/>
      <c r="AQ440" s="564">
        <v>0</v>
      </c>
      <c r="AR440" s="564"/>
    </row>
    <row r="441" spans="1:45" s="83" customFormat="1" hidden="1" outlineLevel="1">
      <c r="A441" s="526"/>
      <c r="B441" s="565" t="s">
        <v>2201</v>
      </c>
      <c r="C441" s="528"/>
      <c r="D441" s="563"/>
      <c r="E441" s="563"/>
      <c r="F441" s="563"/>
      <c r="G441" s="563"/>
      <c r="H441" s="523">
        <f t="shared" si="506"/>
        <v>2345</v>
      </c>
      <c r="I441" s="523">
        <f t="shared" si="507"/>
        <v>2345</v>
      </c>
      <c r="J441" s="523"/>
      <c r="K441" s="523">
        <f>2040+305</f>
        <v>2345</v>
      </c>
      <c r="L441" s="523"/>
      <c r="M441" s="563"/>
      <c r="N441" s="563"/>
      <c r="O441" s="523">
        <f t="shared" si="498"/>
        <v>2286.5</v>
      </c>
      <c r="P441" s="543">
        <f t="shared" si="474"/>
        <v>0</v>
      </c>
      <c r="Q441" s="543">
        <f t="shared" si="475"/>
        <v>2286.5</v>
      </c>
      <c r="R441" s="523">
        <f t="shared" si="499"/>
        <v>2286.5</v>
      </c>
      <c r="S441" s="523"/>
      <c r="T441" s="523">
        <v>2286.5</v>
      </c>
      <c r="U441" s="523">
        <f t="shared" si="500"/>
        <v>0</v>
      </c>
      <c r="V441" s="563"/>
      <c r="W441" s="563"/>
      <c r="X441" s="563"/>
      <c r="Y441" s="563"/>
      <c r="Z441" s="563"/>
      <c r="AA441" s="563"/>
      <c r="AB441" s="563"/>
      <c r="AC441" s="563"/>
      <c r="AD441" s="563"/>
      <c r="AE441" s="523"/>
      <c r="AF441" s="523"/>
      <c r="AG441" s="523"/>
      <c r="AH441" s="523"/>
      <c r="AI441" s="563"/>
      <c r="AJ441" s="563"/>
      <c r="AK441" s="563">
        <f t="shared" si="508"/>
        <v>58.5</v>
      </c>
      <c r="AL441" s="563">
        <f t="shared" si="504"/>
        <v>0</v>
      </c>
      <c r="AM441" s="563">
        <f t="shared" si="504"/>
        <v>58.5</v>
      </c>
      <c r="AN441" s="563">
        <f t="shared" si="505"/>
        <v>0</v>
      </c>
      <c r="AO441" s="563">
        <f t="shared" si="505"/>
        <v>0</v>
      </c>
      <c r="AP441" s="563"/>
      <c r="AQ441" s="564">
        <v>58.5</v>
      </c>
      <c r="AR441" s="564"/>
    </row>
    <row r="442" spans="1:45" s="83" customFormat="1" ht="46.8" hidden="1" outlineLevel="1">
      <c r="A442" s="521">
        <v>18</v>
      </c>
      <c r="B442" s="522" t="s">
        <v>2202</v>
      </c>
      <c r="C442" s="523">
        <f t="shared" ref="C442:G442" si="509">C443</f>
        <v>2400</v>
      </c>
      <c r="D442" s="523">
        <f t="shared" si="509"/>
        <v>0</v>
      </c>
      <c r="E442" s="523">
        <f t="shared" si="509"/>
        <v>2400</v>
      </c>
      <c r="F442" s="523">
        <f t="shared" si="509"/>
        <v>0</v>
      </c>
      <c r="G442" s="523">
        <f t="shared" si="509"/>
        <v>0</v>
      </c>
      <c r="H442" s="523">
        <f>H443</f>
        <v>2600</v>
      </c>
      <c r="I442" s="523">
        <f t="shared" ref="I442:AO442" si="510">I443</f>
        <v>2600</v>
      </c>
      <c r="J442" s="523">
        <f t="shared" si="510"/>
        <v>0</v>
      </c>
      <c r="K442" s="523">
        <f t="shared" si="510"/>
        <v>2600</v>
      </c>
      <c r="L442" s="523">
        <f t="shared" si="510"/>
        <v>0</v>
      </c>
      <c r="M442" s="523">
        <f t="shared" si="510"/>
        <v>0</v>
      </c>
      <c r="N442" s="523">
        <f t="shared" si="510"/>
        <v>0</v>
      </c>
      <c r="O442" s="523">
        <f t="shared" si="510"/>
        <v>2600</v>
      </c>
      <c r="P442" s="543">
        <f t="shared" si="474"/>
        <v>0</v>
      </c>
      <c r="Q442" s="543">
        <f t="shared" si="475"/>
        <v>2600</v>
      </c>
      <c r="R442" s="523">
        <f t="shared" si="510"/>
        <v>2600</v>
      </c>
      <c r="S442" s="523">
        <f t="shared" si="510"/>
        <v>0</v>
      </c>
      <c r="T442" s="523">
        <f t="shared" si="510"/>
        <v>2600</v>
      </c>
      <c r="U442" s="523">
        <f t="shared" si="510"/>
        <v>0</v>
      </c>
      <c r="V442" s="523">
        <f t="shared" si="510"/>
        <v>0</v>
      </c>
      <c r="W442" s="523">
        <f t="shared" si="510"/>
        <v>0</v>
      </c>
      <c r="X442" s="523">
        <f t="shared" si="510"/>
        <v>2400</v>
      </c>
      <c r="Y442" s="523">
        <f t="shared" si="510"/>
        <v>2400</v>
      </c>
      <c r="Z442" s="523">
        <f t="shared" si="510"/>
        <v>0</v>
      </c>
      <c r="AA442" s="523">
        <f t="shared" si="510"/>
        <v>2400</v>
      </c>
      <c r="AB442" s="523">
        <f t="shared" si="510"/>
        <v>0</v>
      </c>
      <c r="AC442" s="523">
        <f t="shared" si="510"/>
        <v>0</v>
      </c>
      <c r="AD442" s="523">
        <f t="shared" si="510"/>
        <v>0</v>
      </c>
      <c r="AE442" s="523">
        <f t="shared" si="510"/>
        <v>0</v>
      </c>
      <c r="AF442" s="523">
        <f t="shared" si="510"/>
        <v>0</v>
      </c>
      <c r="AG442" s="523">
        <f t="shared" si="510"/>
        <v>0</v>
      </c>
      <c r="AH442" s="523">
        <f t="shared" si="510"/>
        <v>0</v>
      </c>
      <c r="AI442" s="523">
        <f t="shared" si="510"/>
        <v>0</v>
      </c>
      <c r="AJ442" s="523">
        <f t="shared" si="510"/>
        <v>0</v>
      </c>
      <c r="AK442" s="523">
        <f t="shared" si="510"/>
        <v>0</v>
      </c>
      <c r="AL442" s="523">
        <f t="shared" si="510"/>
        <v>0</v>
      </c>
      <c r="AM442" s="523">
        <f t="shared" si="510"/>
        <v>0</v>
      </c>
      <c r="AN442" s="523">
        <f t="shared" si="510"/>
        <v>0</v>
      </c>
      <c r="AO442" s="523">
        <f t="shared" si="510"/>
        <v>0</v>
      </c>
      <c r="AP442" s="523"/>
      <c r="AQ442" s="524"/>
      <c r="AR442" s="524"/>
    </row>
    <row r="443" spans="1:45" s="83" customFormat="1" hidden="1" outlineLevel="1">
      <c r="A443" s="521"/>
      <c r="B443" s="522" t="s">
        <v>473</v>
      </c>
      <c r="C443" s="528">
        <f>SUM(D443:G443)</f>
        <v>2400</v>
      </c>
      <c r="D443" s="523">
        <v>0</v>
      </c>
      <c r="E443" s="523">
        <v>2400</v>
      </c>
      <c r="F443" s="523">
        <v>0</v>
      </c>
      <c r="G443" s="523">
        <v>0</v>
      </c>
      <c r="H443" s="523">
        <f>I443+L443</f>
        <v>2600</v>
      </c>
      <c r="I443" s="523">
        <f>J443+K443</f>
        <v>2600</v>
      </c>
      <c r="J443" s="523"/>
      <c r="K443" s="523">
        <v>2600</v>
      </c>
      <c r="L443" s="523"/>
      <c r="M443" s="523"/>
      <c r="N443" s="523"/>
      <c r="O443" s="523">
        <f t="shared" si="498"/>
        <v>2600</v>
      </c>
      <c r="P443" s="543">
        <f t="shared" si="474"/>
        <v>0</v>
      </c>
      <c r="Q443" s="543">
        <f t="shared" si="475"/>
        <v>2600</v>
      </c>
      <c r="R443" s="523">
        <f t="shared" si="499"/>
        <v>2600</v>
      </c>
      <c r="S443" s="523"/>
      <c r="T443" s="523">
        <v>2600</v>
      </c>
      <c r="U443" s="523">
        <f t="shared" si="500"/>
        <v>0</v>
      </c>
      <c r="V443" s="523"/>
      <c r="W443" s="523"/>
      <c r="X443" s="523">
        <f>Y443+AB443</f>
        <v>2400</v>
      </c>
      <c r="Y443" s="523">
        <f>Z443+AA443</f>
        <v>2400</v>
      </c>
      <c r="Z443" s="523"/>
      <c r="AA443" s="523">
        <v>2400</v>
      </c>
      <c r="AB443" s="523"/>
      <c r="AC443" s="523"/>
      <c r="AD443" s="523"/>
      <c r="AE443" s="523"/>
      <c r="AF443" s="523"/>
      <c r="AG443" s="523"/>
      <c r="AH443" s="523"/>
      <c r="AI443" s="523"/>
      <c r="AJ443" s="523"/>
      <c r="AK443" s="523">
        <f>SUM(AL443:AO443)</f>
        <v>0</v>
      </c>
      <c r="AL443" s="523">
        <f>D443+J443-S443-Z443-AF443</f>
        <v>0</v>
      </c>
      <c r="AM443" s="523">
        <f>E443+K443-T443-AA443-AG443</f>
        <v>0</v>
      </c>
      <c r="AN443" s="523">
        <f>F443+M443-V443-AC443-AI443</f>
        <v>0</v>
      </c>
      <c r="AO443" s="523">
        <f>G443+N443-W443-AD443-AJ443</f>
        <v>0</v>
      </c>
      <c r="AP443" s="523"/>
      <c r="AQ443" s="524"/>
      <c r="AR443" s="524"/>
    </row>
    <row r="444" spans="1:45" s="83" customFormat="1" ht="31.2" hidden="1" outlineLevel="1">
      <c r="A444" s="526">
        <v>19</v>
      </c>
      <c r="B444" s="566" t="s">
        <v>2203</v>
      </c>
      <c r="C444" s="528"/>
      <c r="D444" s="563"/>
      <c r="E444" s="563"/>
      <c r="F444" s="563"/>
      <c r="G444" s="563"/>
      <c r="H444" s="523">
        <f t="shared" ref="H444:N444" si="511">SUM(H445:H466)</f>
        <v>6766</v>
      </c>
      <c r="I444" s="523">
        <f t="shared" si="511"/>
        <v>5906</v>
      </c>
      <c r="J444" s="523">
        <f t="shared" si="511"/>
        <v>0</v>
      </c>
      <c r="K444" s="523">
        <f t="shared" si="511"/>
        <v>5906</v>
      </c>
      <c r="L444" s="523">
        <f t="shared" si="511"/>
        <v>860</v>
      </c>
      <c r="M444" s="523">
        <f t="shared" si="511"/>
        <v>0</v>
      </c>
      <c r="N444" s="523">
        <f t="shared" si="511"/>
        <v>860</v>
      </c>
      <c r="O444" s="523">
        <f t="shared" si="498"/>
        <v>6486</v>
      </c>
      <c r="P444" s="543">
        <f t="shared" si="474"/>
        <v>0</v>
      </c>
      <c r="Q444" s="543">
        <f t="shared" si="475"/>
        <v>6486</v>
      </c>
      <c r="R444" s="523">
        <f>SUM(R445:R466)</f>
        <v>5706</v>
      </c>
      <c r="S444" s="523">
        <f>SUM(S445:S466)</f>
        <v>0</v>
      </c>
      <c r="T444" s="523">
        <f>SUM(T445:T466)</f>
        <v>5706</v>
      </c>
      <c r="U444" s="523">
        <f t="shared" si="500"/>
        <v>780</v>
      </c>
      <c r="V444" s="523">
        <f t="shared" ref="V444:AR444" si="512">SUM(V445:V466)</f>
        <v>0</v>
      </c>
      <c r="W444" s="523">
        <f t="shared" si="512"/>
        <v>780</v>
      </c>
      <c r="X444" s="523">
        <f t="shared" si="512"/>
        <v>0</v>
      </c>
      <c r="Y444" s="523">
        <f t="shared" si="512"/>
        <v>0</v>
      </c>
      <c r="Z444" s="523">
        <f t="shared" si="512"/>
        <v>0</v>
      </c>
      <c r="AA444" s="523">
        <f t="shared" si="512"/>
        <v>0</v>
      </c>
      <c r="AB444" s="523">
        <f t="shared" si="512"/>
        <v>0</v>
      </c>
      <c r="AC444" s="523">
        <f t="shared" si="512"/>
        <v>0</v>
      </c>
      <c r="AD444" s="523">
        <f t="shared" si="512"/>
        <v>0</v>
      </c>
      <c r="AE444" s="523">
        <f t="shared" si="512"/>
        <v>0</v>
      </c>
      <c r="AF444" s="523">
        <f t="shared" si="512"/>
        <v>0</v>
      </c>
      <c r="AG444" s="523">
        <f t="shared" si="512"/>
        <v>0</v>
      </c>
      <c r="AH444" s="523">
        <f t="shared" si="512"/>
        <v>0</v>
      </c>
      <c r="AI444" s="523">
        <f t="shared" si="512"/>
        <v>0</v>
      </c>
      <c r="AJ444" s="523">
        <f t="shared" si="512"/>
        <v>0</v>
      </c>
      <c r="AK444" s="523">
        <f t="shared" si="512"/>
        <v>280</v>
      </c>
      <c r="AL444" s="523">
        <f t="shared" si="512"/>
        <v>0</v>
      </c>
      <c r="AM444" s="523">
        <f t="shared" si="512"/>
        <v>200</v>
      </c>
      <c r="AN444" s="523">
        <f t="shared" si="512"/>
        <v>0</v>
      </c>
      <c r="AO444" s="523">
        <f t="shared" si="512"/>
        <v>80</v>
      </c>
      <c r="AP444" s="523"/>
      <c r="AQ444" s="524">
        <f t="shared" si="512"/>
        <v>200</v>
      </c>
      <c r="AR444" s="524">
        <f t="shared" si="512"/>
        <v>0</v>
      </c>
      <c r="AS444" s="83" t="s">
        <v>2204</v>
      </c>
    </row>
    <row r="445" spans="1:45" s="83" customFormat="1" hidden="1" outlineLevel="1">
      <c r="A445" s="526"/>
      <c r="B445" s="566" t="s">
        <v>514</v>
      </c>
      <c r="C445" s="528"/>
      <c r="D445" s="563"/>
      <c r="E445" s="563"/>
      <c r="F445" s="563"/>
      <c r="G445" s="563"/>
      <c r="H445" s="523">
        <f>I445+L445</f>
        <v>4736</v>
      </c>
      <c r="I445" s="523">
        <f>J445+K445</f>
        <v>4736</v>
      </c>
      <c r="J445" s="523"/>
      <c r="K445" s="523">
        <v>4736</v>
      </c>
      <c r="L445" s="523">
        <f>M445+N445</f>
        <v>0</v>
      </c>
      <c r="M445" s="563"/>
      <c r="N445" s="563"/>
      <c r="O445" s="523">
        <f t="shared" si="498"/>
        <v>4736</v>
      </c>
      <c r="P445" s="543">
        <f t="shared" si="474"/>
        <v>0</v>
      </c>
      <c r="Q445" s="543">
        <f t="shared" si="475"/>
        <v>4736</v>
      </c>
      <c r="R445" s="523">
        <f t="shared" si="499"/>
        <v>4736</v>
      </c>
      <c r="S445" s="523"/>
      <c r="T445" s="523">
        <v>4736</v>
      </c>
      <c r="U445" s="523">
        <f t="shared" si="500"/>
        <v>0</v>
      </c>
      <c r="V445" s="563"/>
      <c r="W445" s="563"/>
      <c r="X445" s="563"/>
      <c r="Y445" s="563"/>
      <c r="Z445" s="563"/>
      <c r="AA445" s="563"/>
      <c r="AB445" s="563"/>
      <c r="AC445" s="563"/>
      <c r="AD445" s="563"/>
      <c r="AE445" s="523"/>
      <c r="AF445" s="523"/>
      <c r="AG445" s="523"/>
      <c r="AH445" s="523"/>
      <c r="AI445" s="563"/>
      <c r="AJ445" s="563"/>
      <c r="AK445" s="523">
        <f t="shared" ref="AK445:AK466" si="513">SUM(AL445:AO445)</f>
        <v>0</v>
      </c>
      <c r="AL445" s="523">
        <f t="shared" ref="AL445:AM466" si="514">D445+J445-S445-Z445-AF445</f>
        <v>0</v>
      </c>
      <c r="AM445" s="523">
        <f t="shared" si="514"/>
        <v>0</v>
      </c>
      <c r="AN445" s="523">
        <f t="shared" ref="AN445:AO466" si="515">F445+M445-V445-AC445-AI445</f>
        <v>0</v>
      </c>
      <c r="AO445" s="523">
        <f t="shared" si="515"/>
        <v>0</v>
      </c>
      <c r="AP445" s="523"/>
      <c r="AQ445" s="524"/>
      <c r="AR445" s="524"/>
    </row>
    <row r="446" spans="1:45" s="83" customFormat="1" hidden="1" outlineLevel="1">
      <c r="A446" s="526"/>
      <c r="B446" s="566" t="s">
        <v>2205</v>
      </c>
      <c r="C446" s="528"/>
      <c r="D446" s="563"/>
      <c r="E446" s="563"/>
      <c r="F446" s="563"/>
      <c r="G446" s="563"/>
      <c r="H446" s="523">
        <f t="shared" ref="H446:H466" si="516">I446+L446</f>
        <v>650</v>
      </c>
      <c r="I446" s="523">
        <f t="shared" ref="I446:I466" si="517">J446+K446</f>
        <v>650</v>
      </c>
      <c r="J446" s="523"/>
      <c r="K446" s="523">
        <f>500+150</f>
        <v>650</v>
      </c>
      <c r="L446" s="523">
        <f t="shared" ref="L446:L466" si="518">M446+N446</f>
        <v>0</v>
      </c>
      <c r="M446" s="563"/>
      <c r="N446" s="563"/>
      <c r="O446" s="523">
        <f t="shared" si="498"/>
        <v>650</v>
      </c>
      <c r="P446" s="543">
        <f t="shared" si="474"/>
        <v>0</v>
      </c>
      <c r="Q446" s="543">
        <f t="shared" si="475"/>
        <v>650</v>
      </c>
      <c r="R446" s="523">
        <f t="shared" si="499"/>
        <v>650</v>
      </c>
      <c r="S446" s="523"/>
      <c r="T446" s="523">
        <v>650</v>
      </c>
      <c r="U446" s="523">
        <f t="shared" si="500"/>
        <v>0</v>
      </c>
      <c r="V446" s="563"/>
      <c r="W446" s="563"/>
      <c r="X446" s="563"/>
      <c r="Y446" s="563"/>
      <c r="Z446" s="563"/>
      <c r="AA446" s="563"/>
      <c r="AB446" s="563"/>
      <c r="AC446" s="563"/>
      <c r="AD446" s="563"/>
      <c r="AE446" s="523"/>
      <c r="AF446" s="523"/>
      <c r="AG446" s="523"/>
      <c r="AH446" s="523"/>
      <c r="AI446" s="563"/>
      <c r="AJ446" s="563"/>
      <c r="AK446" s="523">
        <f t="shared" si="513"/>
        <v>0</v>
      </c>
      <c r="AL446" s="523">
        <f t="shared" si="514"/>
        <v>0</v>
      </c>
      <c r="AM446" s="523">
        <f t="shared" si="514"/>
        <v>0</v>
      </c>
      <c r="AN446" s="523">
        <f t="shared" si="515"/>
        <v>0</v>
      </c>
      <c r="AO446" s="523">
        <f t="shared" si="515"/>
        <v>0</v>
      </c>
      <c r="AP446" s="523"/>
      <c r="AQ446" s="524"/>
      <c r="AR446" s="524"/>
    </row>
    <row r="447" spans="1:45" s="83" customFormat="1" hidden="1" outlineLevel="1">
      <c r="A447" s="526"/>
      <c r="B447" s="566" t="s">
        <v>2206</v>
      </c>
      <c r="C447" s="528"/>
      <c r="D447" s="563"/>
      <c r="E447" s="563"/>
      <c r="F447" s="563"/>
      <c r="G447" s="563"/>
      <c r="H447" s="523">
        <f t="shared" si="516"/>
        <v>40</v>
      </c>
      <c r="I447" s="523">
        <f t="shared" si="517"/>
        <v>40</v>
      </c>
      <c r="J447" s="523"/>
      <c r="K447" s="523">
        <v>40</v>
      </c>
      <c r="L447" s="523">
        <f t="shared" si="518"/>
        <v>0</v>
      </c>
      <c r="M447" s="563"/>
      <c r="N447" s="563"/>
      <c r="O447" s="523">
        <f t="shared" si="498"/>
        <v>40</v>
      </c>
      <c r="P447" s="543">
        <f t="shared" si="474"/>
        <v>0</v>
      </c>
      <c r="Q447" s="543">
        <f t="shared" si="475"/>
        <v>40</v>
      </c>
      <c r="R447" s="523">
        <f t="shared" si="499"/>
        <v>40</v>
      </c>
      <c r="S447" s="523"/>
      <c r="T447" s="523">
        <v>40</v>
      </c>
      <c r="U447" s="523">
        <f t="shared" si="500"/>
        <v>0</v>
      </c>
      <c r="V447" s="563"/>
      <c r="W447" s="563"/>
      <c r="X447" s="563"/>
      <c r="Y447" s="563"/>
      <c r="Z447" s="563"/>
      <c r="AA447" s="563"/>
      <c r="AB447" s="563"/>
      <c r="AC447" s="563"/>
      <c r="AD447" s="563"/>
      <c r="AE447" s="523"/>
      <c r="AF447" s="523"/>
      <c r="AG447" s="523"/>
      <c r="AH447" s="523"/>
      <c r="AI447" s="563"/>
      <c r="AJ447" s="563"/>
      <c r="AK447" s="523">
        <f t="shared" si="513"/>
        <v>0</v>
      </c>
      <c r="AL447" s="523">
        <f t="shared" si="514"/>
        <v>0</v>
      </c>
      <c r="AM447" s="523">
        <f t="shared" si="514"/>
        <v>0</v>
      </c>
      <c r="AN447" s="523">
        <f t="shared" si="515"/>
        <v>0</v>
      </c>
      <c r="AO447" s="523">
        <f t="shared" si="515"/>
        <v>0</v>
      </c>
      <c r="AP447" s="523"/>
      <c r="AQ447" s="524"/>
      <c r="AR447" s="524"/>
    </row>
    <row r="448" spans="1:45" s="83" customFormat="1" hidden="1" outlineLevel="1">
      <c r="A448" s="526"/>
      <c r="B448" s="566" t="s">
        <v>2207</v>
      </c>
      <c r="C448" s="528"/>
      <c r="D448" s="563"/>
      <c r="E448" s="563"/>
      <c r="F448" s="563"/>
      <c r="G448" s="563"/>
      <c r="H448" s="523">
        <f t="shared" si="516"/>
        <v>20</v>
      </c>
      <c r="I448" s="523">
        <f t="shared" si="517"/>
        <v>20</v>
      </c>
      <c r="J448" s="523"/>
      <c r="K448" s="523">
        <v>20</v>
      </c>
      <c r="L448" s="523">
        <f t="shared" si="518"/>
        <v>0</v>
      </c>
      <c r="M448" s="563"/>
      <c r="N448" s="563"/>
      <c r="O448" s="523">
        <f t="shared" si="498"/>
        <v>20</v>
      </c>
      <c r="P448" s="543">
        <f t="shared" si="474"/>
        <v>0</v>
      </c>
      <c r="Q448" s="543">
        <f t="shared" si="475"/>
        <v>20</v>
      </c>
      <c r="R448" s="523">
        <f t="shared" si="499"/>
        <v>20</v>
      </c>
      <c r="S448" s="523"/>
      <c r="T448" s="523">
        <v>20</v>
      </c>
      <c r="U448" s="523">
        <f t="shared" si="500"/>
        <v>0</v>
      </c>
      <c r="V448" s="563"/>
      <c r="W448" s="563"/>
      <c r="X448" s="563"/>
      <c r="Y448" s="563"/>
      <c r="Z448" s="563"/>
      <c r="AA448" s="563"/>
      <c r="AB448" s="563"/>
      <c r="AC448" s="563"/>
      <c r="AD448" s="563"/>
      <c r="AE448" s="523"/>
      <c r="AF448" s="523"/>
      <c r="AG448" s="523"/>
      <c r="AH448" s="523"/>
      <c r="AI448" s="563"/>
      <c r="AJ448" s="563"/>
      <c r="AK448" s="523">
        <f t="shared" si="513"/>
        <v>0</v>
      </c>
      <c r="AL448" s="523">
        <f t="shared" si="514"/>
        <v>0</v>
      </c>
      <c r="AM448" s="523">
        <f t="shared" si="514"/>
        <v>0</v>
      </c>
      <c r="AN448" s="523">
        <f t="shared" si="515"/>
        <v>0</v>
      </c>
      <c r="AO448" s="523">
        <f t="shared" si="515"/>
        <v>0</v>
      </c>
      <c r="AP448" s="523"/>
      <c r="AQ448" s="524"/>
      <c r="AR448" s="524"/>
    </row>
    <row r="449" spans="1:44" s="83" customFormat="1" hidden="1" outlineLevel="1">
      <c r="A449" s="526"/>
      <c r="B449" s="566" t="s">
        <v>2208</v>
      </c>
      <c r="C449" s="528"/>
      <c r="D449" s="563"/>
      <c r="E449" s="563"/>
      <c r="F449" s="563"/>
      <c r="G449" s="563"/>
      <c r="H449" s="523">
        <f t="shared" si="516"/>
        <v>20</v>
      </c>
      <c r="I449" s="523">
        <f t="shared" si="517"/>
        <v>20</v>
      </c>
      <c r="J449" s="523"/>
      <c r="K449" s="523">
        <v>20</v>
      </c>
      <c r="L449" s="523">
        <f t="shared" si="518"/>
        <v>0</v>
      </c>
      <c r="M449" s="563"/>
      <c r="N449" s="563"/>
      <c r="O449" s="523">
        <f t="shared" si="498"/>
        <v>20</v>
      </c>
      <c r="P449" s="543">
        <f t="shared" si="474"/>
        <v>0</v>
      </c>
      <c r="Q449" s="543">
        <f t="shared" si="475"/>
        <v>20</v>
      </c>
      <c r="R449" s="523">
        <f t="shared" si="499"/>
        <v>20</v>
      </c>
      <c r="S449" s="523"/>
      <c r="T449" s="523">
        <v>20</v>
      </c>
      <c r="U449" s="523">
        <f t="shared" si="500"/>
        <v>0</v>
      </c>
      <c r="V449" s="563"/>
      <c r="W449" s="563"/>
      <c r="X449" s="563"/>
      <c r="Y449" s="563"/>
      <c r="Z449" s="563"/>
      <c r="AA449" s="563"/>
      <c r="AB449" s="563"/>
      <c r="AC449" s="563"/>
      <c r="AD449" s="563"/>
      <c r="AE449" s="523"/>
      <c r="AF449" s="523"/>
      <c r="AG449" s="523"/>
      <c r="AH449" s="523"/>
      <c r="AI449" s="563"/>
      <c r="AJ449" s="563"/>
      <c r="AK449" s="523">
        <f t="shared" si="513"/>
        <v>0</v>
      </c>
      <c r="AL449" s="523">
        <f t="shared" si="514"/>
        <v>0</v>
      </c>
      <c r="AM449" s="523">
        <f t="shared" si="514"/>
        <v>0</v>
      </c>
      <c r="AN449" s="523">
        <f t="shared" si="515"/>
        <v>0</v>
      </c>
      <c r="AO449" s="523">
        <f t="shared" si="515"/>
        <v>0</v>
      </c>
      <c r="AP449" s="523"/>
      <c r="AQ449" s="524"/>
      <c r="AR449" s="524"/>
    </row>
    <row r="450" spans="1:44" s="83" customFormat="1" hidden="1" outlineLevel="1">
      <c r="A450" s="526"/>
      <c r="B450" s="566" t="s">
        <v>2026</v>
      </c>
      <c r="C450" s="528"/>
      <c r="D450" s="563"/>
      <c r="E450" s="563"/>
      <c r="F450" s="563"/>
      <c r="G450" s="563"/>
      <c r="H450" s="523">
        <f t="shared" si="516"/>
        <v>50</v>
      </c>
      <c r="I450" s="523">
        <f t="shared" si="517"/>
        <v>50</v>
      </c>
      <c r="J450" s="523"/>
      <c r="K450" s="523">
        <v>50</v>
      </c>
      <c r="L450" s="523">
        <f t="shared" si="518"/>
        <v>0</v>
      </c>
      <c r="M450" s="563"/>
      <c r="N450" s="563"/>
      <c r="O450" s="523">
        <f t="shared" si="498"/>
        <v>50</v>
      </c>
      <c r="P450" s="543">
        <f t="shared" si="474"/>
        <v>0</v>
      </c>
      <c r="Q450" s="543">
        <f t="shared" si="475"/>
        <v>50</v>
      </c>
      <c r="R450" s="523">
        <f t="shared" si="499"/>
        <v>50</v>
      </c>
      <c r="S450" s="523"/>
      <c r="T450" s="523">
        <v>50</v>
      </c>
      <c r="U450" s="523">
        <f t="shared" si="500"/>
        <v>0</v>
      </c>
      <c r="V450" s="563"/>
      <c r="W450" s="563"/>
      <c r="X450" s="563"/>
      <c r="Y450" s="563"/>
      <c r="Z450" s="563"/>
      <c r="AA450" s="563"/>
      <c r="AB450" s="563"/>
      <c r="AC450" s="563"/>
      <c r="AD450" s="563"/>
      <c r="AE450" s="523"/>
      <c r="AF450" s="523"/>
      <c r="AG450" s="523"/>
      <c r="AH450" s="523"/>
      <c r="AI450" s="563"/>
      <c r="AJ450" s="563"/>
      <c r="AK450" s="523">
        <f t="shared" si="513"/>
        <v>0</v>
      </c>
      <c r="AL450" s="523">
        <f t="shared" si="514"/>
        <v>0</v>
      </c>
      <c r="AM450" s="523">
        <f t="shared" si="514"/>
        <v>0</v>
      </c>
      <c r="AN450" s="523">
        <f t="shared" si="515"/>
        <v>0</v>
      </c>
      <c r="AO450" s="523">
        <f t="shared" si="515"/>
        <v>0</v>
      </c>
      <c r="AP450" s="523"/>
      <c r="AQ450" s="524"/>
      <c r="AR450" s="524"/>
    </row>
    <row r="451" spans="1:44" s="83" customFormat="1" hidden="1" outlineLevel="1">
      <c r="A451" s="526"/>
      <c r="B451" s="566" t="s">
        <v>2209</v>
      </c>
      <c r="C451" s="528"/>
      <c r="D451" s="563"/>
      <c r="E451" s="563"/>
      <c r="F451" s="563"/>
      <c r="G451" s="563"/>
      <c r="H451" s="523">
        <f t="shared" si="516"/>
        <v>50</v>
      </c>
      <c r="I451" s="523">
        <f t="shared" si="517"/>
        <v>50</v>
      </c>
      <c r="J451" s="523"/>
      <c r="K451" s="523">
        <v>50</v>
      </c>
      <c r="L451" s="523">
        <f t="shared" si="518"/>
        <v>0</v>
      </c>
      <c r="M451" s="563"/>
      <c r="N451" s="563"/>
      <c r="O451" s="523">
        <f t="shared" si="498"/>
        <v>50</v>
      </c>
      <c r="P451" s="543">
        <f t="shared" si="474"/>
        <v>0</v>
      </c>
      <c r="Q451" s="543">
        <f t="shared" si="475"/>
        <v>50</v>
      </c>
      <c r="R451" s="523">
        <f t="shared" si="499"/>
        <v>50</v>
      </c>
      <c r="S451" s="523"/>
      <c r="T451" s="523">
        <v>50</v>
      </c>
      <c r="U451" s="523">
        <f t="shared" si="500"/>
        <v>0</v>
      </c>
      <c r="V451" s="563"/>
      <c r="W451" s="563"/>
      <c r="X451" s="563"/>
      <c r="Y451" s="563"/>
      <c r="Z451" s="563"/>
      <c r="AA451" s="563"/>
      <c r="AB451" s="563"/>
      <c r="AC451" s="563"/>
      <c r="AD451" s="563"/>
      <c r="AE451" s="523"/>
      <c r="AF451" s="523"/>
      <c r="AG451" s="523"/>
      <c r="AH451" s="523"/>
      <c r="AI451" s="563"/>
      <c r="AJ451" s="563"/>
      <c r="AK451" s="523">
        <f t="shared" si="513"/>
        <v>0</v>
      </c>
      <c r="AL451" s="523">
        <f t="shared" si="514"/>
        <v>0</v>
      </c>
      <c r="AM451" s="523">
        <f t="shared" si="514"/>
        <v>0</v>
      </c>
      <c r="AN451" s="523">
        <f t="shared" si="515"/>
        <v>0</v>
      </c>
      <c r="AO451" s="523">
        <f t="shared" si="515"/>
        <v>0</v>
      </c>
      <c r="AP451" s="523"/>
      <c r="AQ451" s="524"/>
      <c r="AR451" s="524"/>
    </row>
    <row r="452" spans="1:44" s="83" customFormat="1" hidden="1" outlineLevel="1">
      <c r="A452" s="526"/>
      <c r="B452" s="566" t="s">
        <v>2210</v>
      </c>
      <c r="C452" s="528"/>
      <c r="D452" s="563"/>
      <c r="E452" s="563"/>
      <c r="F452" s="563"/>
      <c r="G452" s="563"/>
      <c r="H452" s="523">
        <f t="shared" si="516"/>
        <v>50</v>
      </c>
      <c r="I452" s="523">
        <f t="shared" si="517"/>
        <v>50</v>
      </c>
      <c r="J452" s="523"/>
      <c r="K452" s="523">
        <v>50</v>
      </c>
      <c r="L452" s="523">
        <f t="shared" si="518"/>
        <v>0</v>
      </c>
      <c r="M452" s="563"/>
      <c r="N452" s="563"/>
      <c r="O452" s="523">
        <f t="shared" si="498"/>
        <v>50</v>
      </c>
      <c r="P452" s="543">
        <f t="shared" si="474"/>
        <v>0</v>
      </c>
      <c r="Q452" s="543">
        <f t="shared" si="475"/>
        <v>50</v>
      </c>
      <c r="R452" s="523">
        <f t="shared" si="499"/>
        <v>50</v>
      </c>
      <c r="S452" s="523"/>
      <c r="T452" s="523">
        <v>50</v>
      </c>
      <c r="U452" s="523">
        <f t="shared" si="500"/>
        <v>0</v>
      </c>
      <c r="V452" s="563"/>
      <c r="W452" s="563"/>
      <c r="X452" s="563"/>
      <c r="Y452" s="563"/>
      <c r="Z452" s="563"/>
      <c r="AA452" s="563"/>
      <c r="AB452" s="563"/>
      <c r="AC452" s="563"/>
      <c r="AD452" s="563"/>
      <c r="AE452" s="523"/>
      <c r="AF452" s="523"/>
      <c r="AG452" s="523"/>
      <c r="AH452" s="523"/>
      <c r="AI452" s="563"/>
      <c r="AJ452" s="563"/>
      <c r="AK452" s="523">
        <f t="shared" si="513"/>
        <v>0</v>
      </c>
      <c r="AL452" s="523">
        <f t="shared" si="514"/>
        <v>0</v>
      </c>
      <c r="AM452" s="523">
        <f t="shared" si="514"/>
        <v>0</v>
      </c>
      <c r="AN452" s="523">
        <f t="shared" si="515"/>
        <v>0</v>
      </c>
      <c r="AO452" s="523">
        <f t="shared" si="515"/>
        <v>0</v>
      </c>
      <c r="AP452" s="523"/>
      <c r="AQ452" s="524"/>
      <c r="AR452" s="524"/>
    </row>
    <row r="453" spans="1:44" s="83" customFormat="1" hidden="1" outlineLevel="1">
      <c r="A453" s="526"/>
      <c r="B453" s="566" t="s">
        <v>516</v>
      </c>
      <c r="C453" s="528"/>
      <c r="D453" s="563"/>
      <c r="E453" s="563"/>
      <c r="F453" s="563"/>
      <c r="G453" s="563"/>
      <c r="H453" s="523">
        <f t="shared" si="516"/>
        <v>20</v>
      </c>
      <c r="I453" s="523">
        <f t="shared" si="517"/>
        <v>20</v>
      </c>
      <c r="J453" s="523"/>
      <c r="K453" s="523">
        <v>20</v>
      </c>
      <c r="L453" s="523">
        <f t="shared" si="518"/>
        <v>0</v>
      </c>
      <c r="M453" s="563"/>
      <c r="N453" s="563"/>
      <c r="O453" s="523">
        <f t="shared" si="498"/>
        <v>20</v>
      </c>
      <c r="P453" s="543">
        <f t="shared" si="474"/>
        <v>0</v>
      </c>
      <c r="Q453" s="543">
        <f t="shared" si="475"/>
        <v>20</v>
      </c>
      <c r="R453" s="523">
        <f t="shared" si="499"/>
        <v>20</v>
      </c>
      <c r="S453" s="523"/>
      <c r="T453" s="523">
        <v>20</v>
      </c>
      <c r="U453" s="523">
        <f t="shared" si="500"/>
        <v>0</v>
      </c>
      <c r="V453" s="563"/>
      <c r="W453" s="563"/>
      <c r="X453" s="563"/>
      <c r="Y453" s="563"/>
      <c r="Z453" s="563"/>
      <c r="AA453" s="563"/>
      <c r="AB453" s="563"/>
      <c r="AC453" s="563"/>
      <c r="AD453" s="563"/>
      <c r="AE453" s="523"/>
      <c r="AF453" s="523"/>
      <c r="AG453" s="523"/>
      <c r="AH453" s="523"/>
      <c r="AI453" s="563"/>
      <c r="AJ453" s="563"/>
      <c r="AK453" s="523">
        <f t="shared" si="513"/>
        <v>0</v>
      </c>
      <c r="AL453" s="523">
        <f t="shared" si="514"/>
        <v>0</v>
      </c>
      <c r="AM453" s="523">
        <f t="shared" si="514"/>
        <v>0</v>
      </c>
      <c r="AN453" s="523">
        <f t="shared" si="515"/>
        <v>0</v>
      </c>
      <c r="AO453" s="523">
        <f t="shared" si="515"/>
        <v>0</v>
      </c>
      <c r="AP453" s="523"/>
      <c r="AQ453" s="524"/>
      <c r="AR453" s="524"/>
    </row>
    <row r="454" spans="1:44" s="83" customFormat="1" hidden="1" outlineLevel="1">
      <c r="A454" s="526"/>
      <c r="B454" s="566" t="s">
        <v>467</v>
      </c>
      <c r="C454" s="528"/>
      <c r="D454" s="563"/>
      <c r="E454" s="563"/>
      <c r="F454" s="563"/>
      <c r="G454" s="563"/>
      <c r="H454" s="523">
        <f t="shared" si="516"/>
        <v>20</v>
      </c>
      <c r="I454" s="523">
        <f t="shared" si="517"/>
        <v>20</v>
      </c>
      <c r="J454" s="523"/>
      <c r="K454" s="523">
        <v>20</v>
      </c>
      <c r="L454" s="523">
        <f t="shared" si="518"/>
        <v>0</v>
      </c>
      <c r="M454" s="563"/>
      <c r="N454" s="563"/>
      <c r="O454" s="523">
        <f t="shared" si="498"/>
        <v>20</v>
      </c>
      <c r="P454" s="543">
        <f t="shared" si="474"/>
        <v>0</v>
      </c>
      <c r="Q454" s="543">
        <f t="shared" si="475"/>
        <v>20</v>
      </c>
      <c r="R454" s="523">
        <f t="shared" si="499"/>
        <v>20</v>
      </c>
      <c r="S454" s="523"/>
      <c r="T454" s="523">
        <v>20</v>
      </c>
      <c r="U454" s="523">
        <f t="shared" si="500"/>
        <v>0</v>
      </c>
      <c r="V454" s="563"/>
      <c r="W454" s="563"/>
      <c r="X454" s="563"/>
      <c r="Y454" s="563"/>
      <c r="Z454" s="563"/>
      <c r="AA454" s="563"/>
      <c r="AB454" s="563"/>
      <c r="AC454" s="563"/>
      <c r="AD454" s="563"/>
      <c r="AE454" s="523"/>
      <c r="AF454" s="523"/>
      <c r="AG454" s="523"/>
      <c r="AH454" s="523"/>
      <c r="AI454" s="563"/>
      <c r="AJ454" s="563"/>
      <c r="AK454" s="523">
        <f t="shared" si="513"/>
        <v>0</v>
      </c>
      <c r="AL454" s="523">
        <f t="shared" si="514"/>
        <v>0</v>
      </c>
      <c r="AM454" s="523">
        <f t="shared" si="514"/>
        <v>0</v>
      </c>
      <c r="AN454" s="523">
        <f t="shared" si="515"/>
        <v>0</v>
      </c>
      <c r="AO454" s="523">
        <f t="shared" si="515"/>
        <v>0</v>
      </c>
      <c r="AP454" s="523"/>
      <c r="AQ454" s="524"/>
      <c r="AR454" s="524"/>
    </row>
    <row r="455" spans="1:44" s="83" customFormat="1" hidden="1" outlineLevel="1">
      <c r="A455" s="526"/>
      <c r="B455" s="566" t="s">
        <v>2211</v>
      </c>
      <c r="C455" s="528"/>
      <c r="D455" s="563"/>
      <c r="E455" s="563"/>
      <c r="F455" s="563"/>
      <c r="G455" s="563"/>
      <c r="H455" s="523">
        <f t="shared" si="516"/>
        <v>50</v>
      </c>
      <c r="I455" s="523">
        <f t="shared" si="517"/>
        <v>50</v>
      </c>
      <c r="J455" s="523"/>
      <c r="K455" s="523">
        <v>50</v>
      </c>
      <c r="L455" s="523">
        <f t="shared" si="518"/>
        <v>0</v>
      </c>
      <c r="M455" s="563"/>
      <c r="N455" s="563"/>
      <c r="O455" s="523">
        <f t="shared" si="498"/>
        <v>50</v>
      </c>
      <c r="P455" s="543">
        <f t="shared" si="474"/>
        <v>0</v>
      </c>
      <c r="Q455" s="543">
        <f t="shared" si="475"/>
        <v>50</v>
      </c>
      <c r="R455" s="523">
        <f t="shared" si="499"/>
        <v>50</v>
      </c>
      <c r="S455" s="523"/>
      <c r="T455" s="523">
        <v>50</v>
      </c>
      <c r="U455" s="523">
        <f t="shared" si="500"/>
        <v>0</v>
      </c>
      <c r="V455" s="563"/>
      <c r="W455" s="563"/>
      <c r="X455" s="563"/>
      <c r="Y455" s="563"/>
      <c r="Z455" s="563"/>
      <c r="AA455" s="563"/>
      <c r="AB455" s="563"/>
      <c r="AC455" s="563"/>
      <c r="AD455" s="563"/>
      <c r="AE455" s="523"/>
      <c r="AF455" s="523"/>
      <c r="AG455" s="523"/>
      <c r="AH455" s="523"/>
      <c r="AI455" s="563"/>
      <c r="AJ455" s="563"/>
      <c r="AK455" s="523">
        <f t="shared" si="513"/>
        <v>0</v>
      </c>
      <c r="AL455" s="523">
        <f t="shared" si="514"/>
        <v>0</v>
      </c>
      <c r="AM455" s="523">
        <f t="shared" si="514"/>
        <v>0</v>
      </c>
      <c r="AN455" s="523">
        <f t="shared" si="515"/>
        <v>0</v>
      </c>
      <c r="AO455" s="523">
        <f t="shared" si="515"/>
        <v>0</v>
      </c>
      <c r="AP455" s="523"/>
      <c r="AQ455" s="524"/>
      <c r="AR455" s="524"/>
    </row>
    <row r="456" spans="1:44" s="83" customFormat="1" ht="46.8" hidden="1" outlineLevel="1">
      <c r="A456" s="526"/>
      <c r="B456" s="566" t="s">
        <v>2212</v>
      </c>
      <c r="C456" s="528"/>
      <c r="D456" s="563"/>
      <c r="E456" s="563"/>
      <c r="F456" s="563"/>
      <c r="G456" s="563"/>
      <c r="H456" s="523">
        <f>I456+L456</f>
        <v>200</v>
      </c>
      <c r="I456" s="523">
        <f>J456+K456</f>
        <v>200</v>
      </c>
      <c r="J456" s="523"/>
      <c r="K456" s="523">
        <v>200</v>
      </c>
      <c r="L456" s="523">
        <f>M456+N456</f>
        <v>0</v>
      </c>
      <c r="M456" s="563"/>
      <c r="N456" s="563"/>
      <c r="O456" s="523">
        <f>R456+U456</f>
        <v>0</v>
      </c>
      <c r="P456" s="543">
        <f t="shared" si="474"/>
        <v>0</v>
      </c>
      <c r="Q456" s="543">
        <f t="shared" si="475"/>
        <v>0</v>
      </c>
      <c r="R456" s="523">
        <f>S456+T456</f>
        <v>0</v>
      </c>
      <c r="S456" s="523"/>
      <c r="T456" s="523"/>
      <c r="U456" s="523">
        <f>V456+W456</f>
        <v>0</v>
      </c>
      <c r="V456" s="563"/>
      <c r="W456" s="563"/>
      <c r="X456" s="563"/>
      <c r="Y456" s="563"/>
      <c r="Z456" s="563"/>
      <c r="AA456" s="563"/>
      <c r="AB456" s="563"/>
      <c r="AC456" s="563"/>
      <c r="AD456" s="563"/>
      <c r="AE456" s="523"/>
      <c r="AF456" s="523"/>
      <c r="AG456" s="523"/>
      <c r="AH456" s="523"/>
      <c r="AI456" s="563"/>
      <c r="AJ456" s="563"/>
      <c r="AK456" s="523">
        <f>SUM(AL456:AO456)</f>
        <v>200</v>
      </c>
      <c r="AL456" s="523">
        <f>D456+J456-S456-Z456-AF456</f>
        <v>0</v>
      </c>
      <c r="AM456" s="523">
        <f>E456+K456-T456-AA456-AG456</f>
        <v>200</v>
      </c>
      <c r="AN456" s="523">
        <f>F456+M456-V456-AC456-AI456</f>
        <v>0</v>
      </c>
      <c r="AO456" s="523">
        <f>G456+N456-W456-AD456-AJ456</f>
        <v>0</v>
      </c>
      <c r="AP456" s="523"/>
      <c r="AQ456" s="524">
        <v>200</v>
      </c>
      <c r="AR456" s="524"/>
    </row>
    <row r="457" spans="1:44" s="83" customFormat="1" hidden="1" outlineLevel="1">
      <c r="A457" s="526"/>
      <c r="B457" s="566" t="s">
        <v>188</v>
      </c>
      <c r="C457" s="528"/>
      <c r="D457" s="563"/>
      <c r="E457" s="563"/>
      <c r="F457" s="563"/>
      <c r="G457" s="563"/>
      <c r="H457" s="523">
        <f t="shared" si="516"/>
        <v>140</v>
      </c>
      <c r="I457" s="523">
        <f t="shared" si="517"/>
        <v>0</v>
      </c>
      <c r="J457" s="523"/>
      <c r="K457" s="523"/>
      <c r="L457" s="523">
        <f t="shared" si="518"/>
        <v>140</v>
      </c>
      <c r="M457" s="563"/>
      <c r="N457" s="563">
        <v>140</v>
      </c>
      <c r="O457" s="523">
        <f t="shared" si="498"/>
        <v>140</v>
      </c>
      <c r="P457" s="543">
        <f t="shared" si="474"/>
        <v>0</v>
      </c>
      <c r="Q457" s="543">
        <f t="shared" si="475"/>
        <v>140</v>
      </c>
      <c r="R457" s="523">
        <f t="shared" si="499"/>
        <v>0</v>
      </c>
      <c r="S457" s="523"/>
      <c r="T457" s="523"/>
      <c r="U457" s="523">
        <f t="shared" si="500"/>
        <v>140</v>
      </c>
      <c r="V457" s="563"/>
      <c r="W457" s="563">
        <v>140</v>
      </c>
      <c r="X457" s="563"/>
      <c r="Y457" s="563"/>
      <c r="Z457" s="563"/>
      <c r="AA457" s="563"/>
      <c r="AB457" s="563"/>
      <c r="AC457" s="563"/>
      <c r="AD457" s="563"/>
      <c r="AE457" s="523"/>
      <c r="AF457" s="523"/>
      <c r="AG457" s="523"/>
      <c r="AH457" s="523"/>
      <c r="AI457" s="563"/>
      <c r="AJ457" s="563"/>
      <c r="AK457" s="523">
        <f t="shared" si="513"/>
        <v>0</v>
      </c>
      <c r="AL457" s="523">
        <f t="shared" si="514"/>
        <v>0</v>
      </c>
      <c r="AM457" s="523">
        <f t="shared" si="514"/>
        <v>0</v>
      </c>
      <c r="AN457" s="523">
        <f t="shared" si="515"/>
        <v>0</v>
      </c>
      <c r="AO457" s="523">
        <f t="shared" si="515"/>
        <v>0</v>
      </c>
      <c r="AP457" s="523"/>
      <c r="AQ457" s="524"/>
      <c r="AR457" s="524"/>
    </row>
    <row r="458" spans="1:44" s="83" customFormat="1" hidden="1" outlineLevel="1">
      <c r="A458" s="526"/>
      <c r="B458" s="566" t="s">
        <v>200</v>
      </c>
      <c r="C458" s="528"/>
      <c r="D458" s="563"/>
      <c r="E458" s="563"/>
      <c r="F458" s="563"/>
      <c r="G458" s="563"/>
      <c r="H458" s="523">
        <f t="shared" si="516"/>
        <v>80</v>
      </c>
      <c r="I458" s="523">
        <f t="shared" si="517"/>
        <v>0</v>
      </c>
      <c r="J458" s="523"/>
      <c r="K458" s="523"/>
      <c r="L458" s="523">
        <f t="shared" si="518"/>
        <v>80</v>
      </c>
      <c r="M458" s="563"/>
      <c r="N458" s="563">
        <v>80</v>
      </c>
      <c r="O458" s="523">
        <f t="shared" si="498"/>
        <v>80</v>
      </c>
      <c r="P458" s="543">
        <f t="shared" si="474"/>
        <v>0</v>
      </c>
      <c r="Q458" s="543">
        <f t="shared" si="475"/>
        <v>80</v>
      </c>
      <c r="R458" s="523">
        <f t="shared" si="499"/>
        <v>0</v>
      </c>
      <c r="S458" s="523"/>
      <c r="T458" s="523"/>
      <c r="U458" s="523">
        <f t="shared" si="500"/>
        <v>80</v>
      </c>
      <c r="V458" s="563"/>
      <c r="W458" s="563">
        <v>80</v>
      </c>
      <c r="X458" s="563"/>
      <c r="Y458" s="563"/>
      <c r="Z458" s="563"/>
      <c r="AA458" s="563"/>
      <c r="AB458" s="563"/>
      <c r="AC458" s="563"/>
      <c r="AD458" s="563"/>
      <c r="AE458" s="523"/>
      <c r="AF458" s="523"/>
      <c r="AG458" s="523"/>
      <c r="AH458" s="523"/>
      <c r="AI458" s="563"/>
      <c r="AJ458" s="563"/>
      <c r="AK458" s="523">
        <f t="shared" si="513"/>
        <v>0</v>
      </c>
      <c r="AL458" s="523">
        <f t="shared" si="514"/>
        <v>0</v>
      </c>
      <c r="AM458" s="523">
        <f t="shared" si="514"/>
        <v>0</v>
      </c>
      <c r="AN458" s="523">
        <f t="shared" si="515"/>
        <v>0</v>
      </c>
      <c r="AO458" s="523">
        <f t="shared" si="515"/>
        <v>0</v>
      </c>
      <c r="AP458" s="523"/>
      <c r="AQ458" s="524"/>
      <c r="AR458" s="524"/>
    </row>
    <row r="459" spans="1:44" s="83" customFormat="1" hidden="1" outlineLevel="1">
      <c r="A459" s="526"/>
      <c r="B459" s="566" t="s">
        <v>197</v>
      </c>
      <c r="C459" s="528"/>
      <c r="D459" s="563"/>
      <c r="E459" s="563"/>
      <c r="F459" s="563"/>
      <c r="G459" s="563"/>
      <c r="H459" s="523">
        <f t="shared" si="516"/>
        <v>80</v>
      </c>
      <c r="I459" s="523">
        <f t="shared" si="517"/>
        <v>0</v>
      </c>
      <c r="J459" s="523"/>
      <c r="K459" s="523"/>
      <c r="L459" s="523">
        <f t="shared" si="518"/>
        <v>80</v>
      </c>
      <c r="M459" s="563"/>
      <c r="N459" s="563">
        <v>80</v>
      </c>
      <c r="O459" s="523">
        <f t="shared" si="498"/>
        <v>80</v>
      </c>
      <c r="P459" s="543">
        <f t="shared" si="474"/>
        <v>0</v>
      </c>
      <c r="Q459" s="543">
        <f t="shared" si="475"/>
        <v>80</v>
      </c>
      <c r="R459" s="523">
        <f t="shared" si="499"/>
        <v>0</v>
      </c>
      <c r="S459" s="523"/>
      <c r="T459" s="523"/>
      <c r="U459" s="523">
        <f t="shared" si="500"/>
        <v>80</v>
      </c>
      <c r="V459" s="563"/>
      <c r="W459" s="563">
        <v>80</v>
      </c>
      <c r="X459" s="563"/>
      <c r="Y459" s="563"/>
      <c r="Z459" s="563"/>
      <c r="AA459" s="563"/>
      <c r="AB459" s="563"/>
      <c r="AC459" s="563"/>
      <c r="AD459" s="563"/>
      <c r="AE459" s="523"/>
      <c r="AF459" s="523"/>
      <c r="AG459" s="523"/>
      <c r="AH459" s="523"/>
      <c r="AI459" s="563"/>
      <c r="AJ459" s="563"/>
      <c r="AK459" s="523">
        <f t="shared" si="513"/>
        <v>0</v>
      </c>
      <c r="AL459" s="523">
        <f t="shared" si="514"/>
        <v>0</v>
      </c>
      <c r="AM459" s="523">
        <f t="shared" si="514"/>
        <v>0</v>
      </c>
      <c r="AN459" s="523">
        <f t="shared" si="515"/>
        <v>0</v>
      </c>
      <c r="AO459" s="523">
        <f t="shared" si="515"/>
        <v>0</v>
      </c>
      <c r="AP459" s="523"/>
      <c r="AQ459" s="524"/>
      <c r="AR459" s="524"/>
    </row>
    <row r="460" spans="1:44" s="83" customFormat="1" hidden="1" outlineLevel="1">
      <c r="A460" s="526"/>
      <c r="B460" s="566" t="s">
        <v>198</v>
      </c>
      <c r="C460" s="528"/>
      <c r="D460" s="563"/>
      <c r="E460" s="563"/>
      <c r="F460" s="563"/>
      <c r="G460" s="563"/>
      <c r="H460" s="523">
        <f t="shared" si="516"/>
        <v>80</v>
      </c>
      <c r="I460" s="523">
        <f t="shared" si="517"/>
        <v>0</v>
      </c>
      <c r="J460" s="523"/>
      <c r="K460" s="523"/>
      <c r="L460" s="523">
        <f t="shared" si="518"/>
        <v>80</v>
      </c>
      <c r="M460" s="563"/>
      <c r="N460" s="563">
        <v>80</v>
      </c>
      <c r="O460" s="523">
        <f t="shared" si="498"/>
        <v>80</v>
      </c>
      <c r="P460" s="543">
        <f t="shared" si="474"/>
        <v>0</v>
      </c>
      <c r="Q460" s="543">
        <f t="shared" si="475"/>
        <v>80</v>
      </c>
      <c r="R460" s="523">
        <f t="shared" si="499"/>
        <v>0</v>
      </c>
      <c r="S460" s="523"/>
      <c r="T460" s="523"/>
      <c r="U460" s="523">
        <f t="shared" si="500"/>
        <v>80</v>
      </c>
      <c r="V460" s="563"/>
      <c r="W460" s="563">
        <v>80</v>
      </c>
      <c r="X460" s="563"/>
      <c r="Y460" s="563"/>
      <c r="Z460" s="563"/>
      <c r="AA460" s="563"/>
      <c r="AB460" s="563"/>
      <c r="AC460" s="563"/>
      <c r="AD460" s="563"/>
      <c r="AE460" s="523"/>
      <c r="AF460" s="523"/>
      <c r="AG460" s="523"/>
      <c r="AH460" s="523"/>
      <c r="AI460" s="563"/>
      <c r="AJ460" s="563"/>
      <c r="AK460" s="523">
        <f t="shared" si="513"/>
        <v>0</v>
      </c>
      <c r="AL460" s="523">
        <f t="shared" si="514"/>
        <v>0</v>
      </c>
      <c r="AM460" s="523">
        <f t="shared" si="514"/>
        <v>0</v>
      </c>
      <c r="AN460" s="523">
        <f t="shared" si="515"/>
        <v>0</v>
      </c>
      <c r="AO460" s="523">
        <f t="shared" si="515"/>
        <v>0</v>
      </c>
      <c r="AP460" s="523"/>
      <c r="AQ460" s="524"/>
      <c r="AR460" s="524"/>
    </row>
    <row r="461" spans="1:44" s="83" customFormat="1" hidden="1" outlineLevel="1">
      <c r="A461" s="526"/>
      <c r="B461" s="566" t="s">
        <v>194</v>
      </c>
      <c r="C461" s="528"/>
      <c r="D461" s="563"/>
      <c r="E461" s="563"/>
      <c r="F461" s="563"/>
      <c r="G461" s="563"/>
      <c r="H461" s="523">
        <f t="shared" si="516"/>
        <v>80</v>
      </c>
      <c r="I461" s="523">
        <f t="shared" si="517"/>
        <v>0</v>
      </c>
      <c r="J461" s="523"/>
      <c r="K461" s="523"/>
      <c r="L461" s="523">
        <f t="shared" si="518"/>
        <v>80</v>
      </c>
      <c r="M461" s="563"/>
      <c r="N461" s="563">
        <v>80</v>
      </c>
      <c r="O461" s="523">
        <f t="shared" si="498"/>
        <v>80</v>
      </c>
      <c r="P461" s="543">
        <f t="shared" si="474"/>
        <v>0</v>
      </c>
      <c r="Q461" s="543">
        <f t="shared" si="475"/>
        <v>80</v>
      </c>
      <c r="R461" s="523">
        <f t="shared" si="499"/>
        <v>0</v>
      </c>
      <c r="S461" s="523"/>
      <c r="T461" s="523"/>
      <c r="U461" s="523">
        <f t="shared" si="500"/>
        <v>80</v>
      </c>
      <c r="V461" s="563"/>
      <c r="W461" s="563">
        <v>80</v>
      </c>
      <c r="X461" s="563"/>
      <c r="Y461" s="563"/>
      <c r="Z461" s="563"/>
      <c r="AA461" s="563"/>
      <c r="AB461" s="563"/>
      <c r="AC461" s="563"/>
      <c r="AD461" s="563"/>
      <c r="AE461" s="523"/>
      <c r="AF461" s="523"/>
      <c r="AG461" s="523"/>
      <c r="AH461" s="523"/>
      <c r="AI461" s="563"/>
      <c r="AJ461" s="563"/>
      <c r="AK461" s="523">
        <f t="shared" si="513"/>
        <v>0</v>
      </c>
      <c r="AL461" s="523">
        <f t="shared" si="514"/>
        <v>0</v>
      </c>
      <c r="AM461" s="523">
        <f t="shared" si="514"/>
        <v>0</v>
      </c>
      <c r="AN461" s="523">
        <f t="shared" si="515"/>
        <v>0</v>
      </c>
      <c r="AO461" s="523">
        <f t="shared" si="515"/>
        <v>0</v>
      </c>
      <c r="AP461" s="523"/>
      <c r="AQ461" s="524"/>
      <c r="AR461" s="524"/>
    </row>
    <row r="462" spans="1:44" s="83" customFormat="1" hidden="1" outlineLevel="1">
      <c r="A462" s="526"/>
      <c r="B462" s="566" t="s">
        <v>388</v>
      </c>
      <c r="C462" s="528"/>
      <c r="D462" s="563"/>
      <c r="E462" s="563"/>
      <c r="F462" s="563"/>
      <c r="G462" s="563"/>
      <c r="H462" s="523">
        <f t="shared" si="516"/>
        <v>80</v>
      </c>
      <c r="I462" s="523">
        <f t="shared" si="517"/>
        <v>0</v>
      </c>
      <c r="J462" s="523"/>
      <c r="K462" s="523"/>
      <c r="L462" s="523">
        <f t="shared" si="518"/>
        <v>80</v>
      </c>
      <c r="M462" s="563"/>
      <c r="N462" s="563">
        <v>80</v>
      </c>
      <c r="O462" s="523">
        <f t="shared" si="498"/>
        <v>80</v>
      </c>
      <c r="P462" s="543">
        <f t="shared" si="474"/>
        <v>0</v>
      </c>
      <c r="Q462" s="543">
        <f t="shared" si="475"/>
        <v>80</v>
      </c>
      <c r="R462" s="523">
        <f t="shared" si="499"/>
        <v>0</v>
      </c>
      <c r="S462" s="523"/>
      <c r="T462" s="523"/>
      <c r="U462" s="523">
        <f t="shared" si="500"/>
        <v>80</v>
      </c>
      <c r="V462" s="563"/>
      <c r="W462" s="563">
        <v>80</v>
      </c>
      <c r="X462" s="563"/>
      <c r="Y462" s="563"/>
      <c r="Z462" s="563"/>
      <c r="AA462" s="563"/>
      <c r="AB462" s="563"/>
      <c r="AC462" s="563"/>
      <c r="AD462" s="563"/>
      <c r="AE462" s="523"/>
      <c r="AF462" s="523"/>
      <c r="AG462" s="523"/>
      <c r="AH462" s="523"/>
      <c r="AI462" s="563"/>
      <c r="AJ462" s="563"/>
      <c r="AK462" s="523">
        <f t="shared" si="513"/>
        <v>0</v>
      </c>
      <c r="AL462" s="523">
        <f t="shared" si="514"/>
        <v>0</v>
      </c>
      <c r="AM462" s="523">
        <f t="shared" si="514"/>
        <v>0</v>
      </c>
      <c r="AN462" s="523">
        <f t="shared" si="515"/>
        <v>0</v>
      </c>
      <c r="AO462" s="523">
        <f t="shared" si="515"/>
        <v>0</v>
      </c>
      <c r="AP462" s="523"/>
      <c r="AQ462" s="524"/>
      <c r="AR462" s="524"/>
    </row>
    <row r="463" spans="1:44" s="83" customFormat="1" hidden="1" outlineLevel="1">
      <c r="A463" s="526"/>
      <c r="B463" s="566" t="s">
        <v>2213</v>
      </c>
      <c r="C463" s="528"/>
      <c r="D463" s="563"/>
      <c r="E463" s="563"/>
      <c r="F463" s="563"/>
      <c r="G463" s="563"/>
      <c r="H463" s="523">
        <f t="shared" si="516"/>
        <v>80</v>
      </c>
      <c r="I463" s="523">
        <f t="shared" si="517"/>
        <v>0</v>
      </c>
      <c r="J463" s="523"/>
      <c r="K463" s="523"/>
      <c r="L463" s="523">
        <f t="shared" si="518"/>
        <v>80</v>
      </c>
      <c r="M463" s="563"/>
      <c r="N463" s="563">
        <v>80</v>
      </c>
      <c r="O463" s="523">
        <f t="shared" si="498"/>
        <v>0</v>
      </c>
      <c r="P463" s="543">
        <f t="shared" ref="P463:P526" si="519">S463+V463</f>
        <v>0</v>
      </c>
      <c r="Q463" s="543">
        <f t="shared" ref="Q463:Q526" si="520">T463+W463</f>
        <v>0</v>
      </c>
      <c r="R463" s="523">
        <f t="shared" si="499"/>
        <v>0</v>
      </c>
      <c r="S463" s="523"/>
      <c r="T463" s="523"/>
      <c r="U463" s="523">
        <f t="shared" si="500"/>
        <v>0</v>
      </c>
      <c r="V463" s="563"/>
      <c r="W463" s="563"/>
      <c r="X463" s="563"/>
      <c r="Y463" s="563"/>
      <c r="Z463" s="563"/>
      <c r="AA463" s="563"/>
      <c r="AB463" s="563"/>
      <c r="AC463" s="563"/>
      <c r="AD463" s="563"/>
      <c r="AE463" s="523"/>
      <c r="AF463" s="523"/>
      <c r="AG463" s="523"/>
      <c r="AH463" s="523"/>
      <c r="AI463" s="563"/>
      <c r="AJ463" s="563"/>
      <c r="AK463" s="523">
        <f t="shared" si="513"/>
        <v>80</v>
      </c>
      <c r="AL463" s="523">
        <f t="shared" si="514"/>
        <v>0</v>
      </c>
      <c r="AM463" s="523">
        <f t="shared" si="514"/>
        <v>0</v>
      </c>
      <c r="AN463" s="523">
        <f t="shared" si="515"/>
        <v>0</v>
      </c>
      <c r="AO463" s="523">
        <f t="shared" si="515"/>
        <v>80</v>
      </c>
      <c r="AP463" s="523"/>
      <c r="AQ463" s="524"/>
      <c r="AR463" s="524"/>
    </row>
    <row r="464" spans="1:44" s="83" customFormat="1" hidden="1" outlineLevel="1">
      <c r="A464" s="526"/>
      <c r="B464" s="566" t="s">
        <v>196</v>
      </c>
      <c r="C464" s="528"/>
      <c r="D464" s="563"/>
      <c r="E464" s="563"/>
      <c r="F464" s="563"/>
      <c r="G464" s="563"/>
      <c r="H464" s="523">
        <f t="shared" si="516"/>
        <v>80</v>
      </c>
      <c r="I464" s="523">
        <f t="shared" si="517"/>
        <v>0</v>
      </c>
      <c r="J464" s="523"/>
      <c r="K464" s="523"/>
      <c r="L464" s="523">
        <f t="shared" si="518"/>
        <v>80</v>
      </c>
      <c r="M464" s="563"/>
      <c r="N464" s="563">
        <v>80</v>
      </c>
      <c r="O464" s="523">
        <f t="shared" si="498"/>
        <v>80</v>
      </c>
      <c r="P464" s="543">
        <f t="shared" si="519"/>
        <v>0</v>
      </c>
      <c r="Q464" s="543">
        <f t="shared" si="520"/>
        <v>80</v>
      </c>
      <c r="R464" s="523">
        <f t="shared" si="499"/>
        <v>0</v>
      </c>
      <c r="S464" s="523"/>
      <c r="T464" s="523"/>
      <c r="U464" s="523">
        <f t="shared" si="500"/>
        <v>80</v>
      </c>
      <c r="V464" s="563"/>
      <c r="W464" s="563">
        <v>80</v>
      </c>
      <c r="X464" s="563"/>
      <c r="Y464" s="563"/>
      <c r="Z464" s="563"/>
      <c r="AA464" s="563"/>
      <c r="AB464" s="563"/>
      <c r="AC464" s="563"/>
      <c r="AD464" s="563"/>
      <c r="AE464" s="523"/>
      <c r="AF464" s="523"/>
      <c r="AG464" s="523"/>
      <c r="AH464" s="523"/>
      <c r="AI464" s="563"/>
      <c r="AJ464" s="563"/>
      <c r="AK464" s="523">
        <f t="shared" si="513"/>
        <v>0</v>
      </c>
      <c r="AL464" s="523">
        <f t="shared" si="514"/>
        <v>0</v>
      </c>
      <c r="AM464" s="523">
        <f t="shared" si="514"/>
        <v>0</v>
      </c>
      <c r="AN464" s="523">
        <f t="shared" si="515"/>
        <v>0</v>
      </c>
      <c r="AO464" s="523">
        <f t="shared" si="515"/>
        <v>0</v>
      </c>
      <c r="AP464" s="523"/>
      <c r="AQ464" s="524"/>
      <c r="AR464" s="524"/>
    </row>
    <row r="465" spans="1:44" s="83" customFormat="1" hidden="1" outlineLevel="1">
      <c r="A465" s="526"/>
      <c r="B465" s="566" t="s">
        <v>193</v>
      </c>
      <c r="C465" s="528"/>
      <c r="D465" s="563"/>
      <c r="E465" s="563"/>
      <c r="F465" s="563"/>
      <c r="G465" s="563"/>
      <c r="H465" s="523">
        <f t="shared" si="516"/>
        <v>80</v>
      </c>
      <c r="I465" s="523">
        <f t="shared" si="517"/>
        <v>0</v>
      </c>
      <c r="J465" s="523"/>
      <c r="K465" s="523"/>
      <c r="L465" s="523">
        <f t="shared" si="518"/>
        <v>80</v>
      </c>
      <c r="M465" s="563"/>
      <c r="N465" s="563">
        <v>80</v>
      </c>
      <c r="O465" s="523">
        <f t="shared" si="498"/>
        <v>80</v>
      </c>
      <c r="P465" s="543">
        <f t="shared" si="519"/>
        <v>0</v>
      </c>
      <c r="Q465" s="543">
        <f t="shared" si="520"/>
        <v>80</v>
      </c>
      <c r="R465" s="523">
        <f t="shared" si="499"/>
        <v>0</v>
      </c>
      <c r="S465" s="523"/>
      <c r="T465" s="523"/>
      <c r="U465" s="523">
        <f t="shared" si="500"/>
        <v>80</v>
      </c>
      <c r="V465" s="563"/>
      <c r="W465" s="563">
        <v>80</v>
      </c>
      <c r="X465" s="563"/>
      <c r="Y465" s="563"/>
      <c r="Z465" s="563"/>
      <c r="AA465" s="563"/>
      <c r="AB465" s="563"/>
      <c r="AC465" s="563"/>
      <c r="AD465" s="563"/>
      <c r="AE465" s="523"/>
      <c r="AF465" s="523"/>
      <c r="AG465" s="523"/>
      <c r="AH465" s="523"/>
      <c r="AI465" s="563"/>
      <c r="AJ465" s="563"/>
      <c r="AK465" s="523">
        <f t="shared" si="513"/>
        <v>0</v>
      </c>
      <c r="AL465" s="523">
        <f t="shared" si="514"/>
        <v>0</v>
      </c>
      <c r="AM465" s="523">
        <f t="shared" si="514"/>
        <v>0</v>
      </c>
      <c r="AN465" s="523">
        <f t="shared" si="515"/>
        <v>0</v>
      </c>
      <c r="AO465" s="523">
        <f t="shared" si="515"/>
        <v>0</v>
      </c>
      <c r="AP465" s="523"/>
      <c r="AQ465" s="524"/>
      <c r="AR465" s="524"/>
    </row>
    <row r="466" spans="1:44" s="83" customFormat="1" hidden="1" outlineLevel="1">
      <c r="A466" s="526"/>
      <c r="B466" s="566" t="s">
        <v>192</v>
      </c>
      <c r="C466" s="528"/>
      <c r="D466" s="563"/>
      <c r="E466" s="563"/>
      <c r="F466" s="563"/>
      <c r="G466" s="563"/>
      <c r="H466" s="523">
        <f t="shared" si="516"/>
        <v>80</v>
      </c>
      <c r="I466" s="523">
        <f t="shared" si="517"/>
        <v>0</v>
      </c>
      <c r="J466" s="523"/>
      <c r="K466" s="523"/>
      <c r="L466" s="523">
        <f t="shared" si="518"/>
        <v>80</v>
      </c>
      <c r="M466" s="563"/>
      <c r="N466" s="563">
        <v>80</v>
      </c>
      <c r="O466" s="523">
        <f t="shared" si="498"/>
        <v>80</v>
      </c>
      <c r="P466" s="543">
        <f t="shared" si="519"/>
        <v>0</v>
      </c>
      <c r="Q466" s="543">
        <f t="shared" si="520"/>
        <v>80</v>
      </c>
      <c r="R466" s="523">
        <f t="shared" si="499"/>
        <v>0</v>
      </c>
      <c r="S466" s="523"/>
      <c r="T466" s="523"/>
      <c r="U466" s="523">
        <f t="shared" si="500"/>
        <v>80</v>
      </c>
      <c r="V466" s="563"/>
      <c r="W466" s="563">
        <v>80</v>
      </c>
      <c r="X466" s="563"/>
      <c r="Y466" s="563"/>
      <c r="Z466" s="563"/>
      <c r="AA466" s="563"/>
      <c r="AB466" s="563"/>
      <c r="AC466" s="563"/>
      <c r="AD466" s="563"/>
      <c r="AE466" s="523"/>
      <c r="AF466" s="523"/>
      <c r="AG466" s="523"/>
      <c r="AH466" s="523"/>
      <c r="AI466" s="563"/>
      <c r="AJ466" s="563"/>
      <c r="AK466" s="523">
        <f t="shared" si="513"/>
        <v>0</v>
      </c>
      <c r="AL466" s="523">
        <f t="shared" si="514"/>
        <v>0</v>
      </c>
      <c r="AM466" s="523">
        <f t="shared" si="514"/>
        <v>0</v>
      </c>
      <c r="AN466" s="523">
        <f t="shared" si="515"/>
        <v>0</v>
      </c>
      <c r="AO466" s="523">
        <f t="shared" si="515"/>
        <v>0</v>
      </c>
      <c r="AP466" s="523"/>
      <c r="AQ466" s="524"/>
      <c r="AR466" s="524"/>
    </row>
    <row r="467" spans="1:44" s="83" customFormat="1" ht="31.2" hidden="1" outlineLevel="1">
      <c r="A467" s="521">
        <v>20</v>
      </c>
      <c r="B467" s="522" t="s">
        <v>512</v>
      </c>
      <c r="C467" s="528">
        <f t="shared" ref="C467:C489" si="521">SUM(D467:G467)</f>
        <v>2632</v>
      </c>
      <c r="D467" s="523">
        <v>0</v>
      </c>
      <c r="E467" s="523">
        <v>2465</v>
      </c>
      <c r="F467" s="523">
        <v>0</v>
      </c>
      <c r="G467" s="523">
        <v>167</v>
      </c>
      <c r="H467" s="523">
        <f t="shared" ref="H467:AO467" si="522">SUM(H468:H479)</f>
        <v>2455</v>
      </c>
      <c r="I467" s="523">
        <f t="shared" si="522"/>
        <v>2230</v>
      </c>
      <c r="J467" s="523">
        <f t="shared" si="522"/>
        <v>0</v>
      </c>
      <c r="K467" s="523">
        <f t="shared" si="522"/>
        <v>2230</v>
      </c>
      <c r="L467" s="523">
        <f t="shared" si="522"/>
        <v>225</v>
      </c>
      <c r="M467" s="523">
        <f t="shared" si="522"/>
        <v>0</v>
      </c>
      <c r="N467" s="523">
        <f t="shared" si="522"/>
        <v>225</v>
      </c>
      <c r="O467" s="523">
        <f t="shared" si="522"/>
        <v>4646.1629999999996</v>
      </c>
      <c r="P467" s="543">
        <f t="shared" si="519"/>
        <v>0</v>
      </c>
      <c r="Q467" s="543">
        <f t="shared" si="520"/>
        <v>4646.1629999999996</v>
      </c>
      <c r="R467" s="523">
        <f t="shared" si="522"/>
        <v>4400.7629999999999</v>
      </c>
      <c r="S467" s="523">
        <f t="shared" si="522"/>
        <v>0</v>
      </c>
      <c r="T467" s="523">
        <f t="shared" si="522"/>
        <v>4400.7629999999999</v>
      </c>
      <c r="U467" s="523">
        <f t="shared" si="522"/>
        <v>245.4</v>
      </c>
      <c r="V467" s="523">
        <f t="shared" si="522"/>
        <v>0</v>
      </c>
      <c r="W467" s="523">
        <f t="shared" si="522"/>
        <v>245.4</v>
      </c>
      <c r="X467" s="523">
        <f t="shared" si="522"/>
        <v>294.23700000000002</v>
      </c>
      <c r="Y467" s="523">
        <f t="shared" si="522"/>
        <v>294.23700000000002</v>
      </c>
      <c r="Z467" s="523">
        <f t="shared" si="522"/>
        <v>0</v>
      </c>
      <c r="AA467" s="523">
        <f t="shared" si="522"/>
        <v>294.23700000000002</v>
      </c>
      <c r="AB467" s="523">
        <f t="shared" si="522"/>
        <v>0</v>
      </c>
      <c r="AC467" s="523">
        <f t="shared" si="522"/>
        <v>0</v>
      </c>
      <c r="AD467" s="523">
        <f t="shared" si="522"/>
        <v>0</v>
      </c>
      <c r="AE467" s="523">
        <f t="shared" si="522"/>
        <v>0</v>
      </c>
      <c r="AF467" s="523">
        <f t="shared" si="522"/>
        <v>0</v>
      </c>
      <c r="AG467" s="523">
        <f t="shared" si="522"/>
        <v>0</v>
      </c>
      <c r="AH467" s="523">
        <f t="shared" si="522"/>
        <v>0</v>
      </c>
      <c r="AI467" s="523">
        <f t="shared" si="522"/>
        <v>0</v>
      </c>
      <c r="AJ467" s="523">
        <f t="shared" si="522"/>
        <v>0</v>
      </c>
      <c r="AK467" s="523">
        <f t="shared" si="522"/>
        <v>146.6</v>
      </c>
      <c r="AL467" s="523">
        <f t="shared" si="522"/>
        <v>0</v>
      </c>
      <c r="AM467" s="523">
        <f t="shared" si="522"/>
        <v>0</v>
      </c>
      <c r="AN467" s="523">
        <f t="shared" si="522"/>
        <v>0</v>
      </c>
      <c r="AO467" s="523">
        <f t="shared" si="522"/>
        <v>146.6</v>
      </c>
      <c r="AP467" s="523"/>
      <c r="AQ467" s="524"/>
      <c r="AR467" s="524"/>
    </row>
    <row r="468" spans="1:44" s="83" customFormat="1" hidden="1" outlineLevel="1">
      <c r="A468" s="521"/>
      <c r="B468" s="522" t="s">
        <v>2214</v>
      </c>
      <c r="C468" s="528">
        <f t="shared" si="521"/>
        <v>465</v>
      </c>
      <c r="D468" s="523">
        <v>0</v>
      </c>
      <c r="E468" s="523">
        <v>465</v>
      </c>
      <c r="F468" s="523">
        <v>0</v>
      </c>
      <c r="G468" s="523">
        <v>0</v>
      </c>
      <c r="H468" s="523">
        <f t="shared" ref="H468:H479" si="523">I468+L468</f>
        <v>230</v>
      </c>
      <c r="I468" s="523">
        <f t="shared" ref="I468:I479" si="524">J468+K468</f>
        <v>230</v>
      </c>
      <c r="J468" s="523"/>
      <c r="K468" s="523">
        <f>50+120+60</f>
        <v>230</v>
      </c>
      <c r="L468" s="523">
        <f>M468+N468</f>
        <v>0</v>
      </c>
      <c r="M468" s="523"/>
      <c r="N468" s="523"/>
      <c r="O468" s="523">
        <f t="shared" si="498"/>
        <v>400.76299999999998</v>
      </c>
      <c r="P468" s="543">
        <f t="shared" si="519"/>
        <v>0</v>
      </c>
      <c r="Q468" s="543">
        <f t="shared" si="520"/>
        <v>400.76299999999998</v>
      </c>
      <c r="R468" s="523">
        <f t="shared" si="499"/>
        <v>400.76299999999998</v>
      </c>
      <c r="S468" s="523"/>
      <c r="T468" s="523">
        <v>400.76299999999998</v>
      </c>
      <c r="U468" s="523">
        <f t="shared" si="500"/>
        <v>0</v>
      </c>
      <c r="V468" s="523"/>
      <c r="W468" s="523"/>
      <c r="X468" s="523">
        <f t="shared" ref="X468:X479" si="525">Y468+AB468+AE468+AH468</f>
        <v>294.23700000000002</v>
      </c>
      <c r="Y468" s="523">
        <f t="shared" ref="Y468:Y479" si="526">Z468+AA468</f>
        <v>294.23700000000002</v>
      </c>
      <c r="Z468" s="523"/>
      <c r="AA468" s="523">
        <v>294.23700000000002</v>
      </c>
      <c r="AB468" s="523">
        <f t="shared" ref="AB468:AB479" si="527">AC468+AD468</f>
        <v>0</v>
      </c>
      <c r="AC468" s="523"/>
      <c r="AD468" s="523"/>
      <c r="AE468" s="523">
        <f>AF468+AG468</f>
        <v>0</v>
      </c>
      <c r="AF468" s="523"/>
      <c r="AG468" s="523"/>
      <c r="AH468" s="523">
        <f>AI468+AJ468</f>
        <v>0</v>
      </c>
      <c r="AI468" s="523"/>
      <c r="AJ468" s="523"/>
      <c r="AK468" s="523">
        <f t="shared" ref="AK468:AK479" si="528">SUM(AL468:AO468)</f>
        <v>0</v>
      </c>
      <c r="AL468" s="523">
        <f t="shared" ref="AL468:AM479" si="529">D468+J468-S468-Z468-AF468</f>
        <v>0</v>
      </c>
      <c r="AM468" s="523">
        <f t="shared" si="529"/>
        <v>0</v>
      </c>
      <c r="AN468" s="523">
        <f t="shared" ref="AN468:AO479" si="530">F468+M468-V468-AC468-AI468</f>
        <v>0</v>
      </c>
      <c r="AO468" s="523">
        <f t="shared" si="530"/>
        <v>0</v>
      </c>
      <c r="AP468" s="523"/>
      <c r="AQ468" s="524"/>
      <c r="AR468" s="524"/>
    </row>
    <row r="469" spans="1:44" s="83" customFormat="1" ht="31.2" hidden="1" outlineLevel="1">
      <c r="A469" s="521"/>
      <c r="B469" s="522" t="s">
        <v>2215</v>
      </c>
      <c r="C469" s="528">
        <f t="shared" si="521"/>
        <v>2000</v>
      </c>
      <c r="D469" s="523">
        <v>0</v>
      </c>
      <c r="E469" s="523">
        <v>2000</v>
      </c>
      <c r="F469" s="523">
        <v>0</v>
      </c>
      <c r="G469" s="523">
        <v>0</v>
      </c>
      <c r="H469" s="523">
        <f t="shared" si="523"/>
        <v>2000</v>
      </c>
      <c r="I469" s="523">
        <f t="shared" si="524"/>
        <v>2000</v>
      </c>
      <c r="J469" s="523"/>
      <c r="K469" s="523">
        <v>2000</v>
      </c>
      <c r="L469" s="523">
        <f>M469+N469</f>
        <v>0</v>
      </c>
      <c r="M469" s="523"/>
      <c r="N469" s="523"/>
      <c r="O469" s="523">
        <f t="shared" si="498"/>
        <v>4000</v>
      </c>
      <c r="P469" s="543">
        <f t="shared" si="519"/>
        <v>0</v>
      </c>
      <c r="Q469" s="543">
        <f t="shared" si="520"/>
        <v>4000</v>
      </c>
      <c r="R469" s="523">
        <f t="shared" si="499"/>
        <v>4000</v>
      </c>
      <c r="S469" s="523"/>
      <c r="T469" s="523">
        <v>4000</v>
      </c>
      <c r="U469" s="523">
        <f t="shared" si="500"/>
        <v>0</v>
      </c>
      <c r="V469" s="523"/>
      <c r="W469" s="523"/>
      <c r="X469" s="523">
        <f t="shared" si="525"/>
        <v>0</v>
      </c>
      <c r="Y469" s="523">
        <f t="shared" si="526"/>
        <v>0</v>
      </c>
      <c r="Z469" s="523"/>
      <c r="AA469" s="523"/>
      <c r="AB469" s="523">
        <f t="shared" si="527"/>
        <v>0</v>
      </c>
      <c r="AC469" s="523"/>
      <c r="AD469" s="523"/>
      <c r="AE469" s="523"/>
      <c r="AF469" s="523"/>
      <c r="AG469" s="523"/>
      <c r="AH469" s="523"/>
      <c r="AI469" s="523"/>
      <c r="AJ469" s="523"/>
      <c r="AK469" s="523">
        <f t="shared" si="528"/>
        <v>0</v>
      </c>
      <c r="AL469" s="523">
        <f t="shared" si="529"/>
        <v>0</v>
      </c>
      <c r="AM469" s="523">
        <f t="shared" si="529"/>
        <v>0</v>
      </c>
      <c r="AN469" s="523">
        <f t="shared" si="530"/>
        <v>0</v>
      </c>
      <c r="AO469" s="523">
        <f t="shared" si="530"/>
        <v>0</v>
      </c>
      <c r="AP469" s="523"/>
      <c r="AQ469" s="524"/>
      <c r="AR469" s="524"/>
    </row>
    <row r="470" spans="1:44" s="83" customFormat="1" hidden="1" outlineLevel="1">
      <c r="A470" s="521"/>
      <c r="B470" s="522" t="s">
        <v>188</v>
      </c>
      <c r="C470" s="528">
        <f t="shared" si="521"/>
        <v>55</v>
      </c>
      <c r="D470" s="523">
        <v>0</v>
      </c>
      <c r="E470" s="523">
        <v>0</v>
      </c>
      <c r="F470" s="523">
        <v>0</v>
      </c>
      <c r="G470" s="523">
        <v>55</v>
      </c>
      <c r="H470" s="523">
        <f t="shared" si="523"/>
        <v>50</v>
      </c>
      <c r="I470" s="523">
        <f t="shared" si="524"/>
        <v>0</v>
      </c>
      <c r="J470" s="523"/>
      <c r="K470" s="523"/>
      <c r="L470" s="523">
        <f>M470+N470</f>
        <v>50</v>
      </c>
      <c r="M470" s="523"/>
      <c r="N470" s="523">
        <v>50</v>
      </c>
      <c r="O470" s="523">
        <f t="shared" si="498"/>
        <v>45</v>
      </c>
      <c r="P470" s="543">
        <f t="shared" si="519"/>
        <v>0</v>
      </c>
      <c r="Q470" s="543">
        <f t="shared" si="520"/>
        <v>45</v>
      </c>
      <c r="R470" s="523">
        <f t="shared" si="499"/>
        <v>0</v>
      </c>
      <c r="S470" s="523"/>
      <c r="T470" s="523"/>
      <c r="U470" s="523">
        <f t="shared" si="500"/>
        <v>45</v>
      </c>
      <c r="V470" s="523"/>
      <c r="W470" s="523">
        <v>45</v>
      </c>
      <c r="X470" s="523">
        <f t="shared" si="525"/>
        <v>0</v>
      </c>
      <c r="Y470" s="523">
        <f t="shared" si="526"/>
        <v>0</v>
      </c>
      <c r="Z470" s="523"/>
      <c r="AA470" s="523"/>
      <c r="AB470" s="523">
        <f t="shared" si="527"/>
        <v>0</v>
      </c>
      <c r="AC470" s="523"/>
      <c r="AD470" s="523"/>
      <c r="AE470" s="523"/>
      <c r="AF470" s="523"/>
      <c r="AG470" s="523"/>
      <c r="AH470" s="523"/>
      <c r="AI470" s="523"/>
      <c r="AJ470" s="523"/>
      <c r="AK470" s="523">
        <f t="shared" si="528"/>
        <v>60</v>
      </c>
      <c r="AL470" s="523">
        <f t="shared" si="529"/>
        <v>0</v>
      </c>
      <c r="AM470" s="523">
        <f t="shared" si="529"/>
        <v>0</v>
      </c>
      <c r="AN470" s="523">
        <f t="shared" si="530"/>
        <v>0</v>
      </c>
      <c r="AO470" s="523">
        <f t="shared" si="530"/>
        <v>60</v>
      </c>
      <c r="AP470" s="523"/>
      <c r="AQ470" s="524"/>
      <c r="AR470" s="524"/>
    </row>
    <row r="471" spans="1:44" s="83" customFormat="1" hidden="1" outlineLevel="1">
      <c r="A471" s="521"/>
      <c r="B471" s="522" t="s">
        <v>200</v>
      </c>
      <c r="C471" s="528">
        <f t="shared" si="521"/>
        <v>16</v>
      </c>
      <c r="D471" s="523">
        <v>0</v>
      </c>
      <c r="E471" s="523">
        <v>0</v>
      </c>
      <c r="F471" s="523">
        <v>0</v>
      </c>
      <c r="G471" s="523">
        <v>16</v>
      </c>
      <c r="H471" s="523">
        <f t="shared" si="523"/>
        <v>30</v>
      </c>
      <c r="I471" s="523">
        <f t="shared" si="524"/>
        <v>0</v>
      </c>
      <c r="J471" s="523"/>
      <c r="K471" s="523"/>
      <c r="L471" s="523">
        <f t="shared" ref="L471:L479" si="531">M471+N471</f>
        <v>30</v>
      </c>
      <c r="M471" s="523"/>
      <c r="N471" s="523">
        <v>30</v>
      </c>
      <c r="O471" s="523">
        <f t="shared" si="498"/>
        <v>46</v>
      </c>
      <c r="P471" s="543">
        <f t="shared" si="519"/>
        <v>0</v>
      </c>
      <c r="Q471" s="543">
        <f t="shared" si="520"/>
        <v>46</v>
      </c>
      <c r="R471" s="523">
        <f t="shared" si="499"/>
        <v>0</v>
      </c>
      <c r="S471" s="523"/>
      <c r="T471" s="523"/>
      <c r="U471" s="523">
        <f t="shared" si="500"/>
        <v>46</v>
      </c>
      <c r="V471" s="523"/>
      <c r="W471" s="523">
        <f>L471+G471</f>
        <v>46</v>
      </c>
      <c r="X471" s="523">
        <f t="shared" si="525"/>
        <v>0</v>
      </c>
      <c r="Y471" s="523">
        <f t="shared" si="526"/>
        <v>0</v>
      </c>
      <c r="Z471" s="523"/>
      <c r="AA471" s="523"/>
      <c r="AB471" s="523">
        <f t="shared" si="527"/>
        <v>0</v>
      </c>
      <c r="AC471" s="523"/>
      <c r="AD471" s="523"/>
      <c r="AE471" s="523">
        <f t="shared" ref="AE471:AE479" si="532">AF471+AG471</f>
        <v>0</v>
      </c>
      <c r="AF471" s="523"/>
      <c r="AG471" s="523"/>
      <c r="AH471" s="523">
        <f t="shared" ref="AH471:AH479" si="533">AI471+AJ471</f>
        <v>0</v>
      </c>
      <c r="AI471" s="523"/>
      <c r="AJ471" s="523"/>
      <c r="AK471" s="523">
        <f t="shared" si="528"/>
        <v>0</v>
      </c>
      <c r="AL471" s="523">
        <f t="shared" si="529"/>
        <v>0</v>
      </c>
      <c r="AM471" s="523">
        <f t="shared" si="529"/>
        <v>0</v>
      </c>
      <c r="AN471" s="523">
        <f t="shared" si="530"/>
        <v>0</v>
      </c>
      <c r="AO471" s="523">
        <f t="shared" si="530"/>
        <v>0</v>
      </c>
      <c r="AP471" s="523"/>
      <c r="AQ471" s="524"/>
      <c r="AR471" s="524"/>
    </row>
    <row r="472" spans="1:44" s="83" customFormat="1" hidden="1" outlineLevel="1">
      <c r="A472" s="521"/>
      <c r="B472" s="522" t="s">
        <v>197</v>
      </c>
      <c r="C472" s="528">
        <f t="shared" si="521"/>
        <v>10</v>
      </c>
      <c r="D472" s="523">
        <v>0</v>
      </c>
      <c r="E472" s="523">
        <v>0</v>
      </c>
      <c r="F472" s="523">
        <v>0</v>
      </c>
      <c r="G472" s="523">
        <v>10</v>
      </c>
      <c r="H472" s="523">
        <f t="shared" si="523"/>
        <v>20</v>
      </c>
      <c r="I472" s="523">
        <f t="shared" si="524"/>
        <v>0</v>
      </c>
      <c r="J472" s="523"/>
      <c r="K472" s="523"/>
      <c r="L472" s="523">
        <f t="shared" si="531"/>
        <v>20</v>
      </c>
      <c r="M472" s="523"/>
      <c r="N472" s="523">
        <v>20</v>
      </c>
      <c r="O472" s="523">
        <f t="shared" si="498"/>
        <v>20</v>
      </c>
      <c r="P472" s="543">
        <f t="shared" si="519"/>
        <v>0</v>
      </c>
      <c r="Q472" s="543">
        <f t="shared" si="520"/>
        <v>20</v>
      </c>
      <c r="R472" s="523">
        <f t="shared" si="499"/>
        <v>0</v>
      </c>
      <c r="S472" s="523"/>
      <c r="T472" s="523"/>
      <c r="U472" s="523">
        <f t="shared" si="500"/>
        <v>20</v>
      </c>
      <c r="V472" s="523"/>
      <c r="W472" s="523">
        <v>20</v>
      </c>
      <c r="X472" s="523">
        <f t="shared" si="525"/>
        <v>0</v>
      </c>
      <c r="Y472" s="523">
        <f t="shared" si="526"/>
        <v>0</v>
      </c>
      <c r="Z472" s="523"/>
      <c r="AA472" s="523"/>
      <c r="AB472" s="523">
        <f t="shared" si="527"/>
        <v>0</v>
      </c>
      <c r="AC472" s="523"/>
      <c r="AD472" s="523"/>
      <c r="AE472" s="523">
        <f t="shared" si="532"/>
        <v>0</v>
      </c>
      <c r="AF472" s="523"/>
      <c r="AG472" s="523"/>
      <c r="AH472" s="523">
        <f t="shared" si="533"/>
        <v>0</v>
      </c>
      <c r="AI472" s="523"/>
      <c r="AJ472" s="523"/>
      <c r="AK472" s="523">
        <f t="shared" si="528"/>
        <v>10</v>
      </c>
      <c r="AL472" s="523">
        <f t="shared" si="529"/>
        <v>0</v>
      </c>
      <c r="AM472" s="523">
        <f t="shared" si="529"/>
        <v>0</v>
      </c>
      <c r="AN472" s="523">
        <f t="shared" si="530"/>
        <v>0</v>
      </c>
      <c r="AO472" s="523">
        <f t="shared" si="530"/>
        <v>10</v>
      </c>
      <c r="AP472" s="523"/>
      <c r="AQ472" s="524"/>
      <c r="AR472" s="524"/>
    </row>
    <row r="473" spans="1:44" s="83" customFormat="1" hidden="1" outlineLevel="1">
      <c r="A473" s="521"/>
      <c r="B473" s="522" t="s">
        <v>198</v>
      </c>
      <c r="C473" s="528">
        <f t="shared" si="521"/>
        <v>15</v>
      </c>
      <c r="D473" s="523">
        <v>0</v>
      </c>
      <c r="E473" s="523">
        <v>0</v>
      </c>
      <c r="F473" s="523">
        <v>0</v>
      </c>
      <c r="G473" s="523">
        <v>15</v>
      </c>
      <c r="H473" s="523">
        <f t="shared" si="523"/>
        <v>25</v>
      </c>
      <c r="I473" s="523">
        <f t="shared" si="524"/>
        <v>0</v>
      </c>
      <c r="J473" s="523"/>
      <c r="K473" s="523"/>
      <c r="L473" s="523">
        <f t="shared" si="531"/>
        <v>25</v>
      </c>
      <c r="M473" s="523"/>
      <c r="N473" s="523">
        <v>25</v>
      </c>
      <c r="O473" s="523">
        <f t="shared" si="498"/>
        <v>10</v>
      </c>
      <c r="P473" s="543">
        <f t="shared" si="519"/>
        <v>0</v>
      </c>
      <c r="Q473" s="543">
        <f t="shared" si="520"/>
        <v>10</v>
      </c>
      <c r="R473" s="523">
        <f t="shared" si="499"/>
        <v>0</v>
      </c>
      <c r="S473" s="523"/>
      <c r="T473" s="523"/>
      <c r="U473" s="523">
        <f t="shared" si="500"/>
        <v>10</v>
      </c>
      <c r="V473" s="523"/>
      <c r="W473" s="523">
        <v>10</v>
      </c>
      <c r="X473" s="523">
        <f t="shared" si="525"/>
        <v>0</v>
      </c>
      <c r="Y473" s="523">
        <f t="shared" si="526"/>
        <v>0</v>
      </c>
      <c r="Z473" s="523"/>
      <c r="AA473" s="523"/>
      <c r="AB473" s="523">
        <f t="shared" si="527"/>
        <v>0</v>
      </c>
      <c r="AC473" s="523"/>
      <c r="AD473" s="523"/>
      <c r="AE473" s="523">
        <f t="shared" si="532"/>
        <v>0</v>
      </c>
      <c r="AF473" s="523"/>
      <c r="AG473" s="523"/>
      <c r="AH473" s="523">
        <f t="shared" si="533"/>
        <v>0</v>
      </c>
      <c r="AI473" s="523"/>
      <c r="AJ473" s="523"/>
      <c r="AK473" s="523">
        <f t="shared" si="528"/>
        <v>30</v>
      </c>
      <c r="AL473" s="523">
        <f t="shared" si="529"/>
        <v>0</v>
      </c>
      <c r="AM473" s="523">
        <f t="shared" si="529"/>
        <v>0</v>
      </c>
      <c r="AN473" s="523">
        <f t="shared" si="530"/>
        <v>0</v>
      </c>
      <c r="AO473" s="523">
        <f t="shared" si="530"/>
        <v>30</v>
      </c>
      <c r="AP473" s="523"/>
      <c r="AQ473" s="524"/>
      <c r="AR473" s="524"/>
    </row>
    <row r="474" spans="1:44" s="83" customFormat="1" hidden="1" outlineLevel="1">
      <c r="A474" s="521"/>
      <c r="B474" s="522" t="s">
        <v>194</v>
      </c>
      <c r="C474" s="528">
        <f t="shared" si="521"/>
        <v>14</v>
      </c>
      <c r="D474" s="523">
        <v>0</v>
      </c>
      <c r="E474" s="523">
        <v>0</v>
      </c>
      <c r="F474" s="523">
        <v>0</v>
      </c>
      <c r="G474" s="523">
        <v>14</v>
      </c>
      <c r="H474" s="523">
        <f t="shared" si="523"/>
        <v>20</v>
      </c>
      <c r="I474" s="523">
        <f t="shared" si="524"/>
        <v>0</v>
      </c>
      <c r="J474" s="523"/>
      <c r="K474" s="523"/>
      <c r="L474" s="523">
        <f t="shared" si="531"/>
        <v>20</v>
      </c>
      <c r="M474" s="523"/>
      <c r="N474" s="523">
        <v>20</v>
      </c>
      <c r="O474" s="523">
        <f t="shared" si="498"/>
        <v>27.5</v>
      </c>
      <c r="P474" s="543">
        <f t="shared" si="519"/>
        <v>0</v>
      </c>
      <c r="Q474" s="543">
        <f t="shared" si="520"/>
        <v>27.5</v>
      </c>
      <c r="R474" s="523">
        <f t="shared" si="499"/>
        <v>0</v>
      </c>
      <c r="S474" s="523"/>
      <c r="T474" s="523"/>
      <c r="U474" s="523">
        <f t="shared" si="500"/>
        <v>27.5</v>
      </c>
      <c r="V474" s="523"/>
      <c r="W474" s="523">
        <v>27.5</v>
      </c>
      <c r="X474" s="523">
        <f t="shared" si="525"/>
        <v>0</v>
      </c>
      <c r="Y474" s="523">
        <f t="shared" si="526"/>
        <v>0</v>
      </c>
      <c r="Z474" s="523"/>
      <c r="AA474" s="523"/>
      <c r="AB474" s="523">
        <f t="shared" si="527"/>
        <v>0</v>
      </c>
      <c r="AC474" s="523"/>
      <c r="AD474" s="523"/>
      <c r="AE474" s="523">
        <f t="shared" si="532"/>
        <v>0</v>
      </c>
      <c r="AF474" s="523"/>
      <c r="AG474" s="523"/>
      <c r="AH474" s="523">
        <f t="shared" si="533"/>
        <v>0</v>
      </c>
      <c r="AI474" s="523"/>
      <c r="AJ474" s="523"/>
      <c r="AK474" s="523">
        <f t="shared" si="528"/>
        <v>6.5</v>
      </c>
      <c r="AL474" s="523">
        <f t="shared" si="529"/>
        <v>0</v>
      </c>
      <c r="AM474" s="523">
        <f t="shared" si="529"/>
        <v>0</v>
      </c>
      <c r="AN474" s="523">
        <f t="shared" si="530"/>
        <v>0</v>
      </c>
      <c r="AO474" s="523">
        <f t="shared" si="530"/>
        <v>6.5</v>
      </c>
      <c r="AP474" s="523"/>
      <c r="AQ474" s="524"/>
      <c r="AR474" s="524"/>
    </row>
    <row r="475" spans="1:44" s="83" customFormat="1" hidden="1" outlineLevel="1">
      <c r="A475" s="521"/>
      <c r="B475" s="522" t="s">
        <v>388</v>
      </c>
      <c r="C475" s="528">
        <f t="shared" si="521"/>
        <v>10</v>
      </c>
      <c r="D475" s="523">
        <v>0</v>
      </c>
      <c r="E475" s="523">
        <v>0</v>
      </c>
      <c r="F475" s="523">
        <v>0</v>
      </c>
      <c r="G475" s="523">
        <v>10</v>
      </c>
      <c r="H475" s="523">
        <f t="shared" si="523"/>
        <v>25</v>
      </c>
      <c r="I475" s="523">
        <f t="shared" si="524"/>
        <v>0</v>
      </c>
      <c r="J475" s="523"/>
      <c r="K475" s="523"/>
      <c r="L475" s="523">
        <f t="shared" si="531"/>
        <v>25</v>
      </c>
      <c r="M475" s="523"/>
      <c r="N475" s="523">
        <v>25</v>
      </c>
      <c r="O475" s="523">
        <f t="shared" si="498"/>
        <v>25</v>
      </c>
      <c r="P475" s="543">
        <f t="shared" si="519"/>
        <v>0</v>
      </c>
      <c r="Q475" s="543">
        <f t="shared" si="520"/>
        <v>25</v>
      </c>
      <c r="R475" s="523">
        <f t="shared" si="499"/>
        <v>0</v>
      </c>
      <c r="S475" s="523"/>
      <c r="T475" s="523"/>
      <c r="U475" s="523">
        <f t="shared" si="500"/>
        <v>25</v>
      </c>
      <c r="V475" s="523"/>
      <c r="W475" s="523">
        <v>25</v>
      </c>
      <c r="X475" s="523">
        <f t="shared" si="525"/>
        <v>0</v>
      </c>
      <c r="Y475" s="523">
        <f t="shared" si="526"/>
        <v>0</v>
      </c>
      <c r="Z475" s="523"/>
      <c r="AA475" s="523"/>
      <c r="AB475" s="523">
        <f t="shared" si="527"/>
        <v>0</v>
      </c>
      <c r="AC475" s="523"/>
      <c r="AD475" s="523"/>
      <c r="AE475" s="523">
        <f t="shared" si="532"/>
        <v>0</v>
      </c>
      <c r="AF475" s="523"/>
      <c r="AG475" s="523"/>
      <c r="AH475" s="523">
        <f t="shared" si="533"/>
        <v>0</v>
      </c>
      <c r="AI475" s="523"/>
      <c r="AJ475" s="523"/>
      <c r="AK475" s="523">
        <f t="shared" si="528"/>
        <v>10</v>
      </c>
      <c r="AL475" s="523">
        <f t="shared" si="529"/>
        <v>0</v>
      </c>
      <c r="AM475" s="523">
        <f t="shared" si="529"/>
        <v>0</v>
      </c>
      <c r="AN475" s="523">
        <f t="shared" si="530"/>
        <v>0</v>
      </c>
      <c r="AO475" s="523">
        <f t="shared" si="530"/>
        <v>10</v>
      </c>
      <c r="AP475" s="523"/>
      <c r="AQ475" s="524"/>
      <c r="AR475" s="524"/>
    </row>
    <row r="476" spans="1:44" s="83" customFormat="1" hidden="1" outlineLevel="1">
      <c r="A476" s="521"/>
      <c r="B476" s="522" t="s">
        <v>199</v>
      </c>
      <c r="C476" s="528">
        <f t="shared" si="521"/>
        <v>10</v>
      </c>
      <c r="D476" s="523">
        <v>0</v>
      </c>
      <c r="E476" s="523">
        <v>0</v>
      </c>
      <c r="F476" s="523">
        <v>0</v>
      </c>
      <c r="G476" s="523">
        <v>10</v>
      </c>
      <c r="H476" s="523">
        <f t="shared" si="523"/>
        <v>10</v>
      </c>
      <c r="I476" s="523">
        <f t="shared" si="524"/>
        <v>0</v>
      </c>
      <c r="J476" s="523"/>
      <c r="K476" s="523"/>
      <c r="L476" s="523">
        <f t="shared" si="531"/>
        <v>10</v>
      </c>
      <c r="M476" s="523"/>
      <c r="N476" s="523">
        <v>10</v>
      </c>
      <c r="O476" s="523">
        <f t="shared" si="498"/>
        <v>10</v>
      </c>
      <c r="P476" s="543">
        <f t="shared" si="519"/>
        <v>0</v>
      </c>
      <c r="Q476" s="543">
        <f t="shared" si="520"/>
        <v>10</v>
      </c>
      <c r="R476" s="523">
        <f t="shared" si="499"/>
        <v>0</v>
      </c>
      <c r="S476" s="523"/>
      <c r="T476" s="523"/>
      <c r="U476" s="523">
        <f t="shared" si="500"/>
        <v>10</v>
      </c>
      <c r="V476" s="523"/>
      <c r="W476" s="523">
        <v>10</v>
      </c>
      <c r="X476" s="523">
        <f t="shared" si="525"/>
        <v>0</v>
      </c>
      <c r="Y476" s="523">
        <f t="shared" si="526"/>
        <v>0</v>
      </c>
      <c r="Z476" s="523"/>
      <c r="AA476" s="523"/>
      <c r="AB476" s="523">
        <f t="shared" si="527"/>
        <v>0</v>
      </c>
      <c r="AC476" s="523"/>
      <c r="AD476" s="523"/>
      <c r="AE476" s="523">
        <f t="shared" si="532"/>
        <v>0</v>
      </c>
      <c r="AF476" s="523"/>
      <c r="AG476" s="523"/>
      <c r="AH476" s="523">
        <f t="shared" si="533"/>
        <v>0</v>
      </c>
      <c r="AI476" s="523"/>
      <c r="AJ476" s="523"/>
      <c r="AK476" s="523">
        <f t="shared" si="528"/>
        <v>10</v>
      </c>
      <c r="AL476" s="523">
        <f t="shared" si="529"/>
        <v>0</v>
      </c>
      <c r="AM476" s="523">
        <f t="shared" si="529"/>
        <v>0</v>
      </c>
      <c r="AN476" s="523">
        <f t="shared" si="530"/>
        <v>0</v>
      </c>
      <c r="AO476" s="523">
        <f t="shared" si="530"/>
        <v>10</v>
      </c>
      <c r="AP476" s="523"/>
      <c r="AQ476" s="524"/>
      <c r="AR476" s="524"/>
    </row>
    <row r="477" spans="1:44" s="83" customFormat="1" hidden="1" outlineLevel="1">
      <c r="A477" s="521"/>
      <c r="B477" s="522" t="s">
        <v>196</v>
      </c>
      <c r="C477" s="528">
        <f t="shared" si="521"/>
        <v>9.9999999999999982</v>
      </c>
      <c r="D477" s="523">
        <v>0</v>
      </c>
      <c r="E477" s="523">
        <v>0</v>
      </c>
      <c r="F477" s="523">
        <v>0</v>
      </c>
      <c r="G477" s="523">
        <v>9.9999999999999982</v>
      </c>
      <c r="H477" s="523">
        <f t="shared" si="523"/>
        <v>15</v>
      </c>
      <c r="I477" s="523">
        <f t="shared" si="524"/>
        <v>0</v>
      </c>
      <c r="J477" s="523"/>
      <c r="K477" s="523"/>
      <c r="L477" s="523">
        <f t="shared" si="531"/>
        <v>15</v>
      </c>
      <c r="M477" s="523"/>
      <c r="N477" s="523">
        <v>15</v>
      </c>
      <c r="O477" s="523">
        <f t="shared" si="498"/>
        <v>19.899999999999999</v>
      </c>
      <c r="P477" s="543">
        <f t="shared" si="519"/>
        <v>0</v>
      </c>
      <c r="Q477" s="543">
        <f t="shared" si="520"/>
        <v>19.899999999999999</v>
      </c>
      <c r="R477" s="523">
        <f t="shared" si="499"/>
        <v>0</v>
      </c>
      <c r="S477" s="523"/>
      <c r="T477" s="523"/>
      <c r="U477" s="523">
        <f t="shared" si="500"/>
        <v>19.899999999999999</v>
      </c>
      <c r="V477" s="523"/>
      <c r="W477" s="523">
        <v>19.899999999999999</v>
      </c>
      <c r="X477" s="523">
        <f t="shared" si="525"/>
        <v>0</v>
      </c>
      <c r="Y477" s="523">
        <f t="shared" si="526"/>
        <v>0</v>
      </c>
      <c r="Z477" s="523"/>
      <c r="AA477" s="523"/>
      <c r="AB477" s="523">
        <f t="shared" si="527"/>
        <v>0</v>
      </c>
      <c r="AC477" s="523"/>
      <c r="AD477" s="523"/>
      <c r="AE477" s="523">
        <f t="shared" si="532"/>
        <v>0</v>
      </c>
      <c r="AF477" s="523"/>
      <c r="AG477" s="523"/>
      <c r="AH477" s="523">
        <f t="shared" si="533"/>
        <v>0</v>
      </c>
      <c r="AI477" s="523"/>
      <c r="AJ477" s="523"/>
      <c r="AK477" s="523">
        <f t="shared" si="528"/>
        <v>5.1000000000000014</v>
      </c>
      <c r="AL477" s="523">
        <f t="shared" si="529"/>
        <v>0</v>
      </c>
      <c r="AM477" s="523">
        <f t="shared" si="529"/>
        <v>0</v>
      </c>
      <c r="AN477" s="523">
        <f t="shared" si="530"/>
        <v>0</v>
      </c>
      <c r="AO477" s="523">
        <f t="shared" si="530"/>
        <v>5.1000000000000014</v>
      </c>
      <c r="AP477" s="523"/>
      <c r="AQ477" s="524"/>
      <c r="AR477" s="524"/>
    </row>
    <row r="478" spans="1:44" s="83" customFormat="1" hidden="1" outlineLevel="1">
      <c r="A478" s="521"/>
      <c r="B478" s="522" t="s">
        <v>193</v>
      </c>
      <c r="C478" s="528">
        <f t="shared" si="521"/>
        <v>14</v>
      </c>
      <c r="D478" s="523">
        <v>0</v>
      </c>
      <c r="E478" s="523">
        <v>0</v>
      </c>
      <c r="F478" s="523">
        <v>0</v>
      </c>
      <c r="G478" s="523">
        <v>14</v>
      </c>
      <c r="H478" s="523">
        <f t="shared" si="523"/>
        <v>15</v>
      </c>
      <c r="I478" s="523">
        <f t="shared" si="524"/>
        <v>0</v>
      </c>
      <c r="J478" s="523"/>
      <c r="K478" s="523"/>
      <c r="L478" s="523">
        <f t="shared" si="531"/>
        <v>15</v>
      </c>
      <c r="M478" s="523"/>
      <c r="N478" s="523">
        <v>15</v>
      </c>
      <c r="O478" s="523">
        <f t="shared" si="498"/>
        <v>14</v>
      </c>
      <c r="P478" s="543">
        <f t="shared" si="519"/>
        <v>0</v>
      </c>
      <c r="Q478" s="543">
        <f t="shared" si="520"/>
        <v>14</v>
      </c>
      <c r="R478" s="523">
        <f t="shared" si="499"/>
        <v>0</v>
      </c>
      <c r="S478" s="523"/>
      <c r="T478" s="523"/>
      <c r="U478" s="523">
        <f t="shared" si="500"/>
        <v>14</v>
      </c>
      <c r="V478" s="523"/>
      <c r="W478" s="523">
        <v>14</v>
      </c>
      <c r="X478" s="523">
        <f t="shared" si="525"/>
        <v>0</v>
      </c>
      <c r="Y478" s="523">
        <f t="shared" si="526"/>
        <v>0</v>
      </c>
      <c r="Z478" s="523"/>
      <c r="AA478" s="523"/>
      <c r="AB478" s="523">
        <f t="shared" si="527"/>
        <v>0</v>
      </c>
      <c r="AC478" s="523"/>
      <c r="AD478" s="523"/>
      <c r="AE478" s="523">
        <f t="shared" si="532"/>
        <v>0</v>
      </c>
      <c r="AF478" s="523"/>
      <c r="AG478" s="523"/>
      <c r="AH478" s="523">
        <f t="shared" si="533"/>
        <v>0</v>
      </c>
      <c r="AI478" s="523"/>
      <c r="AJ478" s="523"/>
      <c r="AK478" s="523">
        <f t="shared" si="528"/>
        <v>15</v>
      </c>
      <c r="AL478" s="523">
        <f t="shared" si="529"/>
        <v>0</v>
      </c>
      <c r="AM478" s="523">
        <f t="shared" si="529"/>
        <v>0</v>
      </c>
      <c r="AN478" s="523">
        <f t="shared" si="530"/>
        <v>0</v>
      </c>
      <c r="AO478" s="523">
        <f t="shared" si="530"/>
        <v>15</v>
      </c>
      <c r="AP478" s="523"/>
      <c r="AQ478" s="524"/>
      <c r="AR478" s="524"/>
    </row>
    <row r="479" spans="1:44" s="83" customFormat="1" hidden="1" outlineLevel="1">
      <c r="A479" s="521"/>
      <c r="B479" s="522" t="s">
        <v>2216</v>
      </c>
      <c r="C479" s="528">
        <f t="shared" si="521"/>
        <v>13</v>
      </c>
      <c r="D479" s="523">
        <v>0</v>
      </c>
      <c r="E479" s="523">
        <v>0</v>
      </c>
      <c r="F479" s="523">
        <v>0</v>
      </c>
      <c r="G479" s="523">
        <v>13</v>
      </c>
      <c r="H479" s="523">
        <f t="shared" si="523"/>
        <v>15</v>
      </c>
      <c r="I479" s="523">
        <f t="shared" si="524"/>
        <v>0</v>
      </c>
      <c r="J479" s="523"/>
      <c r="K479" s="523"/>
      <c r="L479" s="523">
        <f t="shared" si="531"/>
        <v>15</v>
      </c>
      <c r="M479" s="523"/>
      <c r="N479" s="523">
        <v>15</v>
      </c>
      <c r="O479" s="523">
        <f t="shared" si="498"/>
        <v>28</v>
      </c>
      <c r="P479" s="543">
        <f t="shared" si="519"/>
        <v>0</v>
      </c>
      <c r="Q479" s="543">
        <f t="shared" si="520"/>
        <v>28</v>
      </c>
      <c r="R479" s="523">
        <f t="shared" si="499"/>
        <v>0</v>
      </c>
      <c r="S479" s="523"/>
      <c r="T479" s="523"/>
      <c r="U479" s="523">
        <f t="shared" si="500"/>
        <v>28</v>
      </c>
      <c r="V479" s="523"/>
      <c r="W479" s="523">
        <f>N479+G479</f>
        <v>28</v>
      </c>
      <c r="X479" s="523">
        <f t="shared" si="525"/>
        <v>0</v>
      </c>
      <c r="Y479" s="523">
        <f t="shared" si="526"/>
        <v>0</v>
      </c>
      <c r="Z479" s="523"/>
      <c r="AA479" s="523"/>
      <c r="AB479" s="523">
        <f t="shared" si="527"/>
        <v>0</v>
      </c>
      <c r="AC479" s="523"/>
      <c r="AD479" s="523"/>
      <c r="AE479" s="523">
        <f t="shared" si="532"/>
        <v>0</v>
      </c>
      <c r="AF479" s="523"/>
      <c r="AG479" s="523"/>
      <c r="AH479" s="523">
        <f t="shared" si="533"/>
        <v>0</v>
      </c>
      <c r="AI479" s="523"/>
      <c r="AJ479" s="523"/>
      <c r="AK479" s="523">
        <f t="shared" si="528"/>
        <v>0</v>
      </c>
      <c r="AL479" s="523">
        <f t="shared" si="529"/>
        <v>0</v>
      </c>
      <c r="AM479" s="523">
        <f t="shared" si="529"/>
        <v>0</v>
      </c>
      <c r="AN479" s="523">
        <f t="shared" si="530"/>
        <v>0</v>
      </c>
      <c r="AO479" s="523">
        <f t="shared" si="530"/>
        <v>0</v>
      </c>
      <c r="AP479" s="523"/>
      <c r="AQ479" s="524"/>
      <c r="AR479" s="524"/>
    </row>
    <row r="480" spans="1:44" s="83" customFormat="1" hidden="1" outlineLevel="1">
      <c r="A480" s="521">
        <v>21</v>
      </c>
      <c r="B480" s="522" t="s">
        <v>503</v>
      </c>
      <c r="C480" s="528">
        <f t="shared" si="521"/>
        <v>828.01499999999999</v>
      </c>
      <c r="D480" s="523">
        <v>0</v>
      </c>
      <c r="E480" s="523">
        <v>703.01499999999999</v>
      </c>
      <c r="F480" s="523">
        <v>0</v>
      </c>
      <c r="G480" s="523">
        <v>125</v>
      </c>
      <c r="H480" s="523">
        <f t="shared" ref="H480:AO480" si="534">SUM(H481:H491)</f>
        <v>19268</v>
      </c>
      <c r="I480" s="523">
        <f t="shared" si="534"/>
        <v>19013</v>
      </c>
      <c r="J480" s="523">
        <f t="shared" si="534"/>
        <v>0</v>
      </c>
      <c r="K480" s="523">
        <f t="shared" si="534"/>
        <v>19013</v>
      </c>
      <c r="L480" s="523">
        <f t="shared" si="534"/>
        <v>255</v>
      </c>
      <c r="M480" s="523">
        <f t="shared" si="534"/>
        <v>0</v>
      </c>
      <c r="N480" s="523">
        <f t="shared" si="534"/>
        <v>255</v>
      </c>
      <c r="O480" s="523">
        <f t="shared" si="534"/>
        <v>18578.878799999999</v>
      </c>
      <c r="P480" s="543">
        <f t="shared" si="519"/>
        <v>0</v>
      </c>
      <c r="Q480" s="543">
        <f t="shared" si="520"/>
        <v>18578.878799999999</v>
      </c>
      <c r="R480" s="523">
        <f t="shared" si="534"/>
        <v>18249.449799999999</v>
      </c>
      <c r="S480" s="523">
        <f t="shared" si="534"/>
        <v>0</v>
      </c>
      <c r="T480" s="523">
        <f t="shared" si="534"/>
        <v>18249.449799999999</v>
      </c>
      <c r="U480" s="523">
        <f t="shared" si="534"/>
        <v>329.42899999999997</v>
      </c>
      <c r="V480" s="523">
        <f t="shared" si="534"/>
        <v>0</v>
      </c>
      <c r="W480" s="523">
        <f t="shared" si="534"/>
        <v>329.42899999999997</v>
      </c>
      <c r="X480" s="523">
        <f t="shared" si="534"/>
        <v>1466.5652000000009</v>
      </c>
      <c r="Y480" s="523">
        <f t="shared" si="534"/>
        <v>1466.5652000000009</v>
      </c>
      <c r="Z480" s="523">
        <f t="shared" si="534"/>
        <v>0</v>
      </c>
      <c r="AA480" s="523">
        <f t="shared" si="534"/>
        <v>1466.5652000000009</v>
      </c>
      <c r="AB480" s="523">
        <f t="shared" si="534"/>
        <v>0</v>
      </c>
      <c r="AC480" s="523">
        <f t="shared" si="534"/>
        <v>0</v>
      </c>
      <c r="AD480" s="523">
        <f t="shared" si="534"/>
        <v>0</v>
      </c>
      <c r="AE480" s="523">
        <f t="shared" si="534"/>
        <v>0</v>
      </c>
      <c r="AF480" s="523">
        <f t="shared" si="534"/>
        <v>0</v>
      </c>
      <c r="AG480" s="523">
        <f t="shared" si="534"/>
        <v>0</v>
      </c>
      <c r="AH480" s="523">
        <f t="shared" si="534"/>
        <v>0</v>
      </c>
      <c r="AI480" s="523">
        <f t="shared" si="534"/>
        <v>0</v>
      </c>
      <c r="AJ480" s="523">
        <f t="shared" si="534"/>
        <v>0</v>
      </c>
      <c r="AK480" s="523">
        <f t="shared" si="534"/>
        <v>50.570999999999998</v>
      </c>
      <c r="AL480" s="523">
        <f t="shared" si="534"/>
        <v>0</v>
      </c>
      <c r="AM480" s="523">
        <f t="shared" si="534"/>
        <v>0</v>
      </c>
      <c r="AN480" s="523">
        <f t="shared" si="534"/>
        <v>0</v>
      </c>
      <c r="AO480" s="523">
        <f t="shared" si="534"/>
        <v>50.570999999999998</v>
      </c>
      <c r="AP480" s="523"/>
      <c r="AQ480" s="524"/>
      <c r="AR480" s="524"/>
    </row>
    <row r="481" spans="1:44" s="83" customFormat="1" hidden="1" outlineLevel="1">
      <c r="A481" s="521"/>
      <c r="B481" s="522" t="s">
        <v>2214</v>
      </c>
      <c r="C481" s="528">
        <f t="shared" si="521"/>
        <v>703.01499999999999</v>
      </c>
      <c r="D481" s="523">
        <v>0</v>
      </c>
      <c r="E481" s="523">
        <v>703.01499999999999</v>
      </c>
      <c r="F481" s="523">
        <v>0</v>
      </c>
      <c r="G481" s="523">
        <v>0</v>
      </c>
      <c r="H481" s="523">
        <f t="shared" ref="H481:H491" si="535">I481+L481</f>
        <v>19013</v>
      </c>
      <c r="I481" s="523">
        <f t="shared" ref="I481:I491" si="536">J481+K481</f>
        <v>19013</v>
      </c>
      <c r="J481" s="523"/>
      <c r="K481" s="523">
        <f>18200+465+148+200</f>
        <v>19013</v>
      </c>
      <c r="L481" s="523"/>
      <c r="M481" s="523"/>
      <c r="N481" s="523"/>
      <c r="O481" s="523">
        <f t="shared" si="498"/>
        <v>18249.449799999999</v>
      </c>
      <c r="P481" s="543">
        <f t="shared" si="519"/>
        <v>0</v>
      </c>
      <c r="Q481" s="543">
        <f t="shared" si="520"/>
        <v>18249.449799999999</v>
      </c>
      <c r="R481" s="523">
        <f t="shared" si="499"/>
        <v>18249.449799999999</v>
      </c>
      <c r="S481" s="523"/>
      <c r="T481" s="523">
        <v>18249.449799999999</v>
      </c>
      <c r="U481" s="523">
        <f t="shared" si="500"/>
        <v>0</v>
      </c>
      <c r="V481" s="523"/>
      <c r="W481" s="523"/>
      <c r="X481" s="523">
        <f>Y481+AB481+AE481+AH481</f>
        <v>1466.5652000000009</v>
      </c>
      <c r="Y481" s="523">
        <f>Z481+AA481</f>
        <v>1466.5652000000009</v>
      </c>
      <c r="Z481" s="523"/>
      <c r="AA481" s="523">
        <v>1466.5652000000009</v>
      </c>
      <c r="AB481" s="523"/>
      <c r="AC481" s="523"/>
      <c r="AD481" s="523"/>
      <c r="AE481" s="523">
        <f>AF481+AG481</f>
        <v>0</v>
      </c>
      <c r="AF481" s="523"/>
      <c r="AG481" s="523"/>
      <c r="AH481" s="523">
        <f>AI481+AJ481</f>
        <v>0</v>
      </c>
      <c r="AI481" s="523"/>
      <c r="AJ481" s="523"/>
      <c r="AK481" s="523">
        <f t="shared" ref="AK481:AK485" si="537">SUM(AL481:AO481)</f>
        <v>0</v>
      </c>
      <c r="AL481" s="523">
        <f t="shared" ref="AL481:AM491" si="538">D481+J481-S481-Z481-AF481</f>
        <v>0</v>
      </c>
      <c r="AM481" s="523">
        <f t="shared" si="538"/>
        <v>0</v>
      </c>
      <c r="AN481" s="523">
        <f t="shared" ref="AN481:AO491" si="539">F481+M481-V481-AC481-AI481</f>
        <v>0</v>
      </c>
      <c r="AO481" s="523">
        <f t="shared" si="539"/>
        <v>0</v>
      </c>
      <c r="AP481" s="523"/>
      <c r="AQ481" s="524"/>
      <c r="AR481" s="524"/>
    </row>
    <row r="482" spans="1:44" s="83" customFormat="1" hidden="1" outlineLevel="1">
      <c r="A482" s="521"/>
      <c r="B482" s="522" t="s">
        <v>188</v>
      </c>
      <c r="C482" s="528">
        <f t="shared" si="521"/>
        <v>0</v>
      </c>
      <c r="D482" s="523">
        <v>0</v>
      </c>
      <c r="E482" s="523">
        <v>0</v>
      </c>
      <c r="F482" s="523">
        <v>0</v>
      </c>
      <c r="G482" s="523">
        <v>0</v>
      </c>
      <c r="H482" s="523">
        <f t="shared" si="535"/>
        <v>85</v>
      </c>
      <c r="I482" s="523">
        <f t="shared" si="536"/>
        <v>0</v>
      </c>
      <c r="J482" s="523"/>
      <c r="K482" s="523"/>
      <c r="L482" s="523">
        <f t="shared" ref="L482:L491" si="540">M482+N482</f>
        <v>85</v>
      </c>
      <c r="M482" s="523"/>
      <c r="N482" s="523">
        <v>85</v>
      </c>
      <c r="O482" s="523">
        <f t="shared" si="498"/>
        <v>85</v>
      </c>
      <c r="P482" s="543">
        <f t="shared" si="519"/>
        <v>0</v>
      </c>
      <c r="Q482" s="543">
        <f t="shared" si="520"/>
        <v>85</v>
      </c>
      <c r="R482" s="523">
        <f t="shared" si="499"/>
        <v>0</v>
      </c>
      <c r="S482" s="523"/>
      <c r="T482" s="523"/>
      <c r="U482" s="523">
        <f t="shared" si="500"/>
        <v>85</v>
      </c>
      <c r="V482" s="523"/>
      <c r="W482" s="523">
        <v>85</v>
      </c>
      <c r="X482" s="523">
        <f>Y482+AB482+AE482+AH482</f>
        <v>0</v>
      </c>
      <c r="Y482" s="523"/>
      <c r="Z482" s="523"/>
      <c r="AA482" s="523"/>
      <c r="AB482" s="523"/>
      <c r="AC482" s="523"/>
      <c r="AD482" s="523"/>
      <c r="AE482" s="523">
        <f>AF482+AG482</f>
        <v>0</v>
      </c>
      <c r="AF482" s="523"/>
      <c r="AG482" s="523"/>
      <c r="AH482" s="523">
        <f>AI482+AJ482</f>
        <v>0</v>
      </c>
      <c r="AI482" s="523"/>
      <c r="AJ482" s="523"/>
      <c r="AK482" s="523">
        <f t="shared" si="537"/>
        <v>0</v>
      </c>
      <c r="AL482" s="523">
        <f t="shared" si="538"/>
        <v>0</v>
      </c>
      <c r="AM482" s="523">
        <f t="shared" si="538"/>
        <v>0</v>
      </c>
      <c r="AN482" s="523">
        <f t="shared" si="539"/>
        <v>0</v>
      </c>
      <c r="AO482" s="523">
        <f t="shared" si="539"/>
        <v>0</v>
      </c>
      <c r="AP482" s="523"/>
      <c r="AQ482" s="524"/>
      <c r="AR482" s="524"/>
    </row>
    <row r="483" spans="1:44" s="83" customFormat="1" hidden="1" outlineLevel="1">
      <c r="A483" s="521"/>
      <c r="B483" s="522" t="s">
        <v>200</v>
      </c>
      <c r="C483" s="528">
        <f t="shared" si="521"/>
        <v>25.000000000000007</v>
      </c>
      <c r="D483" s="523">
        <v>0</v>
      </c>
      <c r="E483" s="523">
        <v>0</v>
      </c>
      <c r="F483" s="523">
        <v>0</v>
      </c>
      <c r="G483" s="523">
        <v>25.000000000000007</v>
      </c>
      <c r="H483" s="523">
        <f t="shared" si="535"/>
        <v>15</v>
      </c>
      <c r="I483" s="523">
        <f t="shared" si="536"/>
        <v>0</v>
      </c>
      <c r="J483" s="523"/>
      <c r="K483" s="523"/>
      <c r="L483" s="523">
        <f t="shared" si="540"/>
        <v>15</v>
      </c>
      <c r="M483" s="523"/>
      <c r="N483" s="523">
        <v>15</v>
      </c>
      <c r="O483" s="523">
        <f t="shared" si="498"/>
        <v>40.000000000000007</v>
      </c>
      <c r="P483" s="543">
        <f t="shared" si="519"/>
        <v>0</v>
      </c>
      <c r="Q483" s="543">
        <f t="shared" si="520"/>
        <v>40.000000000000007</v>
      </c>
      <c r="R483" s="523">
        <f t="shared" si="499"/>
        <v>0</v>
      </c>
      <c r="S483" s="523"/>
      <c r="T483" s="523"/>
      <c r="U483" s="523">
        <f t="shared" si="500"/>
        <v>40.000000000000007</v>
      </c>
      <c r="V483" s="523"/>
      <c r="W483" s="523">
        <f>L483+G483</f>
        <v>40.000000000000007</v>
      </c>
      <c r="X483" s="523">
        <f>Y483+AB483+AE483+AH483</f>
        <v>0</v>
      </c>
      <c r="Y483" s="523"/>
      <c r="Z483" s="523"/>
      <c r="AA483" s="523"/>
      <c r="AB483" s="523"/>
      <c r="AC483" s="523"/>
      <c r="AD483" s="523"/>
      <c r="AE483" s="523">
        <f>AF483+AG483</f>
        <v>0</v>
      </c>
      <c r="AF483" s="523"/>
      <c r="AG483" s="523"/>
      <c r="AH483" s="523">
        <f>AI483+AJ483</f>
        <v>0</v>
      </c>
      <c r="AI483" s="523"/>
      <c r="AJ483" s="523"/>
      <c r="AK483" s="523">
        <f t="shared" si="537"/>
        <v>0</v>
      </c>
      <c r="AL483" s="523">
        <f t="shared" si="538"/>
        <v>0</v>
      </c>
      <c r="AM483" s="523">
        <f t="shared" si="538"/>
        <v>0</v>
      </c>
      <c r="AN483" s="523">
        <f t="shared" si="539"/>
        <v>0</v>
      </c>
      <c r="AO483" s="523">
        <f t="shared" si="539"/>
        <v>0</v>
      </c>
      <c r="AP483" s="523"/>
      <c r="AQ483" s="524"/>
      <c r="AR483" s="524"/>
    </row>
    <row r="484" spans="1:44" s="83" customFormat="1" hidden="1" outlineLevel="1">
      <c r="A484" s="521"/>
      <c r="B484" s="522" t="s">
        <v>198</v>
      </c>
      <c r="C484" s="528">
        <f t="shared" si="521"/>
        <v>65</v>
      </c>
      <c r="D484" s="523">
        <v>0</v>
      </c>
      <c r="E484" s="523">
        <v>0</v>
      </c>
      <c r="F484" s="523">
        <v>0</v>
      </c>
      <c r="G484" s="523">
        <v>65</v>
      </c>
      <c r="H484" s="523">
        <f t="shared" si="535"/>
        <v>40</v>
      </c>
      <c r="I484" s="523">
        <f t="shared" si="536"/>
        <v>0</v>
      </c>
      <c r="J484" s="523"/>
      <c r="K484" s="523"/>
      <c r="L484" s="523">
        <f t="shared" si="540"/>
        <v>40</v>
      </c>
      <c r="M484" s="523"/>
      <c r="N484" s="523">
        <v>40</v>
      </c>
      <c r="O484" s="523">
        <f t="shared" si="498"/>
        <v>105</v>
      </c>
      <c r="P484" s="543">
        <f t="shared" si="519"/>
        <v>0</v>
      </c>
      <c r="Q484" s="543">
        <f t="shared" si="520"/>
        <v>105</v>
      </c>
      <c r="R484" s="523">
        <f t="shared" si="499"/>
        <v>0</v>
      </c>
      <c r="S484" s="523"/>
      <c r="T484" s="523"/>
      <c r="U484" s="523">
        <f t="shared" si="500"/>
        <v>105</v>
      </c>
      <c r="V484" s="523"/>
      <c r="W484" s="523">
        <f>N484+G484</f>
        <v>105</v>
      </c>
      <c r="X484" s="523">
        <f>Y484+AB484+AE484+AH484</f>
        <v>0</v>
      </c>
      <c r="Y484" s="523"/>
      <c r="Z484" s="523"/>
      <c r="AA484" s="523"/>
      <c r="AB484" s="523"/>
      <c r="AC484" s="523"/>
      <c r="AD484" s="523"/>
      <c r="AE484" s="523">
        <f>AF484+AG484</f>
        <v>0</v>
      </c>
      <c r="AF484" s="523"/>
      <c r="AG484" s="523"/>
      <c r="AH484" s="523">
        <f>AI484+AJ484</f>
        <v>0</v>
      </c>
      <c r="AI484" s="523"/>
      <c r="AJ484" s="523"/>
      <c r="AK484" s="523">
        <f t="shared" si="537"/>
        <v>0</v>
      </c>
      <c r="AL484" s="523">
        <f t="shared" si="538"/>
        <v>0</v>
      </c>
      <c r="AM484" s="523">
        <f t="shared" si="538"/>
        <v>0</v>
      </c>
      <c r="AN484" s="523">
        <f t="shared" si="539"/>
        <v>0</v>
      </c>
      <c r="AO484" s="523">
        <f t="shared" si="539"/>
        <v>0</v>
      </c>
      <c r="AP484" s="523"/>
      <c r="AQ484" s="524"/>
      <c r="AR484" s="524"/>
    </row>
    <row r="485" spans="1:44" s="83" customFormat="1" hidden="1" outlineLevel="1">
      <c r="A485" s="521"/>
      <c r="B485" s="522" t="s">
        <v>197</v>
      </c>
      <c r="C485" s="528">
        <f t="shared" si="521"/>
        <v>0</v>
      </c>
      <c r="D485" s="523">
        <v>0</v>
      </c>
      <c r="E485" s="523">
        <v>0</v>
      </c>
      <c r="F485" s="523">
        <v>0</v>
      </c>
      <c r="G485" s="523">
        <v>0</v>
      </c>
      <c r="H485" s="523">
        <f t="shared" si="535"/>
        <v>40</v>
      </c>
      <c r="I485" s="523">
        <f t="shared" si="536"/>
        <v>0</v>
      </c>
      <c r="J485" s="523"/>
      <c r="K485" s="523"/>
      <c r="L485" s="523">
        <f t="shared" si="540"/>
        <v>40</v>
      </c>
      <c r="M485" s="523"/>
      <c r="N485" s="523">
        <v>40</v>
      </c>
      <c r="O485" s="523">
        <f t="shared" si="498"/>
        <v>14.728999999999999</v>
      </c>
      <c r="P485" s="543">
        <f t="shared" si="519"/>
        <v>0</v>
      </c>
      <c r="Q485" s="543">
        <f t="shared" si="520"/>
        <v>14.728999999999999</v>
      </c>
      <c r="R485" s="523">
        <f t="shared" si="499"/>
        <v>0</v>
      </c>
      <c r="S485" s="523"/>
      <c r="T485" s="523"/>
      <c r="U485" s="523">
        <f t="shared" si="500"/>
        <v>14.728999999999999</v>
      </c>
      <c r="V485" s="523"/>
      <c r="W485" s="523">
        <v>14.728999999999999</v>
      </c>
      <c r="X485" s="523"/>
      <c r="Y485" s="523"/>
      <c r="Z485" s="523"/>
      <c r="AA485" s="523"/>
      <c r="AB485" s="523"/>
      <c r="AC485" s="523"/>
      <c r="AD485" s="523"/>
      <c r="AE485" s="523"/>
      <c r="AF485" s="523"/>
      <c r="AG485" s="523"/>
      <c r="AH485" s="523"/>
      <c r="AI485" s="523"/>
      <c r="AJ485" s="523"/>
      <c r="AK485" s="523">
        <f t="shared" si="537"/>
        <v>25.271000000000001</v>
      </c>
      <c r="AL485" s="523">
        <f t="shared" si="538"/>
        <v>0</v>
      </c>
      <c r="AM485" s="523">
        <f t="shared" si="538"/>
        <v>0</v>
      </c>
      <c r="AN485" s="523">
        <f t="shared" si="539"/>
        <v>0</v>
      </c>
      <c r="AO485" s="523">
        <f t="shared" si="539"/>
        <v>25.271000000000001</v>
      </c>
      <c r="AP485" s="523"/>
      <c r="AQ485" s="524"/>
      <c r="AR485" s="524"/>
    </row>
    <row r="486" spans="1:44" s="83" customFormat="1" hidden="1" outlineLevel="1">
      <c r="A486" s="521"/>
      <c r="B486" s="522" t="s">
        <v>388</v>
      </c>
      <c r="C486" s="528">
        <f t="shared" si="521"/>
        <v>0</v>
      </c>
      <c r="D486" s="523">
        <v>0</v>
      </c>
      <c r="E486" s="523">
        <v>0</v>
      </c>
      <c r="F486" s="523">
        <v>0</v>
      </c>
      <c r="G486" s="523">
        <v>0</v>
      </c>
      <c r="H486" s="523">
        <f t="shared" si="535"/>
        <v>15</v>
      </c>
      <c r="I486" s="523">
        <f t="shared" si="536"/>
        <v>0</v>
      </c>
      <c r="J486" s="523"/>
      <c r="K486" s="523"/>
      <c r="L486" s="523">
        <f t="shared" si="540"/>
        <v>15</v>
      </c>
      <c r="M486" s="523"/>
      <c r="N486" s="523">
        <v>15</v>
      </c>
      <c r="O486" s="523">
        <f t="shared" si="498"/>
        <v>15</v>
      </c>
      <c r="P486" s="543">
        <f t="shared" si="519"/>
        <v>0</v>
      </c>
      <c r="Q486" s="543">
        <f t="shared" si="520"/>
        <v>15</v>
      </c>
      <c r="R486" s="523">
        <f t="shared" si="499"/>
        <v>0</v>
      </c>
      <c r="S486" s="523"/>
      <c r="T486" s="523"/>
      <c r="U486" s="523">
        <f t="shared" si="500"/>
        <v>15</v>
      </c>
      <c r="V486" s="523"/>
      <c r="W486" s="523">
        <v>15</v>
      </c>
      <c r="X486" s="523"/>
      <c r="Y486" s="523"/>
      <c r="Z486" s="523"/>
      <c r="AA486" s="523"/>
      <c r="AB486" s="523"/>
      <c r="AC486" s="523"/>
      <c r="AD486" s="523"/>
      <c r="AE486" s="523"/>
      <c r="AF486" s="523"/>
      <c r="AG486" s="523"/>
      <c r="AH486" s="523"/>
      <c r="AI486" s="523"/>
      <c r="AJ486" s="523"/>
      <c r="AK486" s="523">
        <f t="shared" ref="AK486:AK491" si="541">SUM(AL486:AO486)</f>
        <v>0</v>
      </c>
      <c r="AL486" s="523">
        <f t="shared" si="538"/>
        <v>0</v>
      </c>
      <c r="AM486" s="523">
        <f t="shared" si="538"/>
        <v>0</v>
      </c>
      <c r="AN486" s="523">
        <f t="shared" si="539"/>
        <v>0</v>
      </c>
      <c r="AO486" s="523">
        <f t="shared" si="539"/>
        <v>0</v>
      </c>
      <c r="AP486" s="523"/>
      <c r="AQ486" s="524"/>
      <c r="AR486" s="524"/>
    </row>
    <row r="487" spans="1:44" s="83" customFormat="1" hidden="1" outlineLevel="1">
      <c r="A487" s="521"/>
      <c r="B487" s="522" t="s">
        <v>194</v>
      </c>
      <c r="C487" s="528">
        <f t="shared" si="521"/>
        <v>25</v>
      </c>
      <c r="D487" s="523">
        <v>0</v>
      </c>
      <c r="E487" s="523">
        <v>0</v>
      </c>
      <c r="F487" s="523">
        <v>0</v>
      </c>
      <c r="G487" s="523">
        <v>25</v>
      </c>
      <c r="H487" s="523">
        <f t="shared" si="535"/>
        <v>10</v>
      </c>
      <c r="I487" s="523">
        <f t="shared" si="536"/>
        <v>0</v>
      </c>
      <c r="J487" s="523"/>
      <c r="K487" s="523"/>
      <c r="L487" s="523">
        <f t="shared" si="540"/>
        <v>10</v>
      </c>
      <c r="M487" s="523"/>
      <c r="N487" s="523">
        <v>10</v>
      </c>
      <c r="O487" s="523">
        <f t="shared" si="498"/>
        <v>35</v>
      </c>
      <c r="P487" s="543">
        <f t="shared" si="519"/>
        <v>0</v>
      </c>
      <c r="Q487" s="543">
        <f t="shared" si="520"/>
        <v>35</v>
      </c>
      <c r="R487" s="523">
        <f t="shared" si="499"/>
        <v>0</v>
      </c>
      <c r="S487" s="523"/>
      <c r="T487" s="523"/>
      <c r="U487" s="523">
        <f t="shared" si="500"/>
        <v>35</v>
      </c>
      <c r="V487" s="523"/>
      <c r="W487" s="523">
        <v>35</v>
      </c>
      <c r="X487" s="523"/>
      <c r="Y487" s="523"/>
      <c r="Z487" s="523"/>
      <c r="AA487" s="523"/>
      <c r="AB487" s="523"/>
      <c r="AC487" s="523"/>
      <c r="AD487" s="523"/>
      <c r="AE487" s="523"/>
      <c r="AF487" s="523"/>
      <c r="AG487" s="523"/>
      <c r="AH487" s="523"/>
      <c r="AI487" s="523"/>
      <c r="AJ487" s="523"/>
      <c r="AK487" s="523">
        <f t="shared" si="541"/>
        <v>0</v>
      </c>
      <c r="AL487" s="523">
        <f t="shared" si="538"/>
        <v>0</v>
      </c>
      <c r="AM487" s="523">
        <f t="shared" si="538"/>
        <v>0</v>
      </c>
      <c r="AN487" s="523">
        <f t="shared" si="539"/>
        <v>0</v>
      </c>
      <c r="AO487" s="523">
        <f t="shared" si="539"/>
        <v>0</v>
      </c>
      <c r="AP487" s="523"/>
      <c r="AQ487" s="524"/>
      <c r="AR487" s="524"/>
    </row>
    <row r="488" spans="1:44" s="83" customFormat="1" hidden="1" outlineLevel="1">
      <c r="A488" s="521"/>
      <c r="B488" s="522" t="s">
        <v>196</v>
      </c>
      <c r="C488" s="528">
        <f t="shared" si="521"/>
        <v>10</v>
      </c>
      <c r="D488" s="523">
        <v>0</v>
      </c>
      <c r="E488" s="523">
        <v>0</v>
      </c>
      <c r="F488" s="523">
        <v>0</v>
      </c>
      <c r="G488" s="523">
        <v>10</v>
      </c>
      <c r="H488" s="523">
        <f t="shared" si="535"/>
        <v>15</v>
      </c>
      <c r="I488" s="523">
        <f t="shared" si="536"/>
        <v>0</v>
      </c>
      <c r="J488" s="523"/>
      <c r="K488" s="523"/>
      <c r="L488" s="523">
        <f t="shared" si="540"/>
        <v>15</v>
      </c>
      <c r="M488" s="523"/>
      <c r="N488" s="523">
        <v>15</v>
      </c>
      <c r="O488" s="523">
        <f t="shared" si="498"/>
        <v>24.7</v>
      </c>
      <c r="P488" s="543">
        <f t="shared" si="519"/>
        <v>0</v>
      </c>
      <c r="Q488" s="543">
        <f t="shared" si="520"/>
        <v>24.7</v>
      </c>
      <c r="R488" s="523">
        <f t="shared" si="499"/>
        <v>0</v>
      </c>
      <c r="S488" s="523"/>
      <c r="T488" s="523"/>
      <c r="U488" s="523">
        <f t="shared" si="500"/>
        <v>24.7</v>
      </c>
      <c r="V488" s="523"/>
      <c r="W488" s="523">
        <v>24.7</v>
      </c>
      <c r="X488" s="523"/>
      <c r="Y488" s="523"/>
      <c r="Z488" s="523"/>
      <c r="AA488" s="523"/>
      <c r="AB488" s="523"/>
      <c r="AC488" s="523"/>
      <c r="AD488" s="523"/>
      <c r="AE488" s="523"/>
      <c r="AF488" s="523"/>
      <c r="AG488" s="523"/>
      <c r="AH488" s="523"/>
      <c r="AI488" s="523"/>
      <c r="AJ488" s="523"/>
      <c r="AK488" s="523">
        <f t="shared" si="541"/>
        <v>0.30000000000000071</v>
      </c>
      <c r="AL488" s="523">
        <f t="shared" si="538"/>
        <v>0</v>
      </c>
      <c r="AM488" s="523">
        <f t="shared" si="538"/>
        <v>0</v>
      </c>
      <c r="AN488" s="523">
        <f t="shared" si="539"/>
        <v>0</v>
      </c>
      <c r="AO488" s="523">
        <f t="shared" si="539"/>
        <v>0.30000000000000071</v>
      </c>
      <c r="AP488" s="523"/>
      <c r="AQ488" s="524"/>
      <c r="AR488" s="524"/>
    </row>
    <row r="489" spans="1:44" s="83" customFormat="1" hidden="1" outlineLevel="1">
      <c r="A489" s="521"/>
      <c r="B489" s="522" t="s">
        <v>2217</v>
      </c>
      <c r="C489" s="528">
        <f t="shared" si="521"/>
        <v>0</v>
      </c>
      <c r="D489" s="523">
        <v>0</v>
      </c>
      <c r="E489" s="523">
        <v>0</v>
      </c>
      <c r="F489" s="523">
        <v>0</v>
      </c>
      <c r="G489" s="523">
        <v>0</v>
      </c>
      <c r="H489" s="523">
        <f t="shared" si="535"/>
        <v>15</v>
      </c>
      <c r="I489" s="523">
        <f t="shared" si="536"/>
        <v>0</v>
      </c>
      <c r="J489" s="523"/>
      <c r="K489" s="523"/>
      <c r="L489" s="523">
        <f t="shared" si="540"/>
        <v>15</v>
      </c>
      <c r="M489" s="523"/>
      <c r="N489" s="523">
        <v>15</v>
      </c>
      <c r="O489" s="523">
        <f t="shared" si="498"/>
        <v>0</v>
      </c>
      <c r="P489" s="543">
        <f t="shared" si="519"/>
        <v>0</v>
      </c>
      <c r="Q489" s="543">
        <f t="shared" si="520"/>
        <v>0</v>
      </c>
      <c r="R489" s="523">
        <f t="shared" si="499"/>
        <v>0</v>
      </c>
      <c r="S489" s="523"/>
      <c r="T489" s="523"/>
      <c r="U489" s="523">
        <f t="shared" si="500"/>
        <v>0</v>
      </c>
      <c r="V489" s="523"/>
      <c r="W489" s="523"/>
      <c r="X489" s="523"/>
      <c r="Y489" s="523"/>
      <c r="Z489" s="523"/>
      <c r="AA489" s="523"/>
      <c r="AB489" s="523"/>
      <c r="AC489" s="523"/>
      <c r="AD489" s="523"/>
      <c r="AE489" s="523"/>
      <c r="AF489" s="523"/>
      <c r="AG489" s="523"/>
      <c r="AH489" s="523"/>
      <c r="AI489" s="523"/>
      <c r="AJ489" s="523"/>
      <c r="AK489" s="523">
        <f t="shared" si="541"/>
        <v>15</v>
      </c>
      <c r="AL489" s="523">
        <f t="shared" si="538"/>
        <v>0</v>
      </c>
      <c r="AM489" s="523">
        <f t="shared" si="538"/>
        <v>0</v>
      </c>
      <c r="AN489" s="523">
        <f t="shared" si="539"/>
        <v>0</v>
      </c>
      <c r="AO489" s="523">
        <f t="shared" si="539"/>
        <v>15</v>
      </c>
      <c r="AP489" s="523"/>
      <c r="AQ489" s="524"/>
      <c r="AR489" s="524"/>
    </row>
    <row r="490" spans="1:44" s="83" customFormat="1" hidden="1" outlineLevel="1">
      <c r="A490" s="526"/>
      <c r="B490" s="565" t="s">
        <v>2218</v>
      </c>
      <c r="C490" s="528"/>
      <c r="D490" s="563"/>
      <c r="E490" s="563"/>
      <c r="F490" s="563"/>
      <c r="G490" s="563"/>
      <c r="H490" s="523">
        <f t="shared" si="535"/>
        <v>10</v>
      </c>
      <c r="I490" s="523">
        <f t="shared" si="536"/>
        <v>0</v>
      </c>
      <c r="J490" s="523"/>
      <c r="K490" s="523"/>
      <c r="L490" s="523">
        <f t="shared" si="540"/>
        <v>10</v>
      </c>
      <c r="M490" s="563"/>
      <c r="N490" s="563">
        <v>10</v>
      </c>
      <c r="O490" s="523">
        <f t="shared" si="498"/>
        <v>0</v>
      </c>
      <c r="P490" s="543">
        <f t="shared" si="519"/>
        <v>0</v>
      </c>
      <c r="Q490" s="543">
        <f t="shared" si="520"/>
        <v>0</v>
      </c>
      <c r="R490" s="523">
        <f t="shared" si="499"/>
        <v>0</v>
      </c>
      <c r="S490" s="523"/>
      <c r="T490" s="523"/>
      <c r="U490" s="523">
        <f t="shared" si="500"/>
        <v>0</v>
      </c>
      <c r="V490" s="563"/>
      <c r="W490" s="563"/>
      <c r="X490" s="563"/>
      <c r="Y490" s="563"/>
      <c r="Z490" s="563"/>
      <c r="AA490" s="563"/>
      <c r="AB490" s="563"/>
      <c r="AC490" s="563"/>
      <c r="AD490" s="563"/>
      <c r="AE490" s="523"/>
      <c r="AF490" s="523"/>
      <c r="AG490" s="523"/>
      <c r="AH490" s="523"/>
      <c r="AI490" s="563"/>
      <c r="AJ490" s="563"/>
      <c r="AK490" s="523">
        <f t="shared" si="541"/>
        <v>10</v>
      </c>
      <c r="AL490" s="523">
        <f t="shared" si="538"/>
        <v>0</v>
      </c>
      <c r="AM490" s="523">
        <f t="shared" si="538"/>
        <v>0</v>
      </c>
      <c r="AN490" s="523">
        <f t="shared" si="539"/>
        <v>0</v>
      </c>
      <c r="AO490" s="523">
        <f t="shared" si="539"/>
        <v>10</v>
      </c>
      <c r="AP490" s="523"/>
      <c r="AQ490" s="524"/>
      <c r="AR490" s="524"/>
    </row>
    <row r="491" spans="1:44" s="83" customFormat="1" hidden="1" outlineLevel="1">
      <c r="A491" s="526"/>
      <c r="B491" s="565" t="s">
        <v>396</v>
      </c>
      <c r="C491" s="528"/>
      <c r="D491" s="563"/>
      <c r="E491" s="563"/>
      <c r="F491" s="563"/>
      <c r="G491" s="563"/>
      <c r="H491" s="523">
        <f t="shared" si="535"/>
        <v>10</v>
      </c>
      <c r="I491" s="523">
        <f t="shared" si="536"/>
        <v>0</v>
      </c>
      <c r="J491" s="523"/>
      <c r="K491" s="523"/>
      <c r="L491" s="523">
        <f t="shared" si="540"/>
        <v>10</v>
      </c>
      <c r="M491" s="563"/>
      <c r="N491" s="563">
        <v>10</v>
      </c>
      <c r="O491" s="523">
        <f t="shared" si="498"/>
        <v>10</v>
      </c>
      <c r="P491" s="543">
        <f t="shared" si="519"/>
        <v>0</v>
      </c>
      <c r="Q491" s="543">
        <f t="shared" si="520"/>
        <v>10</v>
      </c>
      <c r="R491" s="523">
        <f t="shared" si="499"/>
        <v>0</v>
      </c>
      <c r="S491" s="523"/>
      <c r="T491" s="523"/>
      <c r="U491" s="523">
        <f t="shared" si="500"/>
        <v>10</v>
      </c>
      <c r="V491" s="563"/>
      <c r="W491" s="563">
        <v>10</v>
      </c>
      <c r="X491" s="563"/>
      <c r="Y491" s="563"/>
      <c r="Z491" s="563"/>
      <c r="AA491" s="563"/>
      <c r="AB491" s="563"/>
      <c r="AC491" s="563"/>
      <c r="AD491" s="563"/>
      <c r="AE491" s="523"/>
      <c r="AF491" s="523"/>
      <c r="AG491" s="523"/>
      <c r="AH491" s="523"/>
      <c r="AI491" s="563"/>
      <c r="AJ491" s="563"/>
      <c r="AK491" s="523">
        <f t="shared" si="541"/>
        <v>0</v>
      </c>
      <c r="AL491" s="523">
        <f t="shared" si="538"/>
        <v>0</v>
      </c>
      <c r="AM491" s="523">
        <f t="shared" si="538"/>
        <v>0</v>
      </c>
      <c r="AN491" s="523">
        <f t="shared" si="539"/>
        <v>0</v>
      </c>
      <c r="AO491" s="523">
        <f t="shared" si="539"/>
        <v>0</v>
      </c>
      <c r="AP491" s="523"/>
      <c r="AQ491" s="524"/>
      <c r="AR491" s="524"/>
    </row>
    <row r="492" spans="1:44" s="83" customFormat="1" hidden="1" outlineLevel="1">
      <c r="A492" s="549">
        <v>22</v>
      </c>
      <c r="B492" s="522" t="s">
        <v>509</v>
      </c>
      <c r="C492" s="528">
        <f t="shared" ref="C492:C497" si="542">SUM(D492:G492)</f>
        <v>7678.1119479999998</v>
      </c>
      <c r="D492" s="523">
        <v>0</v>
      </c>
      <c r="E492" s="523">
        <v>7678.1119479999998</v>
      </c>
      <c r="F492" s="523">
        <v>0</v>
      </c>
      <c r="G492" s="523">
        <v>0</v>
      </c>
      <c r="H492" s="523">
        <f t="shared" ref="H492:AR492" si="543">SUM(H493:H494)</f>
        <v>7918</v>
      </c>
      <c r="I492" s="523">
        <f t="shared" si="543"/>
        <v>7918</v>
      </c>
      <c r="J492" s="523">
        <f t="shared" si="543"/>
        <v>0</v>
      </c>
      <c r="K492" s="523">
        <f t="shared" si="543"/>
        <v>7918</v>
      </c>
      <c r="L492" s="523">
        <f t="shared" si="543"/>
        <v>0</v>
      </c>
      <c r="M492" s="523">
        <f t="shared" si="543"/>
        <v>0</v>
      </c>
      <c r="N492" s="523">
        <f t="shared" si="543"/>
        <v>0</v>
      </c>
      <c r="O492" s="523">
        <f t="shared" si="543"/>
        <v>8366.3758440000001</v>
      </c>
      <c r="P492" s="543">
        <f t="shared" si="519"/>
        <v>0</v>
      </c>
      <c r="Q492" s="543">
        <f t="shared" si="520"/>
        <v>8366.3758440000001</v>
      </c>
      <c r="R492" s="523">
        <f t="shared" si="543"/>
        <v>8366.3758440000001</v>
      </c>
      <c r="S492" s="523">
        <f t="shared" si="543"/>
        <v>0</v>
      </c>
      <c r="T492" s="523">
        <f t="shared" si="543"/>
        <v>8366.3758440000001</v>
      </c>
      <c r="U492" s="523">
        <f t="shared" si="543"/>
        <v>0</v>
      </c>
      <c r="V492" s="523">
        <f t="shared" si="543"/>
        <v>0</v>
      </c>
      <c r="W492" s="523">
        <f t="shared" si="543"/>
        <v>0</v>
      </c>
      <c r="X492" s="523">
        <f t="shared" si="543"/>
        <v>0</v>
      </c>
      <c r="Y492" s="523">
        <f t="shared" si="543"/>
        <v>0</v>
      </c>
      <c r="Z492" s="523">
        <f t="shared" si="543"/>
        <v>0</v>
      </c>
      <c r="AA492" s="523">
        <f t="shared" si="543"/>
        <v>0</v>
      </c>
      <c r="AB492" s="523">
        <f t="shared" si="543"/>
        <v>0</v>
      </c>
      <c r="AC492" s="523">
        <f t="shared" si="543"/>
        <v>0</v>
      </c>
      <c r="AD492" s="523">
        <f t="shared" si="543"/>
        <v>0</v>
      </c>
      <c r="AE492" s="523">
        <f t="shared" si="543"/>
        <v>0</v>
      </c>
      <c r="AF492" s="523">
        <f t="shared" si="543"/>
        <v>0</v>
      </c>
      <c r="AG492" s="523">
        <f t="shared" si="543"/>
        <v>0</v>
      </c>
      <c r="AH492" s="523">
        <f t="shared" si="543"/>
        <v>0</v>
      </c>
      <c r="AI492" s="523">
        <f t="shared" si="543"/>
        <v>0</v>
      </c>
      <c r="AJ492" s="523">
        <f t="shared" si="543"/>
        <v>0</v>
      </c>
      <c r="AK492" s="523">
        <f t="shared" si="543"/>
        <v>7229.7361039999996</v>
      </c>
      <c r="AL492" s="523">
        <f t="shared" si="543"/>
        <v>0</v>
      </c>
      <c r="AM492" s="523">
        <f t="shared" si="543"/>
        <v>7229.7361039999996</v>
      </c>
      <c r="AN492" s="523">
        <f t="shared" si="543"/>
        <v>0</v>
      </c>
      <c r="AO492" s="523">
        <f t="shared" si="543"/>
        <v>0</v>
      </c>
      <c r="AP492" s="523"/>
      <c r="AQ492" s="524">
        <f t="shared" si="543"/>
        <v>0</v>
      </c>
      <c r="AR492" s="524">
        <f t="shared" si="543"/>
        <v>7229.7361039999996</v>
      </c>
    </row>
    <row r="493" spans="1:44" s="83" customFormat="1" hidden="1" outlineLevel="1">
      <c r="A493" s="521"/>
      <c r="B493" s="522" t="s">
        <v>465</v>
      </c>
      <c r="C493" s="528">
        <f t="shared" si="542"/>
        <v>6880.1119479999998</v>
      </c>
      <c r="D493" s="523">
        <v>0</v>
      </c>
      <c r="E493" s="523">
        <v>6880.1119479999998</v>
      </c>
      <c r="F493" s="523">
        <v>0</v>
      </c>
      <c r="G493" s="523">
        <v>0</v>
      </c>
      <c r="H493" s="523">
        <f>I493+L493</f>
        <v>7918</v>
      </c>
      <c r="I493" s="523">
        <f>J493+K493</f>
        <v>7918</v>
      </c>
      <c r="J493" s="523"/>
      <c r="K493" s="523">
        <v>7918</v>
      </c>
      <c r="L493" s="523"/>
      <c r="M493" s="523"/>
      <c r="N493" s="523"/>
      <c r="O493" s="523">
        <f t="shared" si="498"/>
        <v>7711.495844</v>
      </c>
      <c r="P493" s="543">
        <f t="shared" si="519"/>
        <v>0</v>
      </c>
      <c r="Q493" s="543">
        <f t="shared" si="520"/>
        <v>7711.495844</v>
      </c>
      <c r="R493" s="523">
        <f t="shared" si="499"/>
        <v>7711.495844</v>
      </c>
      <c r="S493" s="523"/>
      <c r="T493" s="523">
        <v>7711.495844</v>
      </c>
      <c r="U493" s="523">
        <f t="shared" si="500"/>
        <v>0</v>
      </c>
      <c r="V493" s="523"/>
      <c r="W493" s="523"/>
      <c r="X493" s="523">
        <f>Y493+AB493+AE493+AH493</f>
        <v>0</v>
      </c>
      <c r="Y493" s="523">
        <f>Z493+AA493</f>
        <v>0</v>
      </c>
      <c r="Z493" s="523"/>
      <c r="AA493" s="523"/>
      <c r="AB493" s="523">
        <f>AC493+AD493</f>
        <v>0</v>
      </c>
      <c r="AC493" s="523"/>
      <c r="AD493" s="523"/>
      <c r="AE493" s="523">
        <f>AF493+AG493</f>
        <v>0</v>
      </c>
      <c r="AF493" s="523"/>
      <c r="AG493" s="523"/>
      <c r="AH493" s="523">
        <f>AI493+AJ493</f>
        <v>0</v>
      </c>
      <c r="AI493" s="523"/>
      <c r="AJ493" s="523"/>
      <c r="AK493" s="523">
        <f>SUM(AL493:AO493)</f>
        <v>7086.6161039999997</v>
      </c>
      <c r="AL493" s="523">
        <f>D493+J493-S493-Z493-AF493</f>
        <v>0</v>
      </c>
      <c r="AM493" s="523">
        <f>E493+K493-T493-AA493-AG493</f>
        <v>7086.6161039999997</v>
      </c>
      <c r="AN493" s="523">
        <f>F493+M493-V493-AC493-AI493</f>
        <v>0</v>
      </c>
      <c r="AO493" s="523">
        <f>G493+N493-W493-AD493-AJ493</f>
        <v>0</v>
      </c>
      <c r="AP493" s="523"/>
      <c r="AQ493" s="524"/>
      <c r="AR493" s="524">
        <v>7086.6161039999997</v>
      </c>
    </row>
    <row r="494" spans="1:44" s="85" customFormat="1" hidden="1" outlineLevel="1">
      <c r="A494" s="521"/>
      <c r="B494" s="522" t="s">
        <v>178</v>
      </c>
      <c r="C494" s="528">
        <f t="shared" si="542"/>
        <v>798</v>
      </c>
      <c r="D494" s="523">
        <v>0</v>
      </c>
      <c r="E494" s="523">
        <v>798</v>
      </c>
      <c r="F494" s="523">
        <v>0</v>
      </c>
      <c r="G494" s="523">
        <v>0</v>
      </c>
      <c r="H494" s="523">
        <f>I494+L494</f>
        <v>0</v>
      </c>
      <c r="I494" s="523">
        <f>J494+K494</f>
        <v>0</v>
      </c>
      <c r="J494" s="523"/>
      <c r="K494" s="523"/>
      <c r="L494" s="523"/>
      <c r="M494" s="523"/>
      <c r="N494" s="523"/>
      <c r="O494" s="523">
        <f t="shared" si="498"/>
        <v>654.88</v>
      </c>
      <c r="P494" s="543">
        <f t="shared" si="519"/>
        <v>0</v>
      </c>
      <c r="Q494" s="543">
        <f t="shared" si="520"/>
        <v>654.88</v>
      </c>
      <c r="R494" s="523">
        <f t="shared" si="499"/>
        <v>654.88</v>
      </c>
      <c r="S494" s="523"/>
      <c r="T494" s="523">
        <v>654.88</v>
      </c>
      <c r="U494" s="523">
        <f t="shared" si="500"/>
        <v>0</v>
      </c>
      <c r="V494" s="523"/>
      <c r="W494" s="523"/>
      <c r="X494" s="523"/>
      <c r="Y494" s="523"/>
      <c r="Z494" s="523"/>
      <c r="AA494" s="523"/>
      <c r="AB494" s="523"/>
      <c r="AC494" s="523"/>
      <c r="AD494" s="523"/>
      <c r="AE494" s="523"/>
      <c r="AF494" s="523"/>
      <c r="AG494" s="523"/>
      <c r="AH494" s="523"/>
      <c r="AI494" s="523"/>
      <c r="AJ494" s="523"/>
      <c r="AK494" s="523">
        <f>SUM(AL494:AO494)</f>
        <v>143.12</v>
      </c>
      <c r="AL494" s="523">
        <f>D494+J494-S494-Z494-AF494</f>
        <v>0</v>
      </c>
      <c r="AM494" s="523">
        <f>E494+K494-T494-AA494-AG494</f>
        <v>143.12</v>
      </c>
      <c r="AN494" s="523">
        <f>F494+M494-V494-AC494-AI494</f>
        <v>0</v>
      </c>
      <c r="AO494" s="523">
        <f>G494+N494-W494-AD494-AJ494</f>
        <v>0</v>
      </c>
      <c r="AP494" s="523"/>
      <c r="AQ494" s="524"/>
      <c r="AR494" s="524">
        <v>143.12</v>
      </c>
    </row>
    <row r="495" spans="1:44" s="83" customFormat="1" hidden="1" outlineLevel="1">
      <c r="A495" s="549">
        <v>23</v>
      </c>
      <c r="B495" s="522" t="s">
        <v>2219</v>
      </c>
      <c r="C495" s="528">
        <f t="shared" si="542"/>
        <v>2454</v>
      </c>
      <c r="D495" s="523">
        <v>0</v>
      </c>
      <c r="E495" s="523">
        <v>2454</v>
      </c>
      <c r="F495" s="523">
        <v>0</v>
      </c>
      <c r="G495" s="523">
        <v>0</v>
      </c>
      <c r="H495" s="523">
        <f t="shared" ref="H495:AR495" si="544">SUM(H496:H496)</f>
        <v>1081</v>
      </c>
      <c r="I495" s="523">
        <f t="shared" si="544"/>
        <v>1081</v>
      </c>
      <c r="J495" s="523">
        <f t="shared" si="544"/>
        <v>0</v>
      </c>
      <c r="K495" s="523">
        <f t="shared" si="544"/>
        <v>1081</v>
      </c>
      <c r="L495" s="523">
        <f t="shared" si="544"/>
        <v>0</v>
      </c>
      <c r="M495" s="523">
        <f t="shared" si="544"/>
        <v>0</v>
      </c>
      <c r="N495" s="523">
        <f t="shared" si="544"/>
        <v>0</v>
      </c>
      <c r="O495" s="523">
        <f t="shared" si="544"/>
        <v>3487.9409999999998</v>
      </c>
      <c r="P495" s="543">
        <f t="shared" si="519"/>
        <v>0</v>
      </c>
      <c r="Q495" s="543">
        <f t="shared" si="520"/>
        <v>3487.9409999999998</v>
      </c>
      <c r="R495" s="523">
        <f t="shared" si="544"/>
        <v>3487.9409999999998</v>
      </c>
      <c r="S495" s="523">
        <f t="shared" si="544"/>
        <v>0</v>
      </c>
      <c r="T495" s="523">
        <f t="shared" si="544"/>
        <v>3487.9409999999998</v>
      </c>
      <c r="U495" s="523">
        <f t="shared" si="544"/>
        <v>0</v>
      </c>
      <c r="V495" s="523">
        <f t="shared" si="544"/>
        <v>0</v>
      </c>
      <c r="W495" s="523">
        <f t="shared" si="544"/>
        <v>0</v>
      </c>
      <c r="X495" s="523">
        <f t="shared" si="544"/>
        <v>0</v>
      </c>
      <c r="Y495" s="523">
        <f t="shared" si="544"/>
        <v>0</v>
      </c>
      <c r="Z495" s="523">
        <f t="shared" si="544"/>
        <v>0</v>
      </c>
      <c r="AA495" s="523">
        <f t="shared" si="544"/>
        <v>0</v>
      </c>
      <c r="AB495" s="523">
        <f t="shared" si="544"/>
        <v>0</v>
      </c>
      <c r="AC495" s="523">
        <f t="shared" si="544"/>
        <v>0</v>
      </c>
      <c r="AD495" s="523">
        <f t="shared" si="544"/>
        <v>0</v>
      </c>
      <c r="AE495" s="523">
        <f t="shared" si="544"/>
        <v>0</v>
      </c>
      <c r="AF495" s="523">
        <f t="shared" si="544"/>
        <v>0</v>
      </c>
      <c r="AG495" s="523">
        <f t="shared" si="544"/>
        <v>0</v>
      </c>
      <c r="AH495" s="523">
        <f t="shared" si="544"/>
        <v>0</v>
      </c>
      <c r="AI495" s="523">
        <f t="shared" si="544"/>
        <v>0</v>
      </c>
      <c r="AJ495" s="523">
        <f t="shared" si="544"/>
        <v>0</v>
      </c>
      <c r="AK495" s="523">
        <f t="shared" si="544"/>
        <v>47.059000000000196</v>
      </c>
      <c r="AL495" s="523">
        <f t="shared" si="544"/>
        <v>0</v>
      </c>
      <c r="AM495" s="523">
        <f t="shared" si="544"/>
        <v>47.059000000000196</v>
      </c>
      <c r="AN495" s="523">
        <f t="shared" si="544"/>
        <v>0</v>
      </c>
      <c r="AO495" s="523">
        <f t="shared" si="544"/>
        <v>0</v>
      </c>
      <c r="AP495" s="523"/>
      <c r="AQ495" s="524">
        <f t="shared" si="544"/>
        <v>0</v>
      </c>
      <c r="AR495" s="524">
        <f t="shared" si="544"/>
        <v>47.059000000000196</v>
      </c>
    </row>
    <row r="496" spans="1:44" s="83" customFormat="1" hidden="1" outlineLevel="1">
      <c r="A496" s="549"/>
      <c r="B496" s="522" t="s">
        <v>513</v>
      </c>
      <c r="C496" s="528">
        <f t="shared" si="542"/>
        <v>2454</v>
      </c>
      <c r="D496" s="523">
        <v>0</v>
      </c>
      <c r="E496" s="523">
        <v>2454</v>
      </c>
      <c r="F496" s="523">
        <v>0</v>
      </c>
      <c r="G496" s="523">
        <v>0</v>
      </c>
      <c r="H496" s="523">
        <f>I496+L496</f>
        <v>1081</v>
      </c>
      <c r="I496" s="523">
        <f>J496+K496</f>
        <v>1081</v>
      </c>
      <c r="J496" s="523"/>
      <c r="K496" s="523">
        <v>1081</v>
      </c>
      <c r="L496" s="523"/>
      <c r="M496" s="523"/>
      <c r="N496" s="523"/>
      <c r="O496" s="523">
        <f t="shared" ref="O496:O559" si="545">R496+U496</f>
        <v>3487.9409999999998</v>
      </c>
      <c r="P496" s="543">
        <f t="shared" si="519"/>
        <v>0</v>
      </c>
      <c r="Q496" s="543">
        <f t="shared" si="520"/>
        <v>3487.9409999999998</v>
      </c>
      <c r="R496" s="523">
        <f t="shared" ref="R496:R559" si="546">S496+T496</f>
        <v>3487.9409999999998</v>
      </c>
      <c r="S496" s="523"/>
      <c r="T496" s="523">
        <v>3487.9409999999998</v>
      </c>
      <c r="U496" s="523">
        <f t="shared" ref="U496:U559" si="547">V496+W496</f>
        <v>0</v>
      </c>
      <c r="V496" s="523"/>
      <c r="W496" s="523"/>
      <c r="X496" s="523">
        <f>Y496+AB496+AE496+AH496</f>
        <v>0</v>
      </c>
      <c r="Y496" s="523"/>
      <c r="Z496" s="523"/>
      <c r="AA496" s="523"/>
      <c r="AB496" s="523"/>
      <c r="AC496" s="523"/>
      <c r="AD496" s="523"/>
      <c r="AE496" s="523">
        <f>AF496+AG496</f>
        <v>0</v>
      </c>
      <c r="AF496" s="523"/>
      <c r="AG496" s="523"/>
      <c r="AH496" s="523">
        <f>AI496+AJ496</f>
        <v>0</v>
      </c>
      <c r="AI496" s="523"/>
      <c r="AJ496" s="523"/>
      <c r="AK496" s="523">
        <f>SUM(AL496:AO496)</f>
        <v>47.059000000000196</v>
      </c>
      <c r="AL496" s="523">
        <f>D496+J496-S496-Z496-AF496</f>
        <v>0</v>
      </c>
      <c r="AM496" s="523">
        <f>E496+K496-T496-AA496-AG496</f>
        <v>47.059000000000196</v>
      </c>
      <c r="AN496" s="523">
        <f>F496+M496-V496-AC496-AI496</f>
        <v>0</v>
      </c>
      <c r="AO496" s="523">
        <f>G496+N496-W496-AD496-AJ496</f>
        <v>0</v>
      </c>
      <c r="AP496" s="523"/>
      <c r="AQ496" s="524"/>
      <c r="AR496" s="524">
        <v>47.059000000000196</v>
      </c>
    </row>
    <row r="497" spans="1:45" s="83" customFormat="1" hidden="1" outlineLevel="1">
      <c r="A497" s="521">
        <v>24</v>
      </c>
      <c r="B497" s="522" t="s">
        <v>2220</v>
      </c>
      <c r="C497" s="528">
        <f t="shared" si="542"/>
        <v>2490</v>
      </c>
      <c r="D497" s="523">
        <v>0</v>
      </c>
      <c r="E497" s="523">
        <v>2490</v>
      </c>
      <c r="F497" s="523">
        <v>0</v>
      </c>
      <c r="G497" s="523">
        <v>0</v>
      </c>
      <c r="H497" s="523">
        <f>SUM(H498:H499)</f>
        <v>1590</v>
      </c>
      <c r="I497" s="523">
        <f>SUM(I498:I499)</f>
        <v>1590</v>
      </c>
      <c r="J497" s="523">
        <f t="shared" ref="J497:AR497" si="548">SUM(J498:J499)</f>
        <v>0</v>
      </c>
      <c r="K497" s="523">
        <f t="shared" si="548"/>
        <v>1590</v>
      </c>
      <c r="L497" s="523">
        <f t="shared" si="548"/>
        <v>0</v>
      </c>
      <c r="M497" s="523">
        <f t="shared" si="548"/>
        <v>0</v>
      </c>
      <c r="N497" s="523">
        <f t="shared" si="548"/>
        <v>0</v>
      </c>
      <c r="O497" s="523">
        <f t="shared" si="548"/>
        <v>4074.55</v>
      </c>
      <c r="P497" s="543">
        <f t="shared" si="519"/>
        <v>0</v>
      </c>
      <c r="Q497" s="543">
        <f t="shared" si="520"/>
        <v>4074.55</v>
      </c>
      <c r="R497" s="523">
        <f t="shared" si="548"/>
        <v>4074.55</v>
      </c>
      <c r="S497" s="523">
        <f t="shared" si="548"/>
        <v>0</v>
      </c>
      <c r="T497" s="523">
        <f t="shared" si="548"/>
        <v>4074.55</v>
      </c>
      <c r="U497" s="523">
        <f t="shared" si="548"/>
        <v>0</v>
      </c>
      <c r="V497" s="523">
        <f t="shared" si="548"/>
        <v>0</v>
      </c>
      <c r="W497" s="523">
        <f t="shared" si="548"/>
        <v>0</v>
      </c>
      <c r="X497" s="523">
        <f t="shared" si="548"/>
        <v>0</v>
      </c>
      <c r="Y497" s="523">
        <f t="shared" si="548"/>
        <v>0</v>
      </c>
      <c r="Z497" s="523">
        <f t="shared" si="548"/>
        <v>0</v>
      </c>
      <c r="AA497" s="523">
        <f t="shared" si="548"/>
        <v>0</v>
      </c>
      <c r="AB497" s="523">
        <f t="shared" si="548"/>
        <v>0</v>
      </c>
      <c r="AC497" s="523">
        <f t="shared" si="548"/>
        <v>0</v>
      </c>
      <c r="AD497" s="523">
        <f t="shared" si="548"/>
        <v>0</v>
      </c>
      <c r="AE497" s="523">
        <f t="shared" si="548"/>
        <v>0</v>
      </c>
      <c r="AF497" s="523">
        <f t="shared" si="548"/>
        <v>0</v>
      </c>
      <c r="AG497" s="523">
        <f t="shared" si="548"/>
        <v>0</v>
      </c>
      <c r="AH497" s="523">
        <f t="shared" si="548"/>
        <v>0</v>
      </c>
      <c r="AI497" s="523">
        <f t="shared" si="548"/>
        <v>0</v>
      </c>
      <c r="AJ497" s="523">
        <f t="shared" si="548"/>
        <v>0</v>
      </c>
      <c r="AK497" s="523">
        <f t="shared" si="548"/>
        <v>5.4500000000000028</v>
      </c>
      <c r="AL497" s="523">
        <f t="shared" si="548"/>
        <v>0</v>
      </c>
      <c r="AM497" s="523">
        <f t="shared" si="548"/>
        <v>5.4500000000000028</v>
      </c>
      <c r="AN497" s="523">
        <f t="shared" si="548"/>
        <v>0</v>
      </c>
      <c r="AO497" s="523">
        <f t="shared" si="548"/>
        <v>0</v>
      </c>
      <c r="AP497" s="523"/>
      <c r="AQ497" s="524">
        <f t="shared" si="548"/>
        <v>0</v>
      </c>
      <c r="AR497" s="524">
        <f t="shared" si="548"/>
        <v>5.4500000000000028</v>
      </c>
    </row>
    <row r="498" spans="1:45" s="83" customFormat="1" hidden="1" outlineLevel="1">
      <c r="A498" s="521"/>
      <c r="B498" s="522" t="s">
        <v>2146</v>
      </c>
      <c r="C498" s="528"/>
      <c r="D498" s="523"/>
      <c r="E498" s="523"/>
      <c r="F498" s="523"/>
      <c r="G498" s="523"/>
      <c r="H498" s="523">
        <f>I498+L498</f>
        <v>50</v>
      </c>
      <c r="I498" s="523">
        <f>J498+K498</f>
        <v>50</v>
      </c>
      <c r="J498" s="523"/>
      <c r="K498" s="523">
        <v>50</v>
      </c>
      <c r="L498" s="523"/>
      <c r="M498" s="523"/>
      <c r="N498" s="523"/>
      <c r="O498" s="523">
        <f t="shared" si="545"/>
        <v>44.55</v>
      </c>
      <c r="P498" s="543">
        <f t="shared" si="519"/>
        <v>0</v>
      </c>
      <c r="Q498" s="543">
        <f t="shared" si="520"/>
        <v>44.55</v>
      </c>
      <c r="R498" s="523">
        <f t="shared" si="546"/>
        <v>44.55</v>
      </c>
      <c r="S498" s="523"/>
      <c r="T498" s="523">
        <v>44.55</v>
      </c>
      <c r="U498" s="523">
        <f t="shared" si="547"/>
        <v>0</v>
      </c>
      <c r="V498" s="523"/>
      <c r="W498" s="523"/>
      <c r="X498" s="523"/>
      <c r="Y498" s="523"/>
      <c r="Z498" s="523"/>
      <c r="AA498" s="523"/>
      <c r="AB498" s="523"/>
      <c r="AC498" s="523"/>
      <c r="AD498" s="523"/>
      <c r="AE498" s="523"/>
      <c r="AF498" s="523"/>
      <c r="AG498" s="523"/>
      <c r="AH498" s="523"/>
      <c r="AI498" s="523"/>
      <c r="AJ498" s="523"/>
      <c r="AK498" s="523">
        <f>SUM(AL498:AO498)</f>
        <v>5.4500000000000028</v>
      </c>
      <c r="AL498" s="523">
        <f>D498+J498-S498-Z498-AF498</f>
        <v>0</v>
      </c>
      <c r="AM498" s="523">
        <f>E498+K498-T498-AA498-AG498</f>
        <v>5.4500000000000028</v>
      </c>
      <c r="AN498" s="523">
        <f>F498+L498-U498-AB498-AH498</f>
        <v>0</v>
      </c>
      <c r="AO498" s="523">
        <f>G498+M498-V498-AC498-AI498</f>
        <v>0</v>
      </c>
      <c r="AP498" s="523"/>
      <c r="AQ498" s="524"/>
      <c r="AR498" s="524">
        <v>5.4500000000000028</v>
      </c>
    </row>
    <row r="499" spans="1:45" s="83" customFormat="1" hidden="1" outlineLevel="1">
      <c r="A499" s="521"/>
      <c r="B499" s="522" t="s">
        <v>514</v>
      </c>
      <c r="C499" s="528">
        <f t="shared" ref="C499:C521" si="549">SUM(D499:G499)</f>
        <v>2490</v>
      </c>
      <c r="D499" s="523">
        <v>0</v>
      </c>
      <c r="E499" s="523">
        <v>2490</v>
      </c>
      <c r="F499" s="523">
        <v>0</v>
      </c>
      <c r="G499" s="523">
        <v>0</v>
      </c>
      <c r="H499" s="523">
        <f>I499+L499</f>
        <v>1540</v>
      </c>
      <c r="I499" s="523">
        <f>J499+K499</f>
        <v>1540</v>
      </c>
      <c r="J499" s="523"/>
      <c r="K499" s="523">
        <v>1540</v>
      </c>
      <c r="L499" s="523"/>
      <c r="M499" s="523"/>
      <c r="N499" s="523"/>
      <c r="O499" s="523">
        <f t="shared" si="545"/>
        <v>4030</v>
      </c>
      <c r="P499" s="543">
        <f t="shared" si="519"/>
        <v>0</v>
      </c>
      <c r="Q499" s="543">
        <f t="shared" si="520"/>
        <v>4030</v>
      </c>
      <c r="R499" s="523">
        <f t="shared" si="546"/>
        <v>4030</v>
      </c>
      <c r="S499" s="523"/>
      <c r="T499" s="523">
        <v>4030</v>
      </c>
      <c r="U499" s="523">
        <f t="shared" si="547"/>
        <v>0</v>
      </c>
      <c r="V499" s="523"/>
      <c r="W499" s="523"/>
      <c r="X499" s="523"/>
      <c r="Y499" s="523"/>
      <c r="Z499" s="523"/>
      <c r="AA499" s="523"/>
      <c r="AB499" s="523"/>
      <c r="AC499" s="523"/>
      <c r="AD499" s="523"/>
      <c r="AE499" s="523"/>
      <c r="AF499" s="523"/>
      <c r="AG499" s="523"/>
      <c r="AH499" s="523"/>
      <c r="AI499" s="523"/>
      <c r="AJ499" s="523"/>
      <c r="AK499" s="523">
        <f>SUM(AL499:AO499)</f>
        <v>0</v>
      </c>
      <c r="AL499" s="523">
        <f>D499+J499-S499-Z499-AF499</f>
        <v>0</v>
      </c>
      <c r="AM499" s="523">
        <f>E499+K499-T499-AA499-AG499</f>
        <v>0</v>
      </c>
      <c r="AN499" s="523">
        <f>F499+M499-V499-AC499-AI499</f>
        <v>0</v>
      </c>
      <c r="AO499" s="523">
        <f>G499+N499-W499-AD499-AJ499</f>
        <v>0</v>
      </c>
      <c r="AP499" s="523"/>
      <c r="AQ499" s="524"/>
      <c r="AR499" s="524"/>
    </row>
    <row r="500" spans="1:45" s="83" customFormat="1" ht="27.6" hidden="1" outlineLevel="1">
      <c r="A500" s="521">
        <v>25</v>
      </c>
      <c r="B500" s="522" t="s">
        <v>487</v>
      </c>
      <c r="C500" s="523">
        <f t="shared" ref="C500:G500" si="550">SUM(C501:C517)</f>
        <v>33568.19</v>
      </c>
      <c r="D500" s="523">
        <f t="shared" si="550"/>
        <v>0</v>
      </c>
      <c r="E500" s="523">
        <f t="shared" si="550"/>
        <v>33568.19</v>
      </c>
      <c r="F500" s="523">
        <f t="shared" si="550"/>
        <v>0</v>
      </c>
      <c r="G500" s="523">
        <f t="shared" si="550"/>
        <v>0</v>
      </c>
      <c r="H500" s="523">
        <f t="shared" ref="H500:AR500" si="551">SUM(H501:H517)</f>
        <v>24700</v>
      </c>
      <c r="I500" s="523">
        <f t="shared" si="551"/>
        <v>24700</v>
      </c>
      <c r="J500" s="523">
        <f t="shared" si="551"/>
        <v>0</v>
      </c>
      <c r="K500" s="523">
        <f t="shared" si="551"/>
        <v>24700</v>
      </c>
      <c r="L500" s="523">
        <f t="shared" si="551"/>
        <v>0</v>
      </c>
      <c r="M500" s="523">
        <f t="shared" si="551"/>
        <v>0</v>
      </c>
      <c r="N500" s="523">
        <f t="shared" si="551"/>
        <v>0</v>
      </c>
      <c r="O500" s="523">
        <f t="shared" si="551"/>
        <v>39201.195871999989</v>
      </c>
      <c r="P500" s="543">
        <f t="shared" si="519"/>
        <v>0</v>
      </c>
      <c r="Q500" s="543">
        <f t="shared" si="520"/>
        <v>39201.195871999989</v>
      </c>
      <c r="R500" s="523">
        <f t="shared" si="551"/>
        <v>39201.195871999989</v>
      </c>
      <c r="S500" s="523">
        <f t="shared" si="551"/>
        <v>0</v>
      </c>
      <c r="T500" s="523">
        <f t="shared" si="551"/>
        <v>39201.195871999989</v>
      </c>
      <c r="U500" s="523">
        <f t="shared" si="551"/>
        <v>0</v>
      </c>
      <c r="V500" s="523">
        <f t="shared" si="551"/>
        <v>0</v>
      </c>
      <c r="W500" s="523">
        <f t="shared" si="551"/>
        <v>0</v>
      </c>
      <c r="X500" s="523">
        <f t="shared" si="551"/>
        <v>117</v>
      </c>
      <c r="Y500" s="523">
        <f t="shared" si="551"/>
        <v>117</v>
      </c>
      <c r="Z500" s="523">
        <f t="shared" si="551"/>
        <v>0</v>
      </c>
      <c r="AA500" s="523">
        <f t="shared" si="551"/>
        <v>117</v>
      </c>
      <c r="AB500" s="523">
        <f t="shared" si="551"/>
        <v>0</v>
      </c>
      <c r="AC500" s="523">
        <f t="shared" si="551"/>
        <v>0</v>
      </c>
      <c r="AD500" s="523">
        <f t="shared" si="551"/>
        <v>0</v>
      </c>
      <c r="AE500" s="523">
        <f t="shared" si="551"/>
        <v>0</v>
      </c>
      <c r="AF500" s="523">
        <f t="shared" si="551"/>
        <v>0</v>
      </c>
      <c r="AG500" s="523">
        <f t="shared" si="551"/>
        <v>0</v>
      </c>
      <c r="AH500" s="523">
        <f t="shared" si="551"/>
        <v>0</v>
      </c>
      <c r="AI500" s="523">
        <f t="shared" si="551"/>
        <v>0</v>
      </c>
      <c r="AJ500" s="523">
        <f t="shared" si="551"/>
        <v>0</v>
      </c>
      <c r="AK500" s="523">
        <f t="shared" si="551"/>
        <v>18948.994127999998</v>
      </c>
      <c r="AL500" s="523">
        <f t="shared" si="551"/>
        <v>0</v>
      </c>
      <c r="AM500" s="523">
        <f t="shared" si="551"/>
        <v>18948.994127999998</v>
      </c>
      <c r="AN500" s="523">
        <f t="shared" si="551"/>
        <v>0</v>
      </c>
      <c r="AO500" s="523">
        <f t="shared" si="551"/>
        <v>0</v>
      </c>
      <c r="AP500" s="523"/>
      <c r="AQ500" s="524">
        <f t="shared" si="551"/>
        <v>18948.994127999998</v>
      </c>
      <c r="AR500" s="524">
        <f t="shared" si="551"/>
        <v>0</v>
      </c>
      <c r="AS500" s="83" t="s">
        <v>2181</v>
      </c>
    </row>
    <row r="501" spans="1:45" s="83" customFormat="1" hidden="1" outlineLevel="1">
      <c r="A501" s="521"/>
      <c r="B501" s="522" t="s">
        <v>488</v>
      </c>
      <c r="C501" s="528">
        <f t="shared" si="549"/>
        <v>0</v>
      </c>
      <c r="D501" s="523">
        <v>0</v>
      </c>
      <c r="E501" s="523">
        <v>0</v>
      </c>
      <c r="F501" s="523">
        <v>0</v>
      </c>
      <c r="G501" s="523">
        <v>0</v>
      </c>
      <c r="H501" s="523">
        <f t="shared" ref="H501:H517" si="552">I501+L501</f>
        <v>48.550999999999931</v>
      </c>
      <c r="I501" s="523">
        <f t="shared" ref="I501:I517" si="553">J501+K501</f>
        <v>48.550999999999931</v>
      </c>
      <c r="J501" s="523"/>
      <c r="K501" s="523">
        <v>48.550999999999931</v>
      </c>
      <c r="L501" s="523"/>
      <c r="M501" s="523"/>
      <c r="N501" s="523"/>
      <c r="O501" s="523">
        <f t="shared" si="545"/>
        <v>48.550999999999931</v>
      </c>
      <c r="P501" s="543">
        <f t="shared" si="519"/>
        <v>0</v>
      </c>
      <c r="Q501" s="543">
        <f t="shared" si="520"/>
        <v>48.550999999999931</v>
      </c>
      <c r="R501" s="523">
        <f t="shared" si="546"/>
        <v>48.550999999999931</v>
      </c>
      <c r="S501" s="523"/>
      <c r="T501" s="523">
        <v>48.550999999999931</v>
      </c>
      <c r="U501" s="523">
        <f t="shared" si="547"/>
        <v>0</v>
      </c>
      <c r="V501" s="523"/>
      <c r="W501" s="523"/>
      <c r="X501" s="523">
        <f t="shared" ref="X501:X507" si="554">Y501+AB501+AE501+AH501</f>
        <v>0</v>
      </c>
      <c r="Y501" s="523"/>
      <c r="Z501" s="523"/>
      <c r="AA501" s="523"/>
      <c r="AB501" s="523"/>
      <c r="AC501" s="523"/>
      <c r="AD501" s="523"/>
      <c r="AE501" s="523">
        <f t="shared" ref="AE501:AE507" si="555">AF501+AG501</f>
        <v>0</v>
      </c>
      <c r="AF501" s="523"/>
      <c r="AG501" s="523"/>
      <c r="AH501" s="523">
        <f t="shared" ref="AH501:AH507" si="556">AI501+AJ501</f>
        <v>0</v>
      </c>
      <c r="AI501" s="523"/>
      <c r="AJ501" s="523"/>
      <c r="AK501" s="523">
        <f t="shared" ref="AK501:AK517" si="557">SUM(AL501:AO501)</f>
        <v>0</v>
      </c>
      <c r="AL501" s="523">
        <f t="shared" ref="AL501:AM516" si="558">D501+J501-S501-Z501-AF501</f>
        <v>0</v>
      </c>
      <c r="AM501" s="523">
        <f t="shared" si="558"/>
        <v>0</v>
      </c>
      <c r="AN501" s="523">
        <f t="shared" ref="AN501:AO516" si="559">F501+M501-V501-AC501-AI501</f>
        <v>0</v>
      </c>
      <c r="AO501" s="523">
        <f t="shared" si="559"/>
        <v>0</v>
      </c>
      <c r="AP501" s="523"/>
      <c r="AQ501" s="524">
        <v>0</v>
      </c>
      <c r="AR501" s="524"/>
    </row>
    <row r="502" spans="1:45" s="83" customFormat="1" hidden="1" outlineLevel="1">
      <c r="A502" s="521"/>
      <c r="B502" s="522" t="s">
        <v>489</v>
      </c>
      <c r="C502" s="528">
        <f t="shared" si="549"/>
        <v>0</v>
      </c>
      <c r="D502" s="523">
        <v>0</v>
      </c>
      <c r="E502" s="523">
        <v>0</v>
      </c>
      <c r="F502" s="523">
        <v>0</v>
      </c>
      <c r="G502" s="523">
        <v>0</v>
      </c>
      <c r="H502" s="523">
        <f t="shared" si="552"/>
        <v>0</v>
      </c>
      <c r="I502" s="523">
        <f t="shared" si="553"/>
        <v>0</v>
      </c>
      <c r="J502" s="523"/>
      <c r="K502" s="523">
        <v>0</v>
      </c>
      <c r="L502" s="523"/>
      <c r="M502" s="523"/>
      <c r="N502" s="523"/>
      <c r="O502" s="523">
        <f t="shared" si="545"/>
        <v>0</v>
      </c>
      <c r="P502" s="543">
        <f t="shared" si="519"/>
        <v>0</v>
      </c>
      <c r="Q502" s="543">
        <f t="shared" si="520"/>
        <v>0</v>
      </c>
      <c r="R502" s="523">
        <f t="shared" si="546"/>
        <v>0</v>
      </c>
      <c r="S502" s="523"/>
      <c r="T502" s="523"/>
      <c r="U502" s="523">
        <f t="shared" si="547"/>
        <v>0</v>
      </c>
      <c r="V502" s="523"/>
      <c r="W502" s="523"/>
      <c r="X502" s="523">
        <f t="shared" si="554"/>
        <v>0</v>
      </c>
      <c r="Y502" s="523"/>
      <c r="Z502" s="523"/>
      <c r="AA502" s="523"/>
      <c r="AB502" s="523"/>
      <c r="AC502" s="523"/>
      <c r="AD502" s="523"/>
      <c r="AE502" s="523">
        <f t="shared" si="555"/>
        <v>0</v>
      </c>
      <c r="AF502" s="523"/>
      <c r="AG502" s="523"/>
      <c r="AH502" s="523">
        <f t="shared" si="556"/>
        <v>0</v>
      </c>
      <c r="AI502" s="523"/>
      <c r="AJ502" s="523"/>
      <c r="AK502" s="523">
        <f t="shared" si="557"/>
        <v>0</v>
      </c>
      <c r="AL502" s="523">
        <f t="shared" si="558"/>
        <v>0</v>
      </c>
      <c r="AM502" s="523">
        <f t="shared" si="558"/>
        <v>0</v>
      </c>
      <c r="AN502" s="523">
        <f t="shared" si="559"/>
        <v>0</v>
      </c>
      <c r="AO502" s="523">
        <f t="shared" si="559"/>
        <v>0</v>
      </c>
      <c r="AP502" s="523"/>
      <c r="AQ502" s="524">
        <v>0</v>
      </c>
      <c r="AR502" s="524"/>
    </row>
    <row r="503" spans="1:45" s="83" customFormat="1" hidden="1" outlineLevel="1">
      <c r="A503" s="521"/>
      <c r="B503" s="522" t="s">
        <v>2033</v>
      </c>
      <c r="C503" s="528">
        <f t="shared" si="549"/>
        <v>3188</v>
      </c>
      <c r="D503" s="523"/>
      <c r="E503" s="523">
        <v>3188</v>
      </c>
      <c r="F503" s="523"/>
      <c r="G503" s="523"/>
      <c r="H503" s="523">
        <f t="shared" si="552"/>
        <v>6327.4490000000005</v>
      </c>
      <c r="I503" s="523">
        <f t="shared" si="553"/>
        <v>6327.4490000000005</v>
      </c>
      <c r="J503" s="523"/>
      <c r="K503" s="523">
        <v>6327.4490000000005</v>
      </c>
      <c r="L503" s="523"/>
      <c r="M503" s="523"/>
      <c r="N503" s="523"/>
      <c r="O503" s="523">
        <f t="shared" si="545"/>
        <v>6093.3239999999996</v>
      </c>
      <c r="P503" s="543">
        <f t="shared" si="519"/>
        <v>0</v>
      </c>
      <c r="Q503" s="543">
        <f t="shared" si="520"/>
        <v>6093.3239999999996</v>
      </c>
      <c r="R503" s="523">
        <f t="shared" si="546"/>
        <v>6093.3239999999996</v>
      </c>
      <c r="S503" s="523"/>
      <c r="T503" s="523">
        <v>6093.3239999999996</v>
      </c>
      <c r="U503" s="523"/>
      <c r="V503" s="523"/>
      <c r="W503" s="523"/>
      <c r="X503" s="523"/>
      <c r="Y503" s="523"/>
      <c r="Z503" s="523"/>
      <c r="AA503" s="523"/>
      <c r="AB503" s="523"/>
      <c r="AC503" s="523"/>
      <c r="AD503" s="523"/>
      <c r="AE503" s="523"/>
      <c r="AF503" s="523"/>
      <c r="AG503" s="523"/>
      <c r="AH503" s="523"/>
      <c r="AI503" s="523"/>
      <c r="AJ503" s="523"/>
      <c r="AK503" s="523">
        <f t="shared" si="557"/>
        <v>3422.1250000000009</v>
      </c>
      <c r="AL503" s="523">
        <f t="shared" si="558"/>
        <v>0</v>
      </c>
      <c r="AM503" s="523">
        <f t="shared" si="558"/>
        <v>3422.1250000000009</v>
      </c>
      <c r="AN503" s="523">
        <f t="shared" si="559"/>
        <v>0</v>
      </c>
      <c r="AO503" s="523">
        <f t="shared" si="559"/>
        <v>0</v>
      </c>
      <c r="AP503" s="523"/>
      <c r="AQ503" s="524">
        <v>3422.1250000000009</v>
      </c>
      <c r="AR503" s="524"/>
    </row>
    <row r="504" spans="1:45" s="83" customFormat="1" hidden="1" outlineLevel="1">
      <c r="A504" s="521"/>
      <c r="B504" s="522" t="s">
        <v>490</v>
      </c>
      <c r="C504" s="528">
        <f t="shared" si="549"/>
        <v>4301.7400000000007</v>
      </c>
      <c r="D504" s="523">
        <v>0</v>
      </c>
      <c r="E504" s="523">
        <v>4301.7400000000007</v>
      </c>
      <c r="F504" s="523">
        <v>0</v>
      </c>
      <c r="G504" s="523">
        <v>0</v>
      </c>
      <c r="H504" s="523">
        <f t="shared" si="552"/>
        <v>7430</v>
      </c>
      <c r="I504" s="523">
        <f t="shared" si="553"/>
        <v>7430</v>
      </c>
      <c r="J504" s="523"/>
      <c r="K504" s="523">
        <v>7430</v>
      </c>
      <c r="L504" s="523"/>
      <c r="M504" s="523"/>
      <c r="N504" s="523"/>
      <c r="O504" s="523">
        <f t="shared" si="545"/>
        <v>8017.0400000000018</v>
      </c>
      <c r="P504" s="543">
        <f t="shared" si="519"/>
        <v>0</v>
      </c>
      <c r="Q504" s="543">
        <f t="shared" si="520"/>
        <v>8017.0400000000018</v>
      </c>
      <c r="R504" s="523">
        <f t="shared" si="546"/>
        <v>8017.0400000000018</v>
      </c>
      <c r="S504" s="523"/>
      <c r="T504" s="523">
        <v>8017.0400000000018</v>
      </c>
      <c r="U504" s="523">
        <f t="shared" si="547"/>
        <v>0</v>
      </c>
      <c r="V504" s="523"/>
      <c r="W504" s="523"/>
      <c r="X504" s="523">
        <f t="shared" si="554"/>
        <v>0</v>
      </c>
      <c r="Y504" s="523"/>
      <c r="Z504" s="523"/>
      <c r="AA504" s="523"/>
      <c r="AB504" s="523"/>
      <c r="AC504" s="523"/>
      <c r="AD504" s="523"/>
      <c r="AE504" s="523">
        <f t="shared" si="555"/>
        <v>0</v>
      </c>
      <c r="AF504" s="523"/>
      <c r="AG504" s="523"/>
      <c r="AH504" s="523">
        <f t="shared" si="556"/>
        <v>0</v>
      </c>
      <c r="AI504" s="523"/>
      <c r="AJ504" s="523"/>
      <c r="AK504" s="523">
        <f t="shared" si="557"/>
        <v>3714.7</v>
      </c>
      <c r="AL504" s="523">
        <f t="shared" si="558"/>
        <v>0</v>
      </c>
      <c r="AM504" s="523">
        <f t="shared" si="558"/>
        <v>3714.7</v>
      </c>
      <c r="AN504" s="523">
        <f t="shared" si="559"/>
        <v>0</v>
      </c>
      <c r="AO504" s="523">
        <f t="shared" si="559"/>
        <v>0</v>
      </c>
      <c r="AP504" s="523"/>
      <c r="AQ504" s="524">
        <v>3714.7</v>
      </c>
      <c r="AR504" s="524"/>
    </row>
    <row r="505" spans="1:45" s="83" customFormat="1" hidden="1" outlineLevel="1">
      <c r="A505" s="521"/>
      <c r="B505" s="522" t="s">
        <v>491</v>
      </c>
      <c r="C505" s="528">
        <f t="shared" si="549"/>
        <v>6399.74</v>
      </c>
      <c r="D505" s="523">
        <v>0</v>
      </c>
      <c r="E505" s="523">
        <v>6399.74</v>
      </c>
      <c r="F505" s="523">
        <v>0</v>
      </c>
      <c r="G505" s="523">
        <v>0</v>
      </c>
      <c r="H505" s="523">
        <f t="shared" si="552"/>
        <v>8695</v>
      </c>
      <c r="I505" s="523">
        <f t="shared" si="553"/>
        <v>8695</v>
      </c>
      <c r="J505" s="523"/>
      <c r="K505" s="523">
        <v>8695</v>
      </c>
      <c r="L505" s="523"/>
      <c r="M505" s="523"/>
      <c r="N505" s="523"/>
      <c r="O505" s="523">
        <f t="shared" si="545"/>
        <v>14575.629547999999</v>
      </c>
      <c r="P505" s="543">
        <f t="shared" si="519"/>
        <v>0</v>
      </c>
      <c r="Q505" s="543">
        <f t="shared" si="520"/>
        <v>14575.629547999999</v>
      </c>
      <c r="R505" s="523">
        <f t="shared" si="546"/>
        <v>14575.629547999999</v>
      </c>
      <c r="S505" s="523"/>
      <c r="T505" s="523">
        <v>14575.629547999999</v>
      </c>
      <c r="U505" s="523">
        <f t="shared" si="547"/>
        <v>0</v>
      </c>
      <c r="V505" s="523"/>
      <c r="W505" s="523"/>
      <c r="X505" s="523">
        <f t="shared" si="554"/>
        <v>0</v>
      </c>
      <c r="Y505" s="523"/>
      <c r="Z505" s="523"/>
      <c r="AA505" s="523"/>
      <c r="AB505" s="523"/>
      <c r="AC505" s="523"/>
      <c r="AD505" s="523"/>
      <c r="AE505" s="523">
        <f t="shared" si="555"/>
        <v>0</v>
      </c>
      <c r="AF505" s="523"/>
      <c r="AG505" s="523"/>
      <c r="AH505" s="523">
        <f t="shared" si="556"/>
        <v>0</v>
      </c>
      <c r="AI505" s="523"/>
      <c r="AJ505" s="523"/>
      <c r="AK505" s="523">
        <f t="shared" si="557"/>
        <v>519.11045200000081</v>
      </c>
      <c r="AL505" s="523">
        <f t="shared" si="558"/>
        <v>0</v>
      </c>
      <c r="AM505" s="523">
        <f t="shared" si="558"/>
        <v>519.11045200000081</v>
      </c>
      <c r="AN505" s="523">
        <f t="shared" si="559"/>
        <v>0</v>
      </c>
      <c r="AO505" s="523">
        <f t="shared" si="559"/>
        <v>0</v>
      </c>
      <c r="AP505" s="523"/>
      <c r="AQ505" s="524">
        <v>519.11045200000081</v>
      </c>
      <c r="AR505" s="524"/>
    </row>
    <row r="506" spans="1:45" s="83" customFormat="1" hidden="1" outlineLevel="1">
      <c r="A506" s="521"/>
      <c r="B506" s="522" t="s">
        <v>492</v>
      </c>
      <c r="C506" s="528">
        <f t="shared" si="549"/>
        <v>4808.6000000000004</v>
      </c>
      <c r="D506" s="523">
        <v>0</v>
      </c>
      <c r="E506" s="523">
        <v>4808.6000000000004</v>
      </c>
      <c r="F506" s="523">
        <v>0</v>
      </c>
      <c r="G506" s="523">
        <v>0</v>
      </c>
      <c r="H506" s="523">
        <f t="shared" si="552"/>
        <v>1849</v>
      </c>
      <c r="I506" s="523">
        <f t="shared" si="553"/>
        <v>1849</v>
      </c>
      <c r="J506" s="523"/>
      <c r="K506" s="523">
        <v>1849</v>
      </c>
      <c r="L506" s="523"/>
      <c r="M506" s="523"/>
      <c r="N506" s="523"/>
      <c r="O506" s="523">
        <f t="shared" si="545"/>
        <v>6608.1264510000001</v>
      </c>
      <c r="P506" s="543">
        <f t="shared" si="519"/>
        <v>0</v>
      </c>
      <c r="Q506" s="543">
        <f t="shared" si="520"/>
        <v>6608.1264510000001</v>
      </c>
      <c r="R506" s="523">
        <f t="shared" si="546"/>
        <v>6608.1264510000001</v>
      </c>
      <c r="S506" s="523"/>
      <c r="T506" s="523">
        <v>6608.1264510000001</v>
      </c>
      <c r="U506" s="523">
        <f t="shared" si="547"/>
        <v>0</v>
      </c>
      <c r="V506" s="523"/>
      <c r="W506" s="523"/>
      <c r="X506" s="523">
        <f t="shared" si="554"/>
        <v>0</v>
      </c>
      <c r="Y506" s="523"/>
      <c r="Z506" s="523"/>
      <c r="AA506" s="523"/>
      <c r="AB506" s="523"/>
      <c r="AC506" s="523"/>
      <c r="AD506" s="523"/>
      <c r="AE506" s="523">
        <f t="shared" si="555"/>
        <v>0</v>
      </c>
      <c r="AF506" s="523"/>
      <c r="AG506" s="523"/>
      <c r="AH506" s="523">
        <f t="shared" si="556"/>
        <v>0</v>
      </c>
      <c r="AI506" s="523"/>
      <c r="AJ506" s="523"/>
      <c r="AK506" s="523">
        <f t="shared" si="557"/>
        <v>49.473549000000276</v>
      </c>
      <c r="AL506" s="523">
        <f t="shared" si="558"/>
        <v>0</v>
      </c>
      <c r="AM506" s="523">
        <f t="shared" si="558"/>
        <v>49.473549000000276</v>
      </c>
      <c r="AN506" s="523">
        <f t="shared" si="559"/>
        <v>0</v>
      </c>
      <c r="AO506" s="523">
        <f t="shared" si="559"/>
        <v>0</v>
      </c>
      <c r="AP506" s="523"/>
      <c r="AQ506" s="524">
        <v>49.473549000000276</v>
      </c>
      <c r="AR506" s="524"/>
    </row>
    <row r="507" spans="1:45" s="83" customFormat="1" hidden="1" outlineLevel="1">
      <c r="A507" s="521"/>
      <c r="B507" s="522" t="s">
        <v>493</v>
      </c>
      <c r="C507" s="528">
        <f t="shared" si="549"/>
        <v>454.6</v>
      </c>
      <c r="D507" s="523">
        <v>0</v>
      </c>
      <c r="E507" s="523">
        <v>454.6</v>
      </c>
      <c r="F507" s="523">
        <v>0</v>
      </c>
      <c r="G507" s="523">
        <v>0</v>
      </c>
      <c r="H507" s="523">
        <f t="shared" si="552"/>
        <v>45</v>
      </c>
      <c r="I507" s="523">
        <f t="shared" si="553"/>
        <v>45</v>
      </c>
      <c r="J507" s="523"/>
      <c r="K507" s="523">
        <v>45</v>
      </c>
      <c r="L507" s="523"/>
      <c r="M507" s="523"/>
      <c r="N507" s="523"/>
      <c r="O507" s="523">
        <f t="shared" si="545"/>
        <v>454.59343999999999</v>
      </c>
      <c r="P507" s="543">
        <f t="shared" si="519"/>
        <v>0</v>
      </c>
      <c r="Q507" s="543">
        <f t="shared" si="520"/>
        <v>454.59343999999999</v>
      </c>
      <c r="R507" s="523">
        <f t="shared" si="546"/>
        <v>454.59343999999999</v>
      </c>
      <c r="S507" s="523"/>
      <c r="T507" s="523">
        <v>454.59343999999999</v>
      </c>
      <c r="U507" s="523">
        <f t="shared" si="547"/>
        <v>0</v>
      </c>
      <c r="V507" s="523"/>
      <c r="W507" s="523"/>
      <c r="X507" s="523">
        <f t="shared" si="554"/>
        <v>0</v>
      </c>
      <c r="Y507" s="523"/>
      <c r="Z507" s="523"/>
      <c r="AA507" s="523"/>
      <c r="AB507" s="523"/>
      <c r="AC507" s="523"/>
      <c r="AD507" s="523"/>
      <c r="AE507" s="523">
        <f t="shared" si="555"/>
        <v>0</v>
      </c>
      <c r="AF507" s="523"/>
      <c r="AG507" s="523"/>
      <c r="AH507" s="523">
        <f t="shared" si="556"/>
        <v>0</v>
      </c>
      <c r="AI507" s="523"/>
      <c r="AJ507" s="523"/>
      <c r="AK507" s="523">
        <f t="shared" si="557"/>
        <v>45.006560000000036</v>
      </c>
      <c r="AL507" s="523">
        <f t="shared" si="558"/>
        <v>0</v>
      </c>
      <c r="AM507" s="523">
        <f t="shared" si="558"/>
        <v>45.006560000000036</v>
      </c>
      <c r="AN507" s="523">
        <f t="shared" si="559"/>
        <v>0</v>
      </c>
      <c r="AO507" s="523">
        <f t="shared" si="559"/>
        <v>0</v>
      </c>
      <c r="AP507" s="523"/>
      <c r="AQ507" s="524">
        <v>45.006560000000036</v>
      </c>
      <c r="AR507" s="524"/>
    </row>
    <row r="508" spans="1:45" s="83" customFormat="1" hidden="1" outlineLevel="1">
      <c r="A508" s="521"/>
      <c r="B508" s="522" t="s">
        <v>494</v>
      </c>
      <c r="C508" s="528">
        <f t="shared" si="549"/>
        <v>0</v>
      </c>
      <c r="D508" s="523">
        <v>0</v>
      </c>
      <c r="E508" s="523">
        <v>0</v>
      </c>
      <c r="F508" s="523">
        <v>0</v>
      </c>
      <c r="G508" s="523">
        <v>0</v>
      </c>
      <c r="H508" s="523">
        <f t="shared" si="552"/>
        <v>0</v>
      </c>
      <c r="I508" s="523">
        <f t="shared" si="553"/>
        <v>0</v>
      </c>
      <c r="J508" s="523"/>
      <c r="K508" s="523"/>
      <c r="L508" s="523"/>
      <c r="M508" s="523"/>
      <c r="N508" s="523"/>
      <c r="O508" s="523">
        <f t="shared" si="545"/>
        <v>0</v>
      </c>
      <c r="P508" s="543">
        <f t="shared" si="519"/>
        <v>0</v>
      </c>
      <c r="Q508" s="543">
        <f t="shared" si="520"/>
        <v>0</v>
      </c>
      <c r="R508" s="523">
        <f t="shared" si="546"/>
        <v>0</v>
      </c>
      <c r="S508" s="523"/>
      <c r="T508" s="523"/>
      <c r="U508" s="523">
        <f t="shared" si="547"/>
        <v>0</v>
      </c>
      <c r="V508" s="523"/>
      <c r="W508" s="523"/>
      <c r="X508" s="523"/>
      <c r="Y508" s="523"/>
      <c r="Z508" s="523"/>
      <c r="AA508" s="523"/>
      <c r="AB508" s="523"/>
      <c r="AC508" s="523"/>
      <c r="AD508" s="523"/>
      <c r="AE508" s="523"/>
      <c r="AF508" s="523"/>
      <c r="AG508" s="523"/>
      <c r="AH508" s="523"/>
      <c r="AI508" s="523"/>
      <c r="AJ508" s="523"/>
      <c r="AK508" s="523">
        <f t="shared" si="557"/>
        <v>0</v>
      </c>
      <c r="AL508" s="523">
        <f t="shared" si="558"/>
        <v>0</v>
      </c>
      <c r="AM508" s="523">
        <f t="shared" si="558"/>
        <v>0</v>
      </c>
      <c r="AN508" s="523">
        <f t="shared" si="559"/>
        <v>0</v>
      </c>
      <c r="AO508" s="523">
        <f t="shared" si="559"/>
        <v>0</v>
      </c>
      <c r="AP508" s="523"/>
      <c r="AQ508" s="524">
        <v>0</v>
      </c>
      <c r="AR508" s="524"/>
    </row>
    <row r="509" spans="1:45" s="83" customFormat="1" hidden="1" outlineLevel="1">
      <c r="A509" s="521"/>
      <c r="B509" s="522" t="s">
        <v>495</v>
      </c>
      <c r="C509" s="528">
        <f t="shared" si="549"/>
        <v>1</v>
      </c>
      <c r="D509" s="523">
        <v>0</v>
      </c>
      <c r="E509" s="523">
        <v>1</v>
      </c>
      <c r="F509" s="523">
        <v>0</v>
      </c>
      <c r="G509" s="523">
        <v>0</v>
      </c>
      <c r="H509" s="523">
        <f t="shared" si="552"/>
        <v>0</v>
      </c>
      <c r="I509" s="523">
        <f t="shared" si="553"/>
        <v>0</v>
      </c>
      <c r="J509" s="523"/>
      <c r="K509" s="523"/>
      <c r="L509" s="523"/>
      <c r="M509" s="523"/>
      <c r="N509" s="523"/>
      <c r="O509" s="523">
        <f t="shared" si="545"/>
        <v>0</v>
      </c>
      <c r="P509" s="543">
        <f t="shared" si="519"/>
        <v>0</v>
      </c>
      <c r="Q509" s="543">
        <f t="shared" si="520"/>
        <v>0</v>
      </c>
      <c r="R509" s="523">
        <f t="shared" si="546"/>
        <v>0</v>
      </c>
      <c r="S509" s="523"/>
      <c r="T509" s="523"/>
      <c r="U509" s="523">
        <f t="shared" si="547"/>
        <v>0</v>
      </c>
      <c r="V509" s="523"/>
      <c r="W509" s="523"/>
      <c r="X509" s="523"/>
      <c r="Y509" s="523"/>
      <c r="Z509" s="523"/>
      <c r="AA509" s="523"/>
      <c r="AB509" s="523"/>
      <c r="AC509" s="523"/>
      <c r="AD509" s="523"/>
      <c r="AE509" s="523"/>
      <c r="AF509" s="523"/>
      <c r="AG509" s="523"/>
      <c r="AH509" s="523"/>
      <c r="AI509" s="523"/>
      <c r="AJ509" s="523"/>
      <c r="AK509" s="523">
        <f t="shared" si="557"/>
        <v>0</v>
      </c>
      <c r="AL509" s="523">
        <f t="shared" si="558"/>
        <v>0</v>
      </c>
      <c r="AM509" s="523"/>
      <c r="AN509" s="523">
        <f t="shared" si="559"/>
        <v>0</v>
      </c>
      <c r="AO509" s="523">
        <f t="shared" si="559"/>
        <v>0</v>
      </c>
      <c r="AP509" s="523"/>
      <c r="AQ509" s="524"/>
      <c r="AR509" s="524"/>
    </row>
    <row r="510" spans="1:45" s="83" customFormat="1" hidden="1" outlineLevel="1">
      <c r="A510" s="521"/>
      <c r="B510" s="522" t="s">
        <v>496</v>
      </c>
      <c r="C510" s="528">
        <f t="shared" si="549"/>
        <v>1088</v>
      </c>
      <c r="D510" s="523">
        <v>0</v>
      </c>
      <c r="E510" s="523">
        <v>1088</v>
      </c>
      <c r="F510" s="523">
        <v>0</v>
      </c>
      <c r="G510" s="523">
        <v>0</v>
      </c>
      <c r="H510" s="523">
        <f t="shared" si="552"/>
        <v>0</v>
      </c>
      <c r="I510" s="523">
        <f t="shared" si="553"/>
        <v>0</v>
      </c>
      <c r="J510" s="523"/>
      <c r="K510" s="523"/>
      <c r="L510" s="523"/>
      <c r="M510" s="523"/>
      <c r="N510" s="523"/>
      <c r="O510" s="523">
        <f t="shared" si="545"/>
        <v>109.419633</v>
      </c>
      <c r="P510" s="543">
        <f t="shared" si="519"/>
        <v>0</v>
      </c>
      <c r="Q510" s="543">
        <f t="shared" si="520"/>
        <v>109.419633</v>
      </c>
      <c r="R510" s="523">
        <f t="shared" si="546"/>
        <v>109.419633</v>
      </c>
      <c r="S510" s="523"/>
      <c r="T510" s="523">
        <v>109.419633</v>
      </c>
      <c r="U510" s="523">
        <f t="shared" si="547"/>
        <v>0</v>
      </c>
      <c r="V510" s="523"/>
      <c r="W510" s="523"/>
      <c r="X510" s="523"/>
      <c r="Y510" s="523"/>
      <c r="Z510" s="523"/>
      <c r="AA510" s="523"/>
      <c r="AB510" s="523"/>
      <c r="AC510" s="523"/>
      <c r="AD510" s="523"/>
      <c r="AE510" s="523"/>
      <c r="AF510" s="523"/>
      <c r="AG510" s="523"/>
      <c r="AH510" s="523"/>
      <c r="AI510" s="523"/>
      <c r="AJ510" s="523"/>
      <c r="AK510" s="523">
        <f t="shared" si="557"/>
        <v>978.58036700000002</v>
      </c>
      <c r="AL510" s="523">
        <f t="shared" si="558"/>
        <v>0</v>
      </c>
      <c r="AM510" s="523">
        <f t="shared" si="558"/>
        <v>978.58036700000002</v>
      </c>
      <c r="AN510" s="523">
        <f t="shared" si="559"/>
        <v>0</v>
      </c>
      <c r="AO510" s="523">
        <f t="shared" si="559"/>
        <v>0</v>
      </c>
      <c r="AP510" s="523"/>
      <c r="AQ510" s="524">
        <v>978.58036700000002</v>
      </c>
      <c r="AR510" s="524"/>
    </row>
    <row r="511" spans="1:45" s="83" customFormat="1" hidden="1" outlineLevel="1">
      <c r="A511" s="521"/>
      <c r="B511" s="522" t="s">
        <v>497</v>
      </c>
      <c r="C511" s="528">
        <f t="shared" si="549"/>
        <v>798</v>
      </c>
      <c r="D511" s="523">
        <v>0</v>
      </c>
      <c r="E511" s="523">
        <v>798</v>
      </c>
      <c r="F511" s="523">
        <v>0</v>
      </c>
      <c r="G511" s="523">
        <v>0</v>
      </c>
      <c r="H511" s="523">
        <f t="shared" si="552"/>
        <v>0</v>
      </c>
      <c r="I511" s="523">
        <f t="shared" si="553"/>
        <v>0</v>
      </c>
      <c r="J511" s="523"/>
      <c r="K511" s="523"/>
      <c r="L511" s="523"/>
      <c r="M511" s="523"/>
      <c r="N511" s="523"/>
      <c r="O511" s="523">
        <f t="shared" si="545"/>
        <v>0</v>
      </c>
      <c r="P511" s="543">
        <f t="shared" si="519"/>
        <v>0</v>
      </c>
      <c r="Q511" s="543">
        <f t="shared" si="520"/>
        <v>0</v>
      </c>
      <c r="R511" s="523">
        <f t="shared" si="546"/>
        <v>0</v>
      </c>
      <c r="S511" s="523"/>
      <c r="T511" s="523">
        <v>0</v>
      </c>
      <c r="U511" s="523">
        <f t="shared" si="547"/>
        <v>0</v>
      </c>
      <c r="V511" s="523"/>
      <c r="W511" s="523"/>
      <c r="X511" s="523"/>
      <c r="Y511" s="523"/>
      <c r="Z511" s="523"/>
      <c r="AA511" s="523"/>
      <c r="AB511" s="523"/>
      <c r="AC511" s="523"/>
      <c r="AD511" s="523"/>
      <c r="AE511" s="523"/>
      <c r="AF511" s="523"/>
      <c r="AG511" s="523"/>
      <c r="AH511" s="523"/>
      <c r="AI511" s="523"/>
      <c r="AJ511" s="523"/>
      <c r="AK511" s="523">
        <f t="shared" si="557"/>
        <v>798</v>
      </c>
      <c r="AL511" s="523">
        <f t="shared" si="558"/>
        <v>0</v>
      </c>
      <c r="AM511" s="523">
        <f t="shared" si="558"/>
        <v>798</v>
      </c>
      <c r="AN511" s="523">
        <f t="shared" si="559"/>
        <v>0</v>
      </c>
      <c r="AO511" s="523">
        <f t="shared" si="559"/>
        <v>0</v>
      </c>
      <c r="AP511" s="523"/>
      <c r="AQ511" s="524">
        <v>798</v>
      </c>
      <c r="AR511" s="524"/>
    </row>
    <row r="512" spans="1:45" s="83" customFormat="1" hidden="1" outlineLevel="1">
      <c r="A512" s="521"/>
      <c r="B512" s="522" t="s">
        <v>498</v>
      </c>
      <c r="C512" s="528">
        <f t="shared" si="549"/>
        <v>1.9100000000000819</v>
      </c>
      <c r="D512" s="523">
        <v>0</v>
      </c>
      <c r="E512" s="523">
        <v>1.9100000000000819</v>
      </c>
      <c r="F512" s="523">
        <v>0</v>
      </c>
      <c r="G512" s="523">
        <v>0</v>
      </c>
      <c r="H512" s="523">
        <f t="shared" si="552"/>
        <v>0</v>
      </c>
      <c r="I512" s="523">
        <f t="shared" si="553"/>
        <v>0</v>
      </c>
      <c r="J512" s="523"/>
      <c r="K512" s="523"/>
      <c r="L512" s="523"/>
      <c r="M512" s="523"/>
      <c r="N512" s="523"/>
      <c r="O512" s="523">
        <f t="shared" si="545"/>
        <v>2</v>
      </c>
      <c r="P512" s="543">
        <f t="shared" si="519"/>
        <v>0</v>
      </c>
      <c r="Q512" s="543">
        <f t="shared" si="520"/>
        <v>2</v>
      </c>
      <c r="R512" s="523">
        <f t="shared" si="546"/>
        <v>2</v>
      </c>
      <c r="S512" s="523"/>
      <c r="T512" s="523">
        <v>2</v>
      </c>
      <c r="U512" s="523">
        <f t="shared" si="547"/>
        <v>0</v>
      </c>
      <c r="V512" s="523"/>
      <c r="W512" s="523"/>
      <c r="X512" s="523"/>
      <c r="Y512" s="523"/>
      <c r="Z512" s="523"/>
      <c r="AA512" s="523"/>
      <c r="AB512" s="523"/>
      <c r="AC512" s="523"/>
      <c r="AD512" s="523"/>
      <c r="AE512" s="523"/>
      <c r="AF512" s="523"/>
      <c r="AG512" s="523"/>
      <c r="AH512" s="523"/>
      <c r="AI512" s="523"/>
      <c r="AJ512" s="523"/>
      <c r="AK512" s="523">
        <f t="shared" si="557"/>
        <v>-8.9999999999918145E-2</v>
      </c>
      <c r="AL512" s="523">
        <f t="shared" si="558"/>
        <v>0</v>
      </c>
      <c r="AM512" s="523">
        <f t="shared" si="558"/>
        <v>-8.9999999999918145E-2</v>
      </c>
      <c r="AN512" s="523">
        <f t="shared" si="559"/>
        <v>0</v>
      </c>
      <c r="AO512" s="523">
        <f t="shared" si="559"/>
        <v>0</v>
      </c>
      <c r="AP512" s="523"/>
      <c r="AQ512" s="524">
        <v>-8.9999999999918145E-2</v>
      </c>
      <c r="AR512" s="524"/>
    </row>
    <row r="513" spans="1:45" s="83" customFormat="1" hidden="1" outlineLevel="1">
      <c r="A513" s="521"/>
      <c r="B513" s="522" t="s">
        <v>499</v>
      </c>
      <c r="C513" s="528">
        <f t="shared" si="549"/>
        <v>2760</v>
      </c>
      <c r="D513" s="523">
        <v>0</v>
      </c>
      <c r="E513" s="523">
        <v>2760</v>
      </c>
      <c r="F513" s="523">
        <v>0</v>
      </c>
      <c r="G513" s="523">
        <v>0</v>
      </c>
      <c r="H513" s="523">
        <f t="shared" si="552"/>
        <v>0</v>
      </c>
      <c r="I513" s="523">
        <f t="shared" si="553"/>
        <v>0</v>
      </c>
      <c r="J513" s="523"/>
      <c r="K513" s="523"/>
      <c r="L513" s="523"/>
      <c r="M513" s="523"/>
      <c r="N513" s="523"/>
      <c r="O513" s="523">
        <f t="shared" si="545"/>
        <v>2576.2918</v>
      </c>
      <c r="P513" s="543">
        <f t="shared" si="519"/>
        <v>0</v>
      </c>
      <c r="Q513" s="543">
        <f t="shared" si="520"/>
        <v>2576.2918</v>
      </c>
      <c r="R513" s="523">
        <f t="shared" si="546"/>
        <v>2576.2918</v>
      </c>
      <c r="S513" s="523"/>
      <c r="T513" s="523">
        <v>2576.2918</v>
      </c>
      <c r="U513" s="523">
        <f t="shared" si="547"/>
        <v>0</v>
      </c>
      <c r="V513" s="523"/>
      <c r="W513" s="523"/>
      <c r="X513" s="523"/>
      <c r="Y513" s="523"/>
      <c r="Z513" s="523"/>
      <c r="AA513" s="523"/>
      <c r="AB513" s="523"/>
      <c r="AC513" s="523"/>
      <c r="AD513" s="523"/>
      <c r="AE513" s="523"/>
      <c r="AF513" s="523"/>
      <c r="AG513" s="523"/>
      <c r="AH513" s="523"/>
      <c r="AI513" s="523"/>
      <c r="AJ513" s="523"/>
      <c r="AK513" s="523">
        <f t="shared" si="557"/>
        <v>183.70820000000003</v>
      </c>
      <c r="AL513" s="523">
        <f t="shared" si="558"/>
        <v>0</v>
      </c>
      <c r="AM513" s="523">
        <f t="shared" si="558"/>
        <v>183.70820000000003</v>
      </c>
      <c r="AN513" s="523">
        <f t="shared" si="559"/>
        <v>0</v>
      </c>
      <c r="AO513" s="523">
        <f t="shared" si="559"/>
        <v>0</v>
      </c>
      <c r="AP513" s="523"/>
      <c r="AQ513" s="524">
        <v>183.70820000000003</v>
      </c>
      <c r="AR513" s="524"/>
    </row>
    <row r="514" spans="1:45" s="83" customFormat="1" hidden="1" outlineLevel="1">
      <c r="A514" s="521"/>
      <c r="B514" s="522" t="s">
        <v>500</v>
      </c>
      <c r="C514" s="528">
        <f t="shared" si="549"/>
        <v>956.8</v>
      </c>
      <c r="D514" s="523">
        <v>0</v>
      </c>
      <c r="E514" s="523">
        <v>956.8</v>
      </c>
      <c r="F514" s="523">
        <v>0</v>
      </c>
      <c r="G514" s="523">
        <v>0</v>
      </c>
      <c r="H514" s="523">
        <f t="shared" si="552"/>
        <v>0</v>
      </c>
      <c r="I514" s="523">
        <f t="shared" si="553"/>
        <v>0</v>
      </c>
      <c r="J514" s="523"/>
      <c r="K514" s="523"/>
      <c r="L514" s="523"/>
      <c r="M514" s="523"/>
      <c r="N514" s="523"/>
      <c r="O514" s="523">
        <f t="shared" si="545"/>
        <v>716.22</v>
      </c>
      <c r="P514" s="543">
        <f t="shared" si="519"/>
        <v>0</v>
      </c>
      <c r="Q514" s="543">
        <f t="shared" si="520"/>
        <v>716.22</v>
      </c>
      <c r="R514" s="523">
        <f t="shared" si="546"/>
        <v>716.22</v>
      </c>
      <c r="S514" s="523"/>
      <c r="T514" s="523">
        <v>716.22</v>
      </c>
      <c r="U514" s="523">
        <f t="shared" si="547"/>
        <v>0</v>
      </c>
      <c r="V514" s="523"/>
      <c r="W514" s="523"/>
      <c r="X514" s="523"/>
      <c r="Y514" s="523"/>
      <c r="Z514" s="523"/>
      <c r="AA514" s="523"/>
      <c r="AB514" s="523"/>
      <c r="AC514" s="523"/>
      <c r="AD514" s="523"/>
      <c r="AE514" s="523"/>
      <c r="AF514" s="523"/>
      <c r="AG514" s="523"/>
      <c r="AH514" s="523"/>
      <c r="AI514" s="523"/>
      <c r="AJ514" s="523"/>
      <c r="AK514" s="523">
        <f t="shared" si="557"/>
        <v>240.57999999999993</v>
      </c>
      <c r="AL514" s="523">
        <f t="shared" si="558"/>
        <v>0</v>
      </c>
      <c r="AM514" s="523">
        <f t="shared" si="558"/>
        <v>240.57999999999993</v>
      </c>
      <c r="AN514" s="523">
        <f t="shared" si="559"/>
        <v>0</v>
      </c>
      <c r="AO514" s="523">
        <f t="shared" si="559"/>
        <v>0</v>
      </c>
      <c r="AP514" s="523"/>
      <c r="AQ514" s="524">
        <v>240.57999999999993</v>
      </c>
      <c r="AR514" s="524"/>
    </row>
    <row r="515" spans="1:45" s="83" customFormat="1" hidden="1" outlineLevel="1">
      <c r="A515" s="521"/>
      <c r="B515" s="522" t="s">
        <v>2221</v>
      </c>
      <c r="C515" s="528">
        <f t="shared" si="549"/>
        <v>0</v>
      </c>
      <c r="D515" s="523">
        <v>0</v>
      </c>
      <c r="E515" s="523">
        <v>0</v>
      </c>
      <c r="F515" s="523">
        <v>0</v>
      </c>
      <c r="G515" s="523">
        <v>0</v>
      </c>
      <c r="H515" s="523">
        <f t="shared" si="552"/>
        <v>232</v>
      </c>
      <c r="I515" s="523">
        <f t="shared" si="553"/>
        <v>232</v>
      </c>
      <c r="J515" s="523"/>
      <c r="K515" s="523">
        <v>232</v>
      </c>
      <c r="L515" s="523"/>
      <c r="M515" s="523"/>
      <c r="N515" s="523"/>
      <c r="O515" s="523">
        <f t="shared" si="545"/>
        <v>0</v>
      </c>
      <c r="P515" s="543">
        <f t="shared" si="519"/>
        <v>0</v>
      </c>
      <c r="Q515" s="543">
        <f t="shared" si="520"/>
        <v>0</v>
      </c>
      <c r="R515" s="523">
        <f t="shared" si="546"/>
        <v>0</v>
      </c>
      <c r="S515" s="523"/>
      <c r="T515" s="523">
        <v>0</v>
      </c>
      <c r="U515" s="523">
        <f t="shared" si="547"/>
        <v>0</v>
      </c>
      <c r="V515" s="523"/>
      <c r="W515" s="523"/>
      <c r="X515" s="523"/>
      <c r="Y515" s="523"/>
      <c r="Z515" s="523"/>
      <c r="AA515" s="523"/>
      <c r="AB515" s="523"/>
      <c r="AC515" s="523"/>
      <c r="AD515" s="523"/>
      <c r="AE515" s="523"/>
      <c r="AF515" s="523"/>
      <c r="AG515" s="523"/>
      <c r="AH515" s="523"/>
      <c r="AI515" s="523"/>
      <c r="AJ515" s="523"/>
      <c r="AK515" s="523">
        <f t="shared" si="557"/>
        <v>232</v>
      </c>
      <c r="AL515" s="523">
        <f t="shared" si="558"/>
        <v>0</v>
      </c>
      <c r="AM515" s="523">
        <f t="shared" si="558"/>
        <v>232</v>
      </c>
      <c r="AN515" s="523">
        <f t="shared" si="559"/>
        <v>0</v>
      </c>
      <c r="AO515" s="523">
        <f t="shared" si="559"/>
        <v>0</v>
      </c>
      <c r="AP515" s="523"/>
      <c r="AQ515" s="524">
        <v>232</v>
      </c>
      <c r="AR515" s="524"/>
    </row>
    <row r="516" spans="1:45" s="83" customFormat="1" hidden="1" outlineLevel="1">
      <c r="A516" s="521"/>
      <c r="B516" s="522" t="s">
        <v>501</v>
      </c>
      <c r="C516" s="528">
        <f t="shared" si="549"/>
        <v>0</v>
      </c>
      <c r="D516" s="523">
        <v>0</v>
      </c>
      <c r="E516" s="523">
        <v>0</v>
      </c>
      <c r="F516" s="523">
        <v>0</v>
      </c>
      <c r="G516" s="523">
        <v>0</v>
      </c>
      <c r="H516" s="523">
        <f t="shared" si="552"/>
        <v>73</v>
      </c>
      <c r="I516" s="523">
        <f t="shared" si="553"/>
        <v>73</v>
      </c>
      <c r="J516" s="523"/>
      <c r="K516" s="523">
        <v>73</v>
      </c>
      <c r="L516" s="523"/>
      <c r="M516" s="523"/>
      <c r="N516" s="523"/>
      <c r="O516" s="523">
        <f t="shared" si="545"/>
        <v>0</v>
      </c>
      <c r="P516" s="543">
        <f t="shared" si="519"/>
        <v>0</v>
      </c>
      <c r="Q516" s="543">
        <f t="shared" si="520"/>
        <v>0</v>
      </c>
      <c r="R516" s="523">
        <f t="shared" si="546"/>
        <v>0</v>
      </c>
      <c r="S516" s="523"/>
      <c r="T516" s="523"/>
      <c r="U516" s="523">
        <f t="shared" si="547"/>
        <v>0</v>
      </c>
      <c r="V516" s="523"/>
      <c r="W516" s="523"/>
      <c r="X516" s="523"/>
      <c r="Y516" s="523"/>
      <c r="Z516" s="523"/>
      <c r="AA516" s="523"/>
      <c r="AB516" s="523"/>
      <c r="AC516" s="523"/>
      <c r="AD516" s="523"/>
      <c r="AE516" s="523"/>
      <c r="AF516" s="523"/>
      <c r="AG516" s="523"/>
      <c r="AH516" s="523"/>
      <c r="AI516" s="523"/>
      <c r="AJ516" s="523"/>
      <c r="AK516" s="523">
        <f t="shared" si="557"/>
        <v>73</v>
      </c>
      <c r="AL516" s="523">
        <f t="shared" si="558"/>
        <v>0</v>
      </c>
      <c r="AM516" s="523">
        <f t="shared" si="558"/>
        <v>73</v>
      </c>
      <c r="AN516" s="523">
        <f t="shared" si="559"/>
        <v>0</v>
      </c>
      <c r="AO516" s="523">
        <f t="shared" si="559"/>
        <v>0</v>
      </c>
      <c r="AP516" s="523"/>
      <c r="AQ516" s="524">
        <v>73</v>
      </c>
      <c r="AR516" s="524"/>
    </row>
    <row r="517" spans="1:45" s="83" customFormat="1" hidden="1" outlineLevel="1">
      <c r="A517" s="521"/>
      <c r="B517" s="522" t="s">
        <v>398</v>
      </c>
      <c r="C517" s="528">
        <f t="shared" si="549"/>
        <v>8809.7999999999993</v>
      </c>
      <c r="D517" s="523">
        <v>0</v>
      </c>
      <c r="E517" s="523">
        <v>8809.7999999999993</v>
      </c>
      <c r="F517" s="523">
        <v>0</v>
      </c>
      <c r="G517" s="523">
        <v>0</v>
      </c>
      <c r="H517" s="523">
        <f t="shared" si="552"/>
        <v>0</v>
      </c>
      <c r="I517" s="523">
        <f t="shared" si="553"/>
        <v>0</v>
      </c>
      <c r="J517" s="523"/>
      <c r="K517" s="523"/>
      <c r="L517" s="523"/>
      <c r="M517" s="523"/>
      <c r="N517" s="523"/>
      <c r="O517" s="523">
        <f t="shared" si="545"/>
        <v>0</v>
      </c>
      <c r="P517" s="543">
        <f t="shared" si="519"/>
        <v>0</v>
      </c>
      <c r="Q517" s="543">
        <f t="shared" si="520"/>
        <v>0</v>
      </c>
      <c r="R517" s="523">
        <f t="shared" si="546"/>
        <v>0</v>
      </c>
      <c r="S517" s="523"/>
      <c r="T517" s="523"/>
      <c r="U517" s="523">
        <f t="shared" si="547"/>
        <v>0</v>
      </c>
      <c r="V517" s="523"/>
      <c r="W517" s="523"/>
      <c r="X517" s="523">
        <f>Y517+AB517+AE517+AH517</f>
        <v>117</v>
      </c>
      <c r="Y517" s="523">
        <f>Z517+AA517</f>
        <v>117</v>
      </c>
      <c r="Z517" s="523"/>
      <c r="AA517" s="523">
        <v>117</v>
      </c>
      <c r="AB517" s="523"/>
      <c r="AC517" s="523"/>
      <c r="AD517" s="523"/>
      <c r="AE517" s="523">
        <f>AF517+AG517</f>
        <v>0</v>
      </c>
      <c r="AF517" s="523"/>
      <c r="AG517" s="523"/>
      <c r="AH517" s="523">
        <f>AI517+AJ517</f>
        <v>0</v>
      </c>
      <c r="AI517" s="523"/>
      <c r="AJ517" s="523"/>
      <c r="AK517" s="523">
        <f t="shared" si="557"/>
        <v>8692.7999999999993</v>
      </c>
      <c r="AL517" s="523">
        <f t="shared" ref="AL517:AM517" si="560">D517+J517-S517-Z517-AF517</f>
        <v>0</v>
      </c>
      <c r="AM517" s="523">
        <f t="shared" si="560"/>
        <v>8692.7999999999993</v>
      </c>
      <c r="AN517" s="523">
        <f t="shared" ref="AN517:AO517" si="561">F517+M517-V517-AC517-AI517</f>
        <v>0</v>
      </c>
      <c r="AO517" s="523">
        <f t="shared" si="561"/>
        <v>0</v>
      </c>
      <c r="AP517" s="523"/>
      <c r="AQ517" s="524">
        <v>8692.7999999999993</v>
      </c>
      <c r="AR517" s="524"/>
    </row>
    <row r="518" spans="1:45" s="83" customFormat="1" ht="31.2" hidden="1" outlineLevel="1">
      <c r="A518" s="549">
        <v>26</v>
      </c>
      <c r="B518" s="522" t="s">
        <v>540</v>
      </c>
      <c r="C518" s="528">
        <f t="shared" si="549"/>
        <v>6223</v>
      </c>
      <c r="D518" s="523">
        <v>0</v>
      </c>
      <c r="E518" s="523">
        <v>162</v>
      </c>
      <c r="F518" s="523">
        <v>0</v>
      </c>
      <c r="G518" s="523">
        <v>6061</v>
      </c>
      <c r="H518" s="523">
        <f t="shared" ref="H518:AR518" si="562">SUM(H519:H522)</f>
        <v>1000</v>
      </c>
      <c r="I518" s="523">
        <f t="shared" si="562"/>
        <v>1000</v>
      </c>
      <c r="J518" s="523">
        <f t="shared" si="562"/>
        <v>0</v>
      </c>
      <c r="K518" s="523">
        <f t="shared" si="562"/>
        <v>1000</v>
      </c>
      <c r="L518" s="523">
        <f t="shared" si="562"/>
        <v>0</v>
      </c>
      <c r="M518" s="523">
        <f t="shared" si="562"/>
        <v>0</v>
      </c>
      <c r="N518" s="523">
        <f t="shared" si="562"/>
        <v>0</v>
      </c>
      <c r="O518" s="523">
        <f t="shared" si="545"/>
        <v>1480</v>
      </c>
      <c r="P518" s="543">
        <f t="shared" si="519"/>
        <v>0</v>
      </c>
      <c r="Q518" s="543">
        <f t="shared" si="520"/>
        <v>1480</v>
      </c>
      <c r="R518" s="523">
        <f t="shared" si="546"/>
        <v>0</v>
      </c>
      <c r="S518" s="523"/>
      <c r="T518" s="523"/>
      <c r="U518" s="523">
        <f t="shared" si="547"/>
        <v>1480</v>
      </c>
      <c r="V518" s="523">
        <f t="shared" si="562"/>
        <v>0</v>
      </c>
      <c r="W518" s="523">
        <f t="shared" si="562"/>
        <v>1480</v>
      </c>
      <c r="X518" s="523">
        <f t="shared" si="562"/>
        <v>162</v>
      </c>
      <c r="Y518" s="523">
        <f t="shared" si="562"/>
        <v>162</v>
      </c>
      <c r="Z518" s="523">
        <f t="shared" si="562"/>
        <v>0</v>
      </c>
      <c r="AA518" s="523">
        <f t="shared" si="562"/>
        <v>162</v>
      </c>
      <c r="AB518" s="523">
        <f t="shared" si="562"/>
        <v>0</v>
      </c>
      <c r="AC518" s="523">
        <f t="shared" si="562"/>
        <v>0</v>
      </c>
      <c r="AD518" s="523">
        <f t="shared" si="562"/>
        <v>0</v>
      </c>
      <c r="AE518" s="523">
        <f t="shared" si="562"/>
        <v>0</v>
      </c>
      <c r="AF518" s="523">
        <f t="shared" si="562"/>
        <v>0</v>
      </c>
      <c r="AG518" s="523">
        <f t="shared" si="562"/>
        <v>0</v>
      </c>
      <c r="AH518" s="523">
        <f t="shared" si="562"/>
        <v>0</v>
      </c>
      <c r="AI518" s="523">
        <f t="shared" si="562"/>
        <v>0</v>
      </c>
      <c r="AJ518" s="523">
        <f t="shared" si="562"/>
        <v>0</v>
      </c>
      <c r="AK518" s="523">
        <f t="shared" si="562"/>
        <v>5581</v>
      </c>
      <c r="AL518" s="523">
        <f t="shared" si="562"/>
        <v>0</v>
      </c>
      <c r="AM518" s="523">
        <f t="shared" si="562"/>
        <v>1000</v>
      </c>
      <c r="AN518" s="523">
        <f t="shared" si="562"/>
        <v>0</v>
      </c>
      <c r="AO518" s="523">
        <f t="shared" si="562"/>
        <v>4581</v>
      </c>
      <c r="AP518" s="523"/>
      <c r="AQ518" s="524">
        <f t="shared" si="562"/>
        <v>1000</v>
      </c>
      <c r="AR518" s="524">
        <f t="shared" si="562"/>
        <v>0</v>
      </c>
      <c r="AS518" s="83" t="s">
        <v>2222</v>
      </c>
    </row>
    <row r="519" spans="1:45" s="83" customFormat="1" hidden="1" outlineLevel="1">
      <c r="A519" s="549"/>
      <c r="B519" s="522" t="s">
        <v>2213</v>
      </c>
      <c r="C519" s="528">
        <f t="shared" si="549"/>
        <v>4581</v>
      </c>
      <c r="D519" s="523">
        <v>0</v>
      </c>
      <c r="E519" s="523">
        <v>0</v>
      </c>
      <c r="F519" s="523">
        <v>0</v>
      </c>
      <c r="G519" s="523">
        <v>4581</v>
      </c>
      <c r="H519" s="523">
        <f t="shared" ref="H519:H522" si="563">I519+L519</f>
        <v>0</v>
      </c>
      <c r="I519" s="523">
        <f t="shared" ref="I519:I522" si="564">J519+K519</f>
        <v>0</v>
      </c>
      <c r="J519" s="523"/>
      <c r="K519" s="523"/>
      <c r="L519" s="523"/>
      <c r="M519" s="523"/>
      <c r="N519" s="523"/>
      <c r="O519" s="523">
        <f t="shared" si="545"/>
        <v>0</v>
      </c>
      <c r="P519" s="543">
        <f t="shared" si="519"/>
        <v>0</v>
      </c>
      <c r="Q519" s="543">
        <f t="shared" si="520"/>
        <v>0</v>
      </c>
      <c r="R519" s="523">
        <f t="shared" si="546"/>
        <v>0</v>
      </c>
      <c r="S519" s="523"/>
      <c r="T519" s="523"/>
      <c r="U519" s="523">
        <f t="shared" si="547"/>
        <v>0</v>
      </c>
      <c r="V519" s="523"/>
      <c r="W519" s="523"/>
      <c r="X519" s="523"/>
      <c r="Y519" s="523"/>
      <c r="Z519" s="523"/>
      <c r="AA519" s="523"/>
      <c r="AB519" s="523"/>
      <c r="AC519" s="523"/>
      <c r="AD519" s="523"/>
      <c r="AE519" s="523"/>
      <c r="AF519" s="523"/>
      <c r="AG519" s="523"/>
      <c r="AH519" s="523"/>
      <c r="AI519" s="523"/>
      <c r="AJ519" s="523"/>
      <c r="AK519" s="522">
        <f>SUM(AL519:AO519)</f>
        <v>4581</v>
      </c>
      <c r="AL519" s="523">
        <f>D519+J519-S519-Z519-AF519</f>
        <v>0</v>
      </c>
      <c r="AM519" s="523">
        <f>E519+K519-T519-AA519-AG519</f>
        <v>0</v>
      </c>
      <c r="AN519" s="523">
        <f>F519+M519-V519-AC519-AI519</f>
        <v>0</v>
      </c>
      <c r="AO519" s="523">
        <f>G519+N519-W519-AD519-AJ519</f>
        <v>4581</v>
      </c>
      <c r="AP519" s="523"/>
      <c r="AQ519" s="524"/>
      <c r="AR519" s="524"/>
    </row>
    <row r="520" spans="1:45" s="83" customFormat="1" hidden="1" outlineLevel="1">
      <c r="A520" s="549"/>
      <c r="B520" s="522" t="s">
        <v>200</v>
      </c>
      <c r="C520" s="528">
        <f t="shared" si="549"/>
        <v>1480</v>
      </c>
      <c r="D520" s="523">
        <v>0</v>
      </c>
      <c r="E520" s="523">
        <v>0</v>
      </c>
      <c r="F520" s="523">
        <v>0</v>
      </c>
      <c r="G520" s="523">
        <v>1480</v>
      </c>
      <c r="H520" s="523">
        <f t="shared" si="563"/>
        <v>0</v>
      </c>
      <c r="I520" s="523">
        <f t="shared" si="564"/>
        <v>0</v>
      </c>
      <c r="J520" s="523"/>
      <c r="K520" s="523"/>
      <c r="L520" s="523"/>
      <c r="M520" s="523"/>
      <c r="N520" s="523"/>
      <c r="O520" s="523">
        <f t="shared" si="545"/>
        <v>1480</v>
      </c>
      <c r="P520" s="543">
        <f t="shared" si="519"/>
        <v>0</v>
      </c>
      <c r="Q520" s="543">
        <f t="shared" si="520"/>
        <v>1480</v>
      </c>
      <c r="R520" s="523">
        <f t="shared" si="546"/>
        <v>0</v>
      </c>
      <c r="S520" s="523"/>
      <c r="T520" s="523"/>
      <c r="U520" s="523">
        <f t="shared" si="547"/>
        <v>1480</v>
      </c>
      <c r="V520" s="523"/>
      <c r="W520" s="523">
        <v>1480</v>
      </c>
      <c r="X520" s="523"/>
      <c r="Y520" s="523"/>
      <c r="Z520" s="523"/>
      <c r="AA520" s="523"/>
      <c r="AB520" s="523"/>
      <c r="AC520" s="523"/>
      <c r="AD520" s="523"/>
      <c r="AE520" s="523"/>
      <c r="AF520" s="523"/>
      <c r="AG520" s="523"/>
      <c r="AH520" s="523"/>
      <c r="AI520" s="523"/>
      <c r="AJ520" s="523"/>
      <c r="AK520" s="522">
        <f>SUM(AL520:AO520)</f>
        <v>0</v>
      </c>
      <c r="AL520" s="523">
        <f>D520+J520-S520-Z520-AF520</f>
        <v>0</v>
      </c>
      <c r="AM520" s="523">
        <f t="shared" ref="AM520:AM521" si="565">E520+K520-T520-AA520-AG520</f>
        <v>0</v>
      </c>
      <c r="AN520" s="523">
        <f t="shared" ref="AN520:AO521" si="566">F520+M520-V520-AC520-AI520</f>
        <v>0</v>
      </c>
      <c r="AO520" s="523">
        <f t="shared" si="566"/>
        <v>0</v>
      </c>
      <c r="AP520" s="523"/>
      <c r="AQ520" s="524"/>
      <c r="AR520" s="524"/>
    </row>
    <row r="521" spans="1:45" s="83" customFormat="1" ht="31.2" hidden="1" outlineLevel="1">
      <c r="A521" s="549"/>
      <c r="B521" s="522" t="s">
        <v>2223</v>
      </c>
      <c r="C521" s="528">
        <f t="shared" si="549"/>
        <v>0</v>
      </c>
      <c r="D521" s="523"/>
      <c r="E521" s="523"/>
      <c r="F521" s="523"/>
      <c r="G521" s="523"/>
      <c r="H521" s="523">
        <f t="shared" si="563"/>
        <v>1000</v>
      </c>
      <c r="I521" s="523">
        <f t="shared" si="564"/>
        <v>1000</v>
      </c>
      <c r="J521" s="523"/>
      <c r="K521" s="523">
        <v>1000</v>
      </c>
      <c r="L521" s="523"/>
      <c r="M521" s="523"/>
      <c r="N521" s="523"/>
      <c r="O521" s="523">
        <f t="shared" si="545"/>
        <v>0</v>
      </c>
      <c r="P521" s="543">
        <f t="shared" si="519"/>
        <v>0</v>
      </c>
      <c r="Q521" s="543">
        <f t="shared" si="520"/>
        <v>0</v>
      </c>
      <c r="R521" s="523">
        <f t="shared" si="546"/>
        <v>0</v>
      </c>
      <c r="S521" s="523"/>
      <c r="T521" s="523"/>
      <c r="U521" s="523">
        <f t="shared" si="547"/>
        <v>0</v>
      </c>
      <c r="V521" s="523"/>
      <c r="W521" s="523"/>
      <c r="X521" s="523"/>
      <c r="Y521" s="523"/>
      <c r="Z521" s="523"/>
      <c r="AA521" s="523"/>
      <c r="AB521" s="523"/>
      <c r="AC521" s="523"/>
      <c r="AD521" s="523"/>
      <c r="AE521" s="523"/>
      <c r="AF521" s="523"/>
      <c r="AG521" s="523"/>
      <c r="AH521" s="523"/>
      <c r="AI521" s="523"/>
      <c r="AJ521" s="523"/>
      <c r="AK521" s="522">
        <f t="shared" ref="AK521:AK522" si="567">SUM(AL521:AO521)</f>
        <v>1000</v>
      </c>
      <c r="AL521" s="523"/>
      <c r="AM521" s="523">
        <f t="shared" si="565"/>
        <v>1000</v>
      </c>
      <c r="AN521" s="523">
        <f t="shared" si="566"/>
        <v>0</v>
      </c>
      <c r="AO521" s="523">
        <f t="shared" si="566"/>
        <v>0</v>
      </c>
      <c r="AP521" s="523"/>
      <c r="AQ521" s="524">
        <v>1000</v>
      </c>
      <c r="AR521" s="524"/>
    </row>
    <row r="522" spans="1:45" s="83" customFormat="1" hidden="1" outlineLevel="1">
      <c r="A522" s="549"/>
      <c r="B522" s="522" t="s">
        <v>541</v>
      </c>
      <c r="C522" s="528">
        <f>SUM(D522:G522)</f>
        <v>162</v>
      </c>
      <c r="D522" s="523">
        <v>0</v>
      </c>
      <c r="E522" s="523">
        <v>162</v>
      </c>
      <c r="F522" s="523">
        <v>0</v>
      </c>
      <c r="G522" s="523">
        <v>0</v>
      </c>
      <c r="H522" s="523">
        <f t="shared" si="563"/>
        <v>0</v>
      </c>
      <c r="I522" s="523">
        <f t="shared" si="564"/>
        <v>0</v>
      </c>
      <c r="J522" s="523"/>
      <c r="K522" s="523"/>
      <c r="L522" s="523"/>
      <c r="M522" s="523"/>
      <c r="N522" s="523"/>
      <c r="O522" s="523">
        <f t="shared" si="545"/>
        <v>0</v>
      </c>
      <c r="P522" s="543">
        <f t="shared" si="519"/>
        <v>0</v>
      </c>
      <c r="Q522" s="543">
        <f t="shared" si="520"/>
        <v>0</v>
      </c>
      <c r="R522" s="523">
        <f t="shared" si="546"/>
        <v>0</v>
      </c>
      <c r="S522" s="523"/>
      <c r="T522" s="523"/>
      <c r="U522" s="523">
        <f t="shared" si="547"/>
        <v>0</v>
      </c>
      <c r="V522" s="523"/>
      <c r="W522" s="523"/>
      <c r="X522" s="523">
        <f>Y522+AB522+AE522+AH522</f>
        <v>162</v>
      </c>
      <c r="Y522" s="523">
        <f>Z522+AA522</f>
        <v>162</v>
      </c>
      <c r="Z522" s="523"/>
      <c r="AA522" s="523">
        <v>162</v>
      </c>
      <c r="AB522" s="523">
        <f>AC522+AD522</f>
        <v>0</v>
      </c>
      <c r="AC522" s="523"/>
      <c r="AD522" s="523"/>
      <c r="AE522" s="523">
        <f>AF522+AG522</f>
        <v>0</v>
      </c>
      <c r="AF522" s="523"/>
      <c r="AG522" s="523"/>
      <c r="AH522" s="523">
        <f>AI522+AJ522</f>
        <v>0</v>
      </c>
      <c r="AI522" s="523"/>
      <c r="AJ522" s="523"/>
      <c r="AK522" s="522">
        <f t="shared" si="567"/>
        <v>0</v>
      </c>
      <c r="AL522" s="523">
        <f>D522+J522-S522-Z522-AF522</f>
        <v>0</v>
      </c>
      <c r="AM522" s="523">
        <f>E522+K522-T522-AA522-AG522</f>
        <v>0</v>
      </c>
      <c r="AN522" s="523">
        <f>F522+M522-V522-AC522-AI522</f>
        <v>0</v>
      </c>
      <c r="AO522" s="523">
        <f>G522+N522-W522-AD522-AJ522</f>
        <v>0</v>
      </c>
      <c r="AP522" s="523"/>
      <c r="AQ522" s="524"/>
      <c r="AR522" s="524"/>
    </row>
    <row r="523" spans="1:45" s="84" customFormat="1" collapsed="1">
      <c r="A523" s="569" t="s">
        <v>469</v>
      </c>
      <c r="B523" s="540" t="s">
        <v>391</v>
      </c>
      <c r="C523" s="534">
        <f t="shared" ref="C523:AR523" si="568">C524+C526+C528+C530+C532+C537+C540+C542+C544+C546+C557+C562+C564+C566+C577+C579+C581</f>
        <v>5087.9000000000005</v>
      </c>
      <c r="D523" s="534">
        <f t="shared" si="568"/>
        <v>0</v>
      </c>
      <c r="E523" s="534">
        <f t="shared" si="568"/>
        <v>962</v>
      </c>
      <c r="F523" s="534">
        <f t="shared" si="568"/>
        <v>0</v>
      </c>
      <c r="G523" s="534">
        <f t="shared" si="568"/>
        <v>4125.9000000000005</v>
      </c>
      <c r="H523" s="534">
        <f>H524+H526+H528+H530+H532+H537+H540+H542+H544+H546+H557+H562+H564+H566+H577+H579+H581</f>
        <v>169457.3995</v>
      </c>
      <c r="I523" s="534">
        <f t="shared" si="568"/>
        <v>164793.69949999999</v>
      </c>
      <c r="J523" s="534">
        <f t="shared" si="568"/>
        <v>70000</v>
      </c>
      <c r="K523" s="534">
        <f t="shared" si="568"/>
        <v>94793.699500000002</v>
      </c>
      <c r="L523" s="534">
        <f t="shared" si="568"/>
        <v>4663.7</v>
      </c>
      <c r="M523" s="534">
        <f t="shared" si="568"/>
        <v>0</v>
      </c>
      <c r="N523" s="534">
        <f t="shared" si="568"/>
        <v>4663.7</v>
      </c>
      <c r="O523" s="534">
        <f t="shared" si="568"/>
        <v>45929.139799999997</v>
      </c>
      <c r="P523" s="543">
        <f t="shared" si="519"/>
        <v>0</v>
      </c>
      <c r="Q523" s="543">
        <f t="shared" si="520"/>
        <v>45929.139799999997</v>
      </c>
      <c r="R523" s="534">
        <f t="shared" si="568"/>
        <v>40049.239799999996</v>
      </c>
      <c r="S523" s="534">
        <f t="shared" si="568"/>
        <v>0</v>
      </c>
      <c r="T523" s="534">
        <f t="shared" si="568"/>
        <v>40049.239799999996</v>
      </c>
      <c r="U523" s="534">
        <f t="shared" si="568"/>
        <v>5879.9000000000015</v>
      </c>
      <c r="V523" s="534">
        <f t="shared" si="568"/>
        <v>0</v>
      </c>
      <c r="W523" s="534">
        <f t="shared" si="568"/>
        <v>5879.9000000000015</v>
      </c>
      <c r="X523" s="534">
        <f t="shared" si="568"/>
        <v>1343.3</v>
      </c>
      <c r="Y523" s="534">
        <f t="shared" si="568"/>
        <v>1317</v>
      </c>
      <c r="Z523" s="534">
        <f t="shared" si="568"/>
        <v>0</v>
      </c>
      <c r="AA523" s="534">
        <f t="shared" si="568"/>
        <v>1317</v>
      </c>
      <c r="AB523" s="534">
        <f t="shared" si="568"/>
        <v>26.3</v>
      </c>
      <c r="AC523" s="534">
        <f t="shared" si="568"/>
        <v>0</v>
      </c>
      <c r="AD523" s="534">
        <f t="shared" si="568"/>
        <v>26.3</v>
      </c>
      <c r="AE523" s="534">
        <f t="shared" si="568"/>
        <v>0</v>
      </c>
      <c r="AF523" s="534">
        <f t="shared" si="568"/>
        <v>0</v>
      </c>
      <c r="AG523" s="534">
        <f t="shared" si="568"/>
        <v>0</v>
      </c>
      <c r="AH523" s="534">
        <f t="shared" si="568"/>
        <v>0</v>
      </c>
      <c r="AI523" s="534">
        <f t="shared" si="568"/>
        <v>0</v>
      </c>
      <c r="AJ523" s="534">
        <f t="shared" si="568"/>
        <v>0</v>
      </c>
      <c r="AK523" s="534">
        <f t="shared" si="568"/>
        <v>127272.8597</v>
      </c>
      <c r="AL523" s="534">
        <f t="shared" si="568"/>
        <v>70000</v>
      </c>
      <c r="AM523" s="534">
        <f t="shared" si="568"/>
        <v>54389.459699999999</v>
      </c>
      <c r="AN523" s="534">
        <f t="shared" si="568"/>
        <v>0</v>
      </c>
      <c r="AO523" s="534">
        <f t="shared" si="568"/>
        <v>2883.4</v>
      </c>
      <c r="AP523" s="534"/>
      <c r="AQ523" s="537">
        <f t="shared" si="568"/>
        <v>54281</v>
      </c>
      <c r="AR523" s="537">
        <f t="shared" si="568"/>
        <v>108.45969999999993</v>
      </c>
    </row>
    <row r="524" spans="1:45" s="83" customFormat="1" ht="46.8" hidden="1" outlineLevel="1" collapsed="1">
      <c r="A524" s="521">
        <v>1</v>
      </c>
      <c r="B524" s="522" t="s">
        <v>2224</v>
      </c>
      <c r="C524" s="528"/>
      <c r="D524" s="523"/>
      <c r="E524" s="523"/>
      <c r="F524" s="523"/>
      <c r="G524" s="523"/>
      <c r="H524" s="523">
        <f>H525</f>
        <v>560</v>
      </c>
      <c r="I524" s="523">
        <f t="shared" ref="I524:AO524" si="569">I525</f>
        <v>560</v>
      </c>
      <c r="J524" s="523">
        <f t="shared" si="569"/>
        <v>0</v>
      </c>
      <c r="K524" s="523">
        <f t="shared" si="569"/>
        <v>560</v>
      </c>
      <c r="L524" s="523">
        <f t="shared" si="569"/>
        <v>0</v>
      </c>
      <c r="M524" s="523">
        <f t="shared" si="569"/>
        <v>0</v>
      </c>
      <c r="N524" s="523">
        <f t="shared" si="569"/>
        <v>0</v>
      </c>
      <c r="O524" s="523">
        <f t="shared" si="569"/>
        <v>560</v>
      </c>
      <c r="P524" s="543">
        <f t="shared" si="519"/>
        <v>0</v>
      </c>
      <c r="Q524" s="543">
        <f t="shared" si="520"/>
        <v>560</v>
      </c>
      <c r="R524" s="523">
        <f t="shared" si="569"/>
        <v>560</v>
      </c>
      <c r="S524" s="523">
        <f t="shared" si="569"/>
        <v>0</v>
      </c>
      <c r="T524" s="523">
        <f t="shared" si="569"/>
        <v>560</v>
      </c>
      <c r="U524" s="523">
        <f t="shared" si="569"/>
        <v>0</v>
      </c>
      <c r="V524" s="523">
        <f t="shared" si="569"/>
        <v>0</v>
      </c>
      <c r="W524" s="523">
        <f t="shared" si="569"/>
        <v>0</v>
      </c>
      <c r="X524" s="523">
        <f t="shared" si="569"/>
        <v>0</v>
      </c>
      <c r="Y524" s="523">
        <f t="shared" si="569"/>
        <v>0</v>
      </c>
      <c r="Z524" s="523">
        <f t="shared" si="569"/>
        <v>0</v>
      </c>
      <c r="AA524" s="523">
        <f t="shared" si="569"/>
        <v>0</v>
      </c>
      <c r="AB524" s="523">
        <f t="shared" si="569"/>
        <v>0</v>
      </c>
      <c r="AC524" s="523">
        <f t="shared" si="569"/>
        <v>0</v>
      </c>
      <c r="AD524" s="523">
        <f t="shared" si="569"/>
        <v>0</v>
      </c>
      <c r="AE524" s="523">
        <f t="shared" si="569"/>
        <v>0</v>
      </c>
      <c r="AF524" s="523">
        <f t="shared" si="569"/>
        <v>0</v>
      </c>
      <c r="AG524" s="523">
        <f t="shared" si="569"/>
        <v>0</v>
      </c>
      <c r="AH524" s="523">
        <f t="shared" si="569"/>
        <v>0</v>
      </c>
      <c r="AI524" s="523">
        <f t="shared" si="569"/>
        <v>0</v>
      </c>
      <c r="AJ524" s="523">
        <f t="shared" si="569"/>
        <v>0</v>
      </c>
      <c r="AK524" s="523">
        <f t="shared" si="569"/>
        <v>0</v>
      </c>
      <c r="AL524" s="523">
        <f t="shared" si="569"/>
        <v>0</v>
      </c>
      <c r="AM524" s="523">
        <f t="shared" si="569"/>
        <v>0</v>
      </c>
      <c r="AN524" s="523">
        <f t="shared" si="569"/>
        <v>0</v>
      </c>
      <c r="AO524" s="523">
        <f t="shared" si="569"/>
        <v>0</v>
      </c>
      <c r="AP524" s="523"/>
      <c r="AQ524" s="524"/>
      <c r="AR524" s="524"/>
    </row>
    <row r="525" spans="1:45" s="83" customFormat="1" hidden="1" outlineLevel="1">
      <c r="A525" s="521"/>
      <c r="B525" s="522" t="s">
        <v>181</v>
      </c>
      <c r="C525" s="528"/>
      <c r="D525" s="523"/>
      <c r="E525" s="523"/>
      <c r="F525" s="523"/>
      <c r="G525" s="523"/>
      <c r="H525" s="523">
        <f t="shared" ref="H525" si="570">I525+L525</f>
        <v>560</v>
      </c>
      <c r="I525" s="523">
        <f t="shared" ref="I525" si="571">J525+K525</f>
        <v>560</v>
      </c>
      <c r="J525" s="523"/>
      <c r="K525" s="523">
        <v>560</v>
      </c>
      <c r="L525" s="523"/>
      <c r="M525" s="523"/>
      <c r="N525" s="523"/>
      <c r="O525" s="523">
        <f t="shared" si="545"/>
        <v>560</v>
      </c>
      <c r="P525" s="543">
        <f t="shared" si="519"/>
        <v>0</v>
      </c>
      <c r="Q525" s="543">
        <f t="shared" si="520"/>
        <v>560</v>
      </c>
      <c r="R525" s="523">
        <f t="shared" si="546"/>
        <v>560</v>
      </c>
      <c r="S525" s="523"/>
      <c r="T525" s="523">
        <v>560</v>
      </c>
      <c r="U525" s="523">
        <f t="shared" si="547"/>
        <v>0</v>
      </c>
      <c r="V525" s="523"/>
      <c r="W525" s="523"/>
      <c r="X525" s="523"/>
      <c r="Y525" s="523"/>
      <c r="Z525" s="523"/>
      <c r="AA525" s="523"/>
      <c r="AB525" s="523"/>
      <c r="AC525" s="523"/>
      <c r="AD525" s="523"/>
      <c r="AE525" s="523"/>
      <c r="AF525" s="523"/>
      <c r="AG525" s="523"/>
      <c r="AH525" s="523"/>
      <c r="AI525" s="523"/>
      <c r="AJ525" s="523"/>
      <c r="AK525" s="522">
        <f>SUM(AL525:AO525)</f>
        <v>0</v>
      </c>
      <c r="AL525" s="523">
        <f>D525+J525-S525-Z525-AF525</f>
        <v>0</v>
      </c>
      <c r="AM525" s="523">
        <f>E525+K525-T525-AA525-AG525</f>
        <v>0</v>
      </c>
      <c r="AN525" s="523">
        <f>F525+M525-V525-AC525-AI525</f>
        <v>0</v>
      </c>
      <c r="AO525" s="523">
        <f>G525+N525-W525-AD525-AJ525</f>
        <v>0</v>
      </c>
      <c r="AP525" s="523"/>
      <c r="AQ525" s="524"/>
      <c r="AR525" s="524"/>
    </row>
    <row r="526" spans="1:45" s="83" customFormat="1" ht="46.8" hidden="1" outlineLevel="1">
      <c r="A526" s="521">
        <v>2</v>
      </c>
      <c r="B526" s="522" t="s">
        <v>2225</v>
      </c>
      <c r="C526" s="528"/>
      <c r="D526" s="523"/>
      <c r="E526" s="523"/>
      <c r="F526" s="523"/>
      <c r="G526" s="523"/>
      <c r="H526" s="523">
        <f>H527</f>
        <v>9500</v>
      </c>
      <c r="I526" s="523">
        <f t="shared" ref="I526:AO526" si="572">I527</f>
        <v>9500</v>
      </c>
      <c r="J526" s="523">
        <f t="shared" si="572"/>
        <v>0</v>
      </c>
      <c r="K526" s="523">
        <f t="shared" si="572"/>
        <v>9500</v>
      </c>
      <c r="L526" s="523">
        <f t="shared" si="572"/>
        <v>0</v>
      </c>
      <c r="M526" s="523">
        <f t="shared" si="572"/>
        <v>0</v>
      </c>
      <c r="N526" s="523">
        <f t="shared" si="572"/>
        <v>0</v>
      </c>
      <c r="O526" s="523">
        <f t="shared" si="572"/>
        <v>9500</v>
      </c>
      <c r="P526" s="543">
        <f t="shared" si="519"/>
        <v>0</v>
      </c>
      <c r="Q526" s="543">
        <f t="shared" si="520"/>
        <v>9500</v>
      </c>
      <c r="R526" s="523">
        <f t="shared" si="572"/>
        <v>9500</v>
      </c>
      <c r="S526" s="523">
        <f t="shared" si="572"/>
        <v>0</v>
      </c>
      <c r="T526" s="523">
        <f t="shared" si="572"/>
        <v>9500</v>
      </c>
      <c r="U526" s="523">
        <f t="shared" si="572"/>
        <v>0</v>
      </c>
      <c r="V526" s="523">
        <f t="shared" si="572"/>
        <v>0</v>
      </c>
      <c r="W526" s="523">
        <f t="shared" si="572"/>
        <v>0</v>
      </c>
      <c r="X526" s="523">
        <f t="shared" si="572"/>
        <v>0</v>
      </c>
      <c r="Y526" s="523">
        <f t="shared" si="572"/>
        <v>0</v>
      </c>
      <c r="Z526" s="523">
        <f t="shared" si="572"/>
        <v>0</v>
      </c>
      <c r="AA526" s="523">
        <f t="shared" si="572"/>
        <v>0</v>
      </c>
      <c r="AB526" s="523">
        <f t="shared" si="572"/>
        <v>0</v>
      </c>
      <c r="AC526" s="523">
        <f t="shared" si="572"/>
        <v>0</v>
      </c>
      <c r="AD526" s="523">
        <f t="shared" si="572"/>
        <v>0</v>
      </c>
      <c r="AE526" s="523">
        <f t="shared" si="572"/>
        <v>0</v>
      </c>
      <c r="AF526" s="523">
        <f t="shared" si="572"/>
        <v>0</v>
      </c>
      <c r="AG526" s="523">
        <f t="shared" si="572"/>
        <v>0</v>
      </c>
      <c r="AH526" s="523">
        <f t="shared" si="572"/>
        <v>0</v>
      </c>
      <c r="AI526" s="523">
        <f t="shared" si="572"/>
        <v>0</v>
      </c>
      <c r="AJ526" s="523">
        <f t="shared" si="572"/>
        <v>0</v>
      </c>
      <c r="AK526" s="523">
        <f t="shared" si="572"/>
        <v>0</v>
      </c>
      <c r="AL526" s="523">
        <f t="shared" si="572"/>
        <v>0</v>
      </c>
      <c r="AM526" s="523">
        <f t="shared" si="572"/>
        <v>0</v>
      </c>
      <c r="AN526" s="523">
        <f t="shared" si="572"/>
        <v>0</v>
      </c>
      <c r="AO526" s="523">
        <f t="shared" si="572"/>
        <v>0</v>
      </c>
      <c r="AP526" s="523"/>
      <c r="AQ526" s="524"/>
      <c r="AR526" s="524"/>
    </row>
    <row r="527" spans="1:45" s="83" customFormat="1" hidden="1" outlineLevel="1">
      <c r="A527" s="521"/>
      <c r="B527" s="522" t="s">
        <v>543</v>
      </c>
      <c r="C527" s="528"/>
      <c r="D527" s="523"/>
      <c r="E527" s="523"/>
      <c r="F527" s="523"/>
      <c r="G527" s="523"/>
      <c r="H527" s="523">
        <f t="shared" ref="H527" si="573">I527+L527</f>
        <v>9500</v>
      </c>
      <c r="I527" s="523">
        <f t="shared" ref="I527" si="574">J527+K527</f>
        <v>9500</v>
      </c>
      <c r="J527" s="523"/>
      <c r="K527" s="523">
        <v>9500</v>
      </c>
      <c r="L527" s="523"/>
      <c r="M527" s="523"/>
      <c r="N527" s="523"/>
      <c r="O527" s="523">
        <f t="shared" si="545"/>
        <v>9500</v>
      </c>
      <c r="P527" s="543">
        <f t="shared" ref="P527:P590" si="575">S527+V527</f>
        <v>0</v>
      </c>
      <c r="Q527" s="543">
        <f t="shared" ref="Q527:Q590" si="576">T527+W527</f>
        <v>9500</v>
      </c>
      <c r="R527" s="523">
        <f t="shared" si="546"/>
        <v>9500</v>
      </c>
      <c r="S527" s="523"/>
      <c r="T527" s="523">
        <v>9500</v>
      </c>
      <c r="U527" s="523">
        <f t="shared" si="547"/>
        <v>0</v>
      </c>
      <c r="V527" s="523"/>
      <c r="W527" s="523"/>
      <c r="X527" s="523"/>
      <c r="Y527" s="523"/>
      <c r="Z527" s="523"/>
      <c r="AA527" s="523"/>
      <c r="AB527" s="523"/>
      <c r="AC527" s="523"/>
      <c r="AD527" s="523"/>
      <c r="AE527" s="523"/>
      <c r="AF527" s="523"/>
      <c r="AG527" s="523"/>
      <c r="AH527" s="523"/>
      <c r="AI527" s="523"/>
      <c r="AJ527" s="523"/>
      <c r="AK527" s="522">
        <f>SUM(AL527:AO527)</f>
        <v>0</v>
      </c>
      <c r="AL527" s="523">
        <f>D527+J527-S527-Z527-AF527</f>
        <v>0</v>
      </c>
      <c r="AM527" s="523">
        <f>E527+K527-T527-AA527-AG527</f>
        <v>0</v>
      </c>
      <c r="AN527" s="523">
        <f>F527+M527-V527-AC527-AI527</f>
        <v>0</v>
      </c>
      <c r="AO527" s="523">
        <f>G527+N527-W527-AD527-AJ527</f>
        <v>0</v>
      </c>
      <c r="AP527" s="523"/>
      <c r="AQ527" s="524"/>
      <c r="AR527" s="524"/>
    </row>
    <row r="528" spans="1:45" s="83" customFormat="1" ht="31.2" hidden="1" outlineLevel="1">
      <c r="A528" s="521">
        <v>3</v>
      </c>
      <c r="B528" s="522" t="s">
        <v>2226</v>
      </c>
      <c r="C528" s="528"/>
      <c r="D528" s="523"/>
      <c r="E528" s="523"/>
      <c r="F528" s="523"/>
      <c r="G528" s="523"/>
      <c r="H528" s="523">
        <f>H529</f>
        <v>355</v>
      </c>
      <c r="I528" s="523">
        <f t="shared" ref="I528:N528" si="577">I529</f>
        <v>355</v>
      </c>
      <c r="J528" s="523">
        <f t="shared" si="577"/>
        <v>0</v>
      </c>
      <c r="K528" s="523">
        <f t="shared" si="577"/>
        <v>355</v>
      </c>
      <c r="L528" s="523">
        <f t="shared" si="577"/>
        <v>0</v>
      </c>
      <c r="M528" s="523">
        <f t="shared" si="577"/>
        <v>0</v>
      </c>
      <c r="N528" s="523">
        <f t="shared" si="577"/>
        <v>0</v>
      </c>
      <c r="O528" s="523">
        <f t="shared" si="545"/>
        <v>0</v>
      </c>
      <c r="P528" s="543">
        <f t="shared" si="575"/>
        <v>0</v>
      </c>
      <c r="Q528" s="543">
        <f t="shared" si="576"/>
        <v>0</v>
      </c>
      <c r="R528" s="523">
        <f t="shared" si="546"/>
        <v>0</v>
      </c>
      <c r="S528" s="523"/>
      <c r="T528" s="523"/>
      <c r="U528" s="523">
        <f t="shared" si="547"/>
        <v>0</v>
      </c>
      <c r="V528" s="523">
        <f t="shared" ref="V528:AO528" si="578">V529</f>
        <v>0</v>
      </c>
      <c r="W528" s="523">
        <f t="shared" si="578"/>
        <v>0</v>
      </c>
      <c r="X528" s="523">
        <f t="shared" si="578"/>
        <v>355</v>
      </c>
      <c r="Y528" s="523">
        <f t="shared" si="578"/>
        <v>355</v>
      </c>
      <c r="Z528" s="523">
        <f t="shared" si="578"/>
        <v>0</v>
      </c>
      <c r="AA528" s="523">
        <f t="shared" si="578"/>
        <v>355</v>
      </c>
      <c r="AB528" s="523">
        <f t="shared" si="578"/>
        <v>0</v>
      </c>
      <c r="AC528" s="523">
        <f t="shared" si="578"/>
        <v>0</v>
      </c>
      <c r="AD528" s="523">
        <f t="shared" si="578"/>
        <v>0</v>
      </c>
      <c r="AE528" s="523">
        <f t="shared" si="578"/>
        <v>0</v>
      </c>
      <c r="AF528" s="523">
        <f t="shared" si="578"/>
        <v>0</v>
      </c>
      <c r="AG528" s="523">
        <f t="shared" si="578"/>
        <v>0</v>
      </c>
      <c r="AH528" s="523">
        <f t="shared" si="578"/>
        <v>0</v>
      </c>
      <c r="AI528" s="523">
        <f t="shared" si="578"/>
        <v>0</v>
      </c>
      <c r="AJ528" s="523">
        <f t="shared" si="578"/>
        <v>0</v>
      </c>
      <c r="AK528" s="523">
        <f t="shared" si="578"/>
        <v>0</v>
      </c>
      <c r="AL528" s="523">
        <f t="shared" si="578"/>
        <v>0</v>
      </c>
      <c r="AM528" s="523">
        <f t="shared" si="578"/>
        <v>0</v>
      </c>
      <c r="AN528" s="523">
        <f t="shared" si="578"/>
        <v>0</v>
      </c>
      <c r="AO528" s="523">
        <f t="shared" si="578"/>
        <v>0</v>
      </c>
      <c r="AP528" s="523"/>
      <c r="AQ528" s="524"/>
      <c r="AR528" s="524"/>
    </row>
    <row r="529" spans="1:45" s="83" customFormat="1" hidden="1" outlineLevel="1">
      <c r="A529" s="521"/>
      <c r="B529" s="522" t="s">
        <v>484</v>
      </c>
      <c r="C529" s="528"/>
      <c r="D529" s="523"/>
      <c r="E529" s="523"/>
      <c r="F529" s="523"/>
      <c r="G529" s="523"/>
      <c r="H529" s="523">
        <f t="shared" ref="H529" si="579">I529+L529</f>
        <v>355</v>
      </c>
      <c r="I529" s="523">
        <f t="shared" ref="I529" si="580">J529+K529</f>
        <v>355</v>
      </c>
      <c r="J529" s="523"/>
      <c r="K529" s="523">
        <v>355</v>
      </c>
      <c r="L529" s="523"/>
      <c r="M529" s="523"/>
      <c r="N529" s="523"/>
      <c r="O529" s="523">
        <f t="shared" si="545"/>
        <v>0</v>
      </c>
      <c r="P529" s="543">
        <f t="shared" si="575"/>
        <v>0</v>
      </c>
      <c r="Q529" s="543">
        <f t="shared" si="576"/>
        <v>0</v>
      </c>
      <c r="R529" s="523">
        <f t="shared" si="546"/>
        <v>0</v>
      </c>
      <c r="S529" s="523"/>
      <c r="T529" s="523"/>
      <c r="U529" s="523">
        <f t="shared" si="547"/>
        <v>0</v>
      </c>
      <c r="V529" s="523"/>
      <c r="W529" s="523"/>
      <c r="X529" s="523">
        <f>Y529+AB529+AE529+AH529</f>
        <v>355</v>
      </c>
      <c r="Y529" s="523">
        <f>Z529+AA529</f>
        <v>355</v>
      </c>
      <c r="Z529" s="523"/>
      <c r="AA529" s="523">
        <v>355</v>
      </c>
      <c r="AB529" s="523"/>
      <c r="AC529" s="523"/>
      <c r="AD529" s="523"/>
      <c r="AE529" s="523"/>
      <c r="AF529" s="523"/>
      <c r="AG529" s="523"/>
      <c r="AH529" s="523"/>
      <c r="AI529" s="523"/>
      <c r="AJ529" s="523"/>
      <c r="AK529" s="522">
        <f>SUM(AL529:AO529)</f>
        <v>0</v>
      </c>
      <c r="AL529" s="523">
        <f>D529+J529-S529-Z529-AF529</f>
        <v>0</v>
      </c>
      <c r="AM529" s="523">
        <f>E529+K529-T529-AA529-AG529</f>
        <v>0</v>
      </c>
      <c r="AN529" s="523">
        <f>F529+M529-V529-AC529-AI529</f>
        <v>0</v>
      </c>
      <c r="AO529" s="523">
        <f>G529+N529-W529-AD529-AJ529</f>
        <v>0</v>
      </c>
      <c r="AP529" s="523"/>
      <c r="AQ529" s="524"/>
      <c r="AR529" s="524"/>
    </row>
    <row r="530" spans="1:45" s="83" customFormat="1" ht="31.2" hidden="1" outlineLevel="1">
      <c r="A530" s="521">
        <v>4</v>
      </c>
      <c r="B530" s="522" t="s">
        <v>2227</v>
      </c>
      <c r="C530" s="528"/>
      <c r="D530" s="523"/>
      <c r="E530" s="523"/>
      <c r="F530" s="523"/>
      <c r="G530" s="523"/>
      <c r="H530" s="523">
        <f>H531</f>
        <v>1889.1465000000001</v>
      </c>
      <c r="I530" s="523">
        <f t="shared" ref="I530:AR530" si="581">I531</f>
        <v>1889.1465000000001</v>
      </c>
      <c r="J530" s="523">
        <f t="shared" si="581"/>
        <v>0</v>
      </c>
      <c r="K530" s="523">
        <f t="shared" si="581"/>
        <v>1889.1465000000001</v>
      </c>
      <c r="L530" s="523">
        <f t="shared" si="581"/>
        <v>0</v>
      </c>
      <c r="M530" s="523">
        <f t="shared" si="581"/>
        <v>0</v>
      </c>
      <c r="N530" s="523">
        <f t="shared" si="581"/>
        <v>0</v>
      </c>
      <c r="O530" s="523">
        <f t="shared" si="581"/>
        <v>1817.9868000000001</v>
      </c>
      <c r="P530" s="543">
        <f t="shared" si="575"/>
        <v>0</v>
      </c>
      <c r="Q530" s="543">
        <f t="shared" si="576"/>
        <v>1817.9868000000001</v>
      </c>
      <c r="R530" s="523">
        <f t="shared" si="581"/>
        <v>1817.9868000000001</v>
      </c>
      <c r="S530" s="523">
        <f t="shared" si="581"/>
        <v>0</v>
      </c>
      <c r="T530" s="523">
        <f t="shared" si="581"/>
        <v>1817.9868000000001</v>
      </c>
      <c r="U530" s="523">
        <f t="shared" si="581"/>
        <v>0</v>
      </c>
      <c r="V530" s="523">
        <f t="shared" si="581"/>
        <v>0</v>
      </c>
      <c r="W530" s="523">
        <f t="shared" si="581"/>
        <v>0</v>
      </c>
      <c r="X530" s="523">
        <f t="shared" si="581"/>
        <v>0</v>
      </c>
      <c r="Y530" s="523">
        <f t="shared" si="581"/>
        <v>0</v>
      </c>
      <c r="Z530" s="523">
        <f t="shared" si="581"/>
        <v>0</v>
      </c>
      <c r="AA530" s="523">
        <f t="shared" si="581"/>
        <v>0</v>
      </c>
      <c r="AB530" s="523">
        <f t="shared" si="581"/>
        <v>0</v>
      </c>
      <c r="AC530" s="523">
        <f t="shared" si="581"/>
        <v>0</v>
      </c>
      <c r="AD530" s="523">
        <f t="shared" si="581"/>
        <v>0</v>
      </c>
      <c r="AE530" s="523">
        <f t="shared" si="581"/>
        <v>0</v>
      </c>
      <c r="AF530" s="523">
        <f t="shared" si="581"/>
        <v>0</v>
      </c>
      <c r="AG530" s="523">
        <f t="shared" si="581"/>
        <v>0</v>
      </c>
      <c r="AH530" s="523">
        <f t="shared" si="581"/>
        <v>0</v>
      </c>
      <c r="AI530" s="523">
        <f t="shared" si="581"/>
        <v>0</v>
      </c>
      <c r="AJ530" s="523">
        <f t="shared" si="581"/>
        <v>0</v>
      </c>
      <c r="AK530" s="523">
        <f t="shared" si="581"/>
        <v>71.15969999999993</v>
      </c>
      <c r="AL530" s="523">
        <f t="shared" si="581"/>
        <v>0</v>
      </c>
      <c r="AM530" s="523">
        <f t="shared" si="581"/>
        <v>71.15969999999993</v>
      </c>
      <c r="AN530" s="523">
        <f t="shared" si="581"/>
        <v>0</v>
      </c>
      <c r="AO530" s="523">
        <f t="shared" si="581"/>
        <v>0</v>
      </c>
      <c r="AP530" s="523"/>
      <c r="AQ530" s="524">
        <f t="shared" si="581"/>
        <v>0</v>
      </c>
      <c r="AR530" s="524">
        <f t="shared" si="581"/>
        <v>71.15969999999993</v>
      </c>
    </row>
    <row r="531" spans="1:45" s="83" customFormat="1" hidden="1" outlineLevel="1">
      <c r="A531" s="521"/>
      <c r="B531" s="522" t="s">
        <v>2021</v>
      </c>
      <c r="C531" s="528"/>
      <c r="D531" s="523"/>
      <c r="E531" s="523"/>
      <c r="F531" s="523"/>
      <c r="G531" s="523"/>
      <c r="H531" s="523">
        <f t="shared" ref="H531" si="582">I531+L531</f>
        <v>1889.1465000000001</v>
      </c>
      <c r="I531" s="523">
        <f t="shared" ref="I531" si="583">J531+K531</f>
        <v>1889.1465000000001</v>
      </c>
      <c r="J531" s="523"/>
      <c r="K531" s="523">
        <v>1889.1465000000001</v>
      </c>
      <c r="L531" s="523"/>
      <c r="M531" s="523"/>
      <c r="N531" s="523"/>
      <c r="O531" s="523">
        <f t="shared" si="545"/>
        <v>1817.9868000000001</v>
      </c>
      <c r="P531" s="543">
        <f t="shared" si="575"/>
        <v>0</v>
      </c>
      <c r="Q531" s="543">
        <f t="shared" si="576"/>
        <v>1817.9868000000001</v>
      </c>
      <c r="R531" s="523">
        <f t="shared" si="546"/>
        <v>1817.9868000000001</v>
      </c>
      <c r="S531" s="523"/>
      <c r="T531" s="523">
        <v>1817.9868000000001</v>
      </c>
      <c r="U531" s="523">
        <f t="shared" si="547"/>
        <v>0</v>
      </c>
      <c r="V531" s="523"/>
      <c r="W531" s="523"/>
      <c r="X531" s="523"/>
      <c r="Y531" s="523"/>
      <c r="Z531" s="523"/>
      <c r="AA531" s="523"/>
      <c r="AB531" s="523"/>
      <c r="AC531" s="523"/>
      <c r="AD531" s="523"/>
      <c r="AE531" s="523"/>
      <c r="AF531" s="523"/>
      <c r="AG531" s="523"/>
      <c r="AH531" s="523"/>
      <c r="AI531" s="523"/>
      <c r="AJ531" s="523"/>
      <c r="AK531" s="522">
        <f>SUM(AL531:AO531)</f>
        <v>71.15969999999993</v>
      </c>
      <c r="AL531" s="523">
        <f>D531+J531-S531-Z531-AF531</f>
        <v>0</v>
      </c>
      <c r="AM531" s="523">
        <f>E531+K531-T531-AA531-AG531</f>
        <v>71.15969999999993</v>
      </c>
      <c r="AN531" s="523">
        <f>F531+M531-V531-AC531-AI531</f>
        <v>0</v>
      </c>
      <c r="AO531" s="523">
        <f>G531+N531-W531-AD531-AJ531</f>
        <v>0</v>
      </c>
      <c r="AP531" s="523"/>
      <c r="AQ531" s="524"/>
      <c r="AR531" s="524">
        <v>71.15969999999993</v>
      </c>
    </row>
    <row r="532" spans="1:45" s="83" customFormat="1" ht="46.8" hidden="1" outlineLevel="1">
      <c r="A532" s="521">
        <v>5</v>
      </c>
      <c r="B532" s="522" t="s">
        <v>2228</v>
      </c>
      <c r="C532" s="528"/>
      <c r="D532" s="523"/>
      <c r="E532" s="523"/>
      <c r="F532" s="523"/>
      <c r="G532" s="523"/>
      <c r="H532" s="523">
        <f t="shared" ref="H532:AO532" si="584">SUM(H533:H536)</f>
        <v>10230</v>
      </c>
      <c r="I532" s="523">
        <f t="shared" si="584"/>
        <v>10230</v>
      </c>
      <c r="J532" s="523">
        <f t="shared" si="584"/>
        <v>0</v>
      </c>
      <c r="K532" s="523">
        <f t="shared" si="584"/>
        <v>10230</v>
      </c>
      <c r="L532" s="523">
        <f t="shared" si="584"/>
        <v>0</v>
      </c>
      <c r="M532" s="523">
        <f t="shared" si="584"/>
        <v>0</v>
      </c>
      <c r="N532" s="523">
        <f t="shared" si="584"/>
        <v>0</v>
      </c>
      <c r="O532" s="523">
        <f t="shared" si="584"/>
        <v>10230</v>
      </c>
      <c r="P532" s="543">
        <f t="shared" si="575"/>
        <v>0</v>
      </c>
      <c r="Q532" s="543">
        <f t="shared" si="576"/>
        <v>10230</v>
      </c>
      <c r="R532" s="523">
        <f t="shared" si="584"/>
        <v>10230</v>
      </c>
      <c r="S532" s="523">
        <f t="shared" si="584"/>
        <v>0</v>
      </c>
      <c r="T532" s="523">
        <f t="shared" si="584"/>
        <v>10230</v>
      </c>
      <c r="U532" s="523">
        <f t="shared" si="584"/>
        <v>0</v>
      </c>
      <c r="V532" s="523">
        <f t="shared" si="584"/>
        <v>0</v>
      </c>
      <c r="W532" s="523">
        <f t="shared" si="584"/>
        <v>0</v>
      </c>
      <c r="X532" s="523">
        <f t="shared" si="584"/>
        <v>0</v>
      </c>
      <c r="Y532" s="523">
        <f t="shared" si="584"/>
        <v>0</v>
      </c>
      <c r="Z532" s="523">
        <f t="shared" si="584"/>
        <v>0</v>
      </c>
      <c r="AA532" s="523">
        <f t="shared" si="584"/>
        <v>0</v>
      </c>
      <c r="AB532" s="523">
        <f t="shared" si="584"/>
        <v>0</v>
      </c>
      <c r="AC532" s="523">
        <f t="shared" si="584"/>
        <v>0</v>
      </c>
      <c r="AD532" s="523">
        <f t="shared" si="584"/>
        <v>0</v>
      </c>
      <c r="AE532" s="523">
        <f t="shared" si="584"/>
        <v>0</v>
      </c>
      <c r="AF532" s="523">
        <f t="shared" si="584"/>
        <v>0</v>
      </c>
      <c r="AG532" s="523">
        <f t="shared" si="584"/>
        <v>0</v>
      </c>
      <c r="AH532" s="523">
        <f t="shared" si="584"/>
        <v>0</v>
      </c>
      <c r="AI532" s="523">
        <f t="shared" si="584"/>
        <v>0</v>
      </c>
      <c r="AJ532" s="523">
        <f t="shared" si="584"/>
        <v>0</v>
      </c>
      <c r="AK532" s="523">
        <f t="shared" si="584"/>
        <v>0</v>
      </c>
      <c r="AL532" s="523">
        <f t="shared" si="584"/>
        <v>0</v>
      </c>
      <c r="AM532" s="523">
        <f t="shared" si="584"/>
        <v>0</v>
      </c>
      <c r="AN532" s="523">
        <f t="shared" si="584"/>
        <v>0</v>
      </c>
      <c r="AO532" s="523">
        <f t="shared" si="584"/>
        <v>0</v>
      </c>
      <c r="AP532" s="523"/>
      <c r="AQ532" s="524"/>
      <c r="AR532" s="524"/>
    </row>
    <row r="533" spans="1:45" s="83" customFormat="1" hidden="1" outlineLevel="1">
      <c r="A533" s="521"/>
      <c r="B533" s="522" t="s">
        <v>2229</v>
      </c>
      <c r="C533" s="528"/>
      <c r="D533" s="523"/>
      <c r="E533" s="523"/>
      <c r="F533" s="523"/>
      <c r="G533" s="523"/>
      <c r="H533" s="523">
        <f t="shared" ref="H533:H536" si="585">I533+L533</f>
        <v>2957</v>
      </c>
      <c r="I533" s="523">
        <f t="shared" ref="I533:I536" si="586">J533+K533</f>
        <v>2957</v>
      </c>
      <c r="J533" s="523"/>
      <c r="K533" s="523">
        <f>1137+1820</f>
        <v>2957</v>
      </c>
      <c r="L533" s="523"/>
      <c r="M533" s="523"/>
      <c r="N533" s="523"/>
      <c r="O533" s="523">
        <f t="shared" si="545"/>
        <v>2957</v>
      </c>
      <c r="P533" s="543">
        <f t="shared" si="575"/>
        <v>0</v>
      </c>
      <c r="Q533" s="543">
        <f t="shared" si="576"/>
        <v>2957</v>
      </c>
      <c r="R533" s="523">
        <f t="shared" si="546"/>
        <v>2957</v>
      </c>
      <c r="S533" s="523"/>
      <c r="T533" s="523">
        <v>2957</v>
      </c>
      <c r="U533" s="523">
        <f t="shared" si="547"/>
        <v>0</v>
      </c>
      <c r="V533" s="523"/>
      <c r="W533" s="523"/>
      <c r="X533" s="523"/>
      <c r="Y533" s="523"/>
      <c r="Z533" s="523"/>
      <c r="AA533" s="523"/>
      <c r="AB533" s="523"/>
      <c r="AC533" s="523"/>
      <c r="AD533" s="523"/>
      <c r="AE533" s="523"/>
      <c r="AF533" s="523"/>
      <c r="AG533" s="523"/>
      <c r="AH533" s="523"/>
      <c r="AI533" s="523"/>
      <c r="AJ533" s="523"/>
      <c r="AK533" s="522">
        <f>SUM(AL533:AO533)</f>
        <v>0</v>
      </c>
      <c r="AL533" s="523">
        <f t="shared" ref="AL533:AM536" si="587">D533+J533-S533-Z533-AF533</f>
        <v>0</v>
      </c>
      <c r="AM533" s="523">
        <f t="shared" si="587"/>
        <v>0</v>
      </c>
      <c r="AN533" s="523">
        <f t="shared" ref="AN533:AO536" si="588">F533+M533-V533-AC533-AI533</f>
        <v>0</v>
      </c>
      <c r="AO533" s="523">
        <f t="shared" si="588"/>
        <v>0</v>
      </c>
      <c r="AP533" s="523"/>
      <c r="AQ533" s="524"/>
      <c r="AR533" s="524"/>
    </row>
    <row r="534" spans="1:45" s="83" customFormat="1" hidden="1" outlineLevel="1">
      <c r="A534" s="521"/>
      <c r="B534" s="522" t="s">
        <v>2230</v>
      </c>
      <c r="C534" s="528"/>
      <c r="D534" s="523"/>
      <c r="E534" s="523"/>
      <c r="F534" s="523"/>
      <c r="G534" s="523"/>
      <c r="H534" s="523">
        <f t="shared" si="585"/>
        <v>2896.4</v>
      </c>
      <c r="I534" s="523">
        <f t="shared" si="586"/>
        <v>2896.4</v>
      </c>
      <c r="J534" s="523"/>
      <c r="K534" s="523">
        <f>857.4+2039</f>
        <v>2896.4</v>
      </c>
      <c r="L534" s="523"/>
      <c r="M534" s="523"/>
      <c r="N534" s="523"/>
      <c r="O534" s="523">
        <f t="shared" si="545"/>
        <v>2896.4</v>
      </c>
      <c r="P534" s="543">
        <f t="shared" si="575"/>
        <v>0</v>
      </c>
      <c r="Q534" s="543">
        <f t="shared" si="576"/>
        <v>2896.4</v>
      </c>
      <c r="R534" s="523">
        <f t="shared" si="546"/>
        <v>2896.4</v>
      </c>
      <c r="S534" s="523"/>
      <c r="T534" s="523">
        <v>2896.4</v>
      </c>
      <c r="U534" s="523">
        <f t="shared" si="547"/>
        <v>0</v>
      </c>
      <c r="V534" s="523"/>
      <c r="W534" s="523"/>
      <c r="X534" s="523"/>
      <c r="Y534" s="523"/>
      <c r="Z534" s="523"/>
      <c r="AA534" s="523"/>
      <c r="AB534" s="523"/>
      <c r="AC534" s="523"/>
      <c r="AD534" s="523"/>
      <c r="AE534" s="523"/>
      <c r="AF534" s="523"/>
      <c r="AG534" s="523"/>
      <c r="AH534" s="523"/>
      <c r="AI534" s="523"/>
      <c r="AJ534" s="523"/>
      <c r="AK534" s="522">
        <f>SUM(AL534:AO534)</f>
        <v>0</v>
      </c>
      <c r="AL534" s="523">
        <f t="shared" si="587"/>
        <v>0</v>
      </c>
      <c r="AM534" s="523">
        <f t="shared" si="587"/>
        <v>0</v>
      </c>
      <c r="AN534" s="523">
        <f t="shared" si="588"/>
        <v>0</v>
      </c>
      <c r="AO534" s="523">
        <f t="shared" si="588"/>
        <v>0</v>
      </c>
      <c r="AP534" s="523"/>
      <c r="AQ534" s="524"/>
      <c r="AR534" s="524"/>
    </row>
    <row r="535" spans="1:45" s="83" customFormat="1" hidden="1" outlineLevel="1">
      <c r="A535" s="521"/>
      <c r="B535" s="522" t="s">
        <v>2231</v>
      </c>
      <c r="C535" s="528"/>
      <c r="D535" s="523"/>
      <c r="E535" s="523"/>
      <c r="F535" s="523"/>
      <c r="G535" s="523"/>
      <c r="H535" s="523">
        <f t="shared" si="585"/>
        <v>2075.4</v>
      </c>
      <c r="I535" s="523">
        <f t="shared" si="586"/>
        <v>2075.4</v>
      </c>
      <c r="J535" s="523"/>
      <c r="K535" s="523">
        <f>622.4+1453</f>
        <v>2075.4</v>
      </c>
      <c r="L535" s="523"/>
      <c r="M535" s="523"/>
      <c r="N535" s="523"/>
      <c r="O535" s="523">
        <f t="shared" si="545"/>
        <v>2075.4</v>
      </c>
      <c r="P535" s="543">
        <f t="shared" si="575"/>
        <v>0</v>
      </c>
      <c r="Q535" s="543">
        <f t="shared" si="576"/>
        <v>2075.4</v>
      </c>
      <c r="R535" s="523">
        <f t="shared" si="546"/>
        <v>2075.4</v>
      </c>
      <c r="S535" s="523"/>
      <c r="T535" s="523">
        <v>2075.4</v>
      </c>
      <c r="U535" s="523">
        <f t="shared" si="547"/>
        <v>0</v>
      </c>
      <c r="V535" s="523"/>
      <c r="W535" s="523"/>
      <c r="X535" s="523"/>
      <c r="Y535" s="523"/>
      <c r="Z535" s="523"/>
      <c r="AA535" s="523"/>
      <c r="AB535" s="523"/>
      <c r="AC535" s="523"/>
      <c r="AD535" s="523"/>
      <c r="AE535" s="523"/>
      <c r="AF535" s="523"/>
      <c r="AG535" s="523"/>
      <c r="AH535" s="523"/>
      <c r="AI535" s="523"/>
      <c r="AJ535" s="523"/>
      <c r="AK535" s="522">
        <f>SUM(AL535:AO535)</f>
        <v>0</v>
      </c>
      <c r="AL535" s="523">
        <f t="shared" si="587"/>
        <v>0</v>
      </c>
      <c r="AM535" s="523">
        <f t="shared" si="587"/>
        <v>0</v>
      </c>
      <c r="AN535" s="523">
        <f t="shared" si="588"/>
        <v>0</v>
      </c>
      <c r="AO535" s="523">
        <f t="shared" si="588"/>
        <v>0</v>
      </c>
      <c r="AP535" s="523"/>
      <c r="AQ535" s="524"/>
      <c r="AR535" s="524"/>
    </row>
    <row r="536" spans="1:45" s="83" customFormat="1" hidden="1" outlineLevel="1">
      <c r="A536" s="521"/>
      <c r="B536" s="522" t="s">
        <v>2232</v>
      </c>
      <c r="C536" s="528"/>
      <c r="D536" s="523"/>
      <c r="E536" s="523"/>
      <c r="F536" s="523"/>
      <c r="G536" s="523"/>
      <c r="H536" s="523">
        <f t="shared" si="585"/>
        <v>2301.1999999999998</v>
      </c>
      <c r="I536" s="523">
        <f t="shared" si="586"/>
        <v>2301.1999999999998</v>
      </c>
      <c r="J536" s="523"/>
      <c r="K536" s="523">
        <f>634.2+1667</f>
        <v>2301.1999999999998</v>
      </c>
      <c r="L536" s="523"/>
      <c r="M536" s="523"/>
      <c r="N536" s="523"/>
      <c r="O536" s="523">
        <f t="shared" si="545"/>
        <v>2301.1999999999998</v>
      </c>
      <c r="P536" s="543">
        <f t="shared" si="575"/>
        <v>0</v>
      </c>
      <c r="Q536" s="543">
        <f t="shared" si="576"/>
        <v>2301.1999999999998</v>
      </c>
      <c r="R536" s="523">
        <f t="shared" si="546"/>
        <v>2301.1999999999998</v>
      </c>
      <c r="S536" s="523"/>
      <c r="T536" s="523">
        <v>2301.1999999999998</v>
      </c>
      <c r="U536" s="523">
        <f t="shared" si="547"/>
        <v>0</v>
      </c>
      <c r="V536" s="523"/>
      <c r="W536" s="523"/>
      <c r="X536" s="523"/>
      <c r="Y536" s="523"/>
      <c r="Z536" s="523"/>
      <c r="AA536" s="523"/>
      <c r="AB536" s="523"/>
      <c r="AC536" s="523"/>
      <c r="AD536" s="523"/>
      <c r="AE536" s="523"/>
      <c r="AF536" s="523"/>
      <c r="AG536" s="523"/>
      <c r="AH536" s="523"/>
      <c r="AI536" s="523"/>
      <c r="AJ536" s="523"/>
      <c r="AK536" s="522">
        <f>SUM(AL536:AO536)</f>
        <v>0</v>
      </c>
      <c r="AL536" s="523">
        <f t="shared" si="587"/>
        <v>0</v>
      </c>
      <c r="AM536" s="523">
        <f t="shared" si="587"/>
        <v>0</v>
      </c>
      <c r="AN536" s="523">
        <f t="shared" si="588"/>
        <v>0</v>
      </c>
      <c r="AO536" s="523">
        <f t="shared" si="588"/>
        <v>0</v>
      </c>
      <c r="AP536" s="523"/>
      <c r="AQ536" s="524"/>
      <c r="AR536" s="524"/>
    </row>
    <row r="537" spans="1:45" s="83" customFormat="1" hidden="1" outlineLevel="1">
      <c r="A537" s="521">
        <v>6</v>
      </c>
      <c r="B537" s="522" t="s">
        <v>504</v>
      </c>
      <c r="C537" s="528"/>
      <c r="D537" s="523"/>
      <c r="E537" s="523"/>
      <c r="F537" s="523"/>
      <c r="G537" s="523"/>
      <c r="H537" s="523">
        <f>SUM(H538:H539)</f>
        <v>56</v>
      </c>
      <c r="I537" s="523">
        <f t="shared" ref="I537:AR537" si="589">SUM(I538:I539)</f>
        <v>37.299999999999997</v>
      </c>
      <c r="J537" s="523">
        <f t="shared" si="589"/>
        <v>0</v>
      </c>
      <c r="K537" s="523">
        <f t="shared" si="589"/>
        <v>37.299999999999997</v>
      </c>
      <c r="L537" s="523">
        <f t="shared" si="589"/>
        <v>18.7</v>
      </c>
      <c r="M537" s="523">
        <f t="shared" si="589"/>
        <v>0</v>
      </c>
      <c r="N537" s="523">
        <f t="shared" si="589"/>
        <v>18.7</v>
      </c>
      <c r="O537" s="523">
        <f t="shared" si="545"/>
        <v>18.7</v>
      </c>
      <c r="P537" s="543">
        <f t="shared" si="575"/>
        <v>0</v>
      </c>
      <c r="Q537" s="543">
        <f t="shared" si="576"/>
        <v>18.7</v>
      </c>
      <c r="R537" s="523">
        <f t="shared" si="546"/>
        <v>0</v>
      </c>
      <c r="S537" s="523"/>
      <c r="T537" s="523"/>
      <c r="U537" s="523">
        <f t="shared" si="547"/>
        <v>18.7</v>
      </c>
      <c r="V537" s="523">
        <f t="shared" si="589"/>
        <v>0</v>
      </c>
      <c r="W537" s="523">
        <f t="shared" si="589"/>
        <v>18.7</v>
      </c>
      <c r="X537" s="523">
        <f t="shared" si="589"/>
        <v>0</v>
      </c>
      <c r="Y537" s="523">
        <f t="shared" si="589"/>
        <v>0</v>
      </c>
      <c r="Z537" s="523">
        <f t="shared" si="589"/>
        <v>0</v>
      </c>
      <c r="AA537" s="523">
        <f t="shared" si="589"/>
        <v>0</v>
      </c>
      <c r="AB537" s="523">
        <f t="shared" si="589"/>
        <v>0</v>
      </c>
      <c r="AC537" s="523">
        <f t="shared" si="589"/>
        <v>0</v>
      </c>
      <c r="AD537" s="523">
        <f t="shared" si="589"/>
        <v>0</v>
      </c>
      <c r="AE537" s="523">
        <f t="shared" si="589"/>
        <v>0</v>
      </c>
      <c r="AF537" s="523">
        <f t="shared" si="589"/>
        <v>0</v>
      </c>
      <c r="AG537" s="523">
        <f t="shared" si="589"/>
        <v>0</v>
      </c>
      <c r="AH537" s="523">
        <f t="shared" si="589"/>
        <v>0</v>
      </c>
      <c r="AI537" s="523">
        <f t="shared" si="589"/>
        <v>0</v>
      </c>
      <c r="AJ537" s="523">
        <f t="shared" si="589"/>
        <v>0</v>
      </c>
      <c r="AK537" s="523">
        <f t="shared" si="589"/>
        <v>37.299999999999997</v>
      </c>
      <c r="AL537" s="523">
        <f t="shared" si="589"/>
        <v>0</v>
      </c>
      <c r="AM537" s="523">
        <f t="shared" si="589"/>
        <v>37.299999999999997</v>
      </c>
      <c r="AN537" s="523">
        <f t="shared" si="589"/>
        <v>0</v>
      </c>
      <c r="AO537" s="523">
        <f t="shared" si="589"/>
        <v>0</v>
      </c>
      <c r="AP537" s="523"/>
      <c r="AQ537" s="524">
        <f t="shared" si="589"/>
        <v>0</v>
      </c>
      <c r="AR537" s="524">
        <f t="shared" si="589"/>
        <v>37.299999999999997</v>
      </c>
    </row>
    <row r="538" spans="1:45" s="83" customFormat="1" hidden="1" outlineLevel="1">
      <c r="A538" s="521"/>
      <c r="B538" s="522" t="s">
        <v>200</v>
      </c>
      <c r="C538" s="528"/>
      <c r="D538" s="523"/>
      <c r="E538" s="523"/>
      <c r="F538" s="523"/>
      <c r="G538" s="523"/>
      <c r="H538" s="523">
        <f>I538+L538</f>
        <v>18.7</v>
      </c>
      <c r="I538" s="523">
        <f>J538+K538</f>
        <v>0</v>
      </c>
      <c r="J538" s="523"/>
      <c r="K538" s="523"/>
      <c r="L538" s="523">
        <f>M538+N538</f>
        <v>18.7</v>
      </c>
      <c r="M538" s="523"/>
      <c r="N538" s="523">
        <v>18.7</v>
      </c>
      <c r="O538" s="523">
        <f t="shared" si="545"/>
        <v>18.7</v>
      </c>
      <c r="P538" s="543">
        <f t="shared" si="575"/>
        <v>0</v>
      </c>
      <c r="Q538" s="543">
        <f t="shared" si="576"/>
        <v>18.7</v>
      </c>
      <c r="R538" s="523">
        <f t="shared" si="546"/>
        <v>0</v>
      </c>
      <c r="S538" s="523"/>
      <c r="T538" s="523"/>
      <c r="U538" s="523">
        <f t="shared" si="547"/>
        <v>18.7</v>
      </c>
      <c r="V538" s="523"/>
      <c r="W538" s="523">
        <v>18.7</v>
      </c>
      <c r="X538" s="523"/>
      <c r="Y538" s="523"/>
      <c r="Z538" s="523"/>
      <c r="AA538" s="523"/>
      <c r="AB538" s="523"/>
      <c r="AC538" s="523"/>
      <c r="AD538" s="523"/>
      <c r="AE538" s="523"/>
      <c r="AF538" s="523"/>
      <c r="AG538" s="523"/>
      <c r="AH538" s="523"/>
      <c r="AI538" s="523"/>
      <c r="AJ538" s="523"/>
      <c r="AK538" s="522">
        <f>SUM(AL538:AO538)</f>
        <v>0</v>
      </c>
      <c r="AL538" s="523">
        <f>D538+J538-S538-Z538-AF538</f>
        <v>0</v>
      </c>
      <c r="AM538" s="523">
        <f>E538+K538-T538-AA538-AG538</f>
        <v>0</v>
      </c>
      <c r="AN538" s="523">
        <f>F538+M538-V538-AC538-AI538</f>
        <v>0</v>
      </c>
      <c r="AO538" s="523">
        <f>G538+N538-W538-AD538-AJ538</f>
        <v>0</v>
      </c>
      <c r="AP538" s="523"/>
      <c r="AQ538" s="524"/>
      <c r="AR538" s="524"/>
    </row>
    <row r="539" spans="1:45" s="83" customFormat="1" hidden="1" outlineLevel="1">
      <c r="A539" s="521"/>
      <c r="B539" s="522" t="s">
        <v>484</v>
      </c>
      <c r="C539" s="528"/>
      <c r="D539" s="523"/>
      <c r="E539" s="523"/>
      <c r="F539" s="523"/>
      <c r="G539" s="523"/>
      <c r="H539" s="523">
        <f t="shared" ref="H539:H561" si="590">I539+L539</f>
        <v>37.299999999999997</v>
      </c>
      <c r="I539" s="523">
        <f t="shared" ref="I539:I561" si="591">J539+K539</f>
        <v>37.299999999999997</v>
      </c>
      <c r="J539" s="523"/>
      <c r="K539" s="523">
        <v>37.299999999999997</v>
      </c>
      <c r="L539" s="523"/>
      <c r="M539" s="523"/>
      <c r="N539" s="523"/>
      <c r="O539" s="523">
        <f t="shared" si="545"/>
        <v>0</v>
      </c>
      <c r="P539" s="543">
        <f t="shared" si="575"/>
        <v>0</v>
      </c>
      <c r="Q539" s="543">
        <f t="shared" si="576"/>
        <v>0</v>
      </c>
      <c r="R539" s="523">
        <f t="shared" si="546"/>
        <v>0</v>
      </c>
      <c r="S539" s="523"/>
      <c r="T539" s="523"/>
      <c r="U539" s="523">
        <f t="shared" si="547"/>
        <v>0</v>
      </c>
      <c r="V539" s="523"/>
      <c r="W539" s="523"/>
      <c r="X539" s="523"/>
      <c r="Y539" s="523"/>
      <c r="Z539" s="523"/>
      <c r="AA539" s="523"/>
      <c r="AB539" s="523"/>
      <c r="AC539" s="523"/>
      <c r="AD539" s="523"/>
      <c r="AE539" s="523"/>
      <c r="AF539" s="523"/>
      <c r="AG539" s="523"/>
      <c r="AH539" s="523"/>
      <c r="AI539" s="523"/>
      <c r="AJ539" s="523"/>
      <c r="AK539" s="522">
        <f>SUM(AL539:AO539)</f>
        <v>37.299999999999997</v>
      </c>
      <c r="AL539" s="523">
        <f>D539+J539-S539-Z539-AF539</f>
        <v>0</v>
      </c>
      <c r="AM539" s="523">
        <f>E539+K539-T539-AA539-AG539</f>
        <v>37.299999999999997</v>
      </c>
      <c r="AN539" s="523">
        <f>F539+M539-V539-AC539-AI539</f>
        <v>0</v>
      </c>
      <c r="AO539" s="523">
        <f>G539+N539-W539-AD539-AJ539</f>
        <v>0</v>
      </c>
      <c r="AP539" s="523"/>
      <c r="AQ539" s="524"/>
      <c r="AR539" s="524">
        <v>37.299999999999997</v>
      </c>
    </row>
    <row r="540" spans="1:45" s="83" customFormat="1" hidden="1" outlineLevel="1">
      <c r="A540" s="521">
        <v>7</v>
      </c>
      <c r="B540" s="522" t="s">
        <v>2233</v>
      </c>
      <c r="C540" s="528"/>
      <c r="D540" s="523"/>
      <c r="E540" s="523"/>
      <c r="F540" s="523"/>
      <c r="G540" s="523"/>
      <c r="H540" s="523">
        <f t="shared" ref="H540:J540" si="592">H541</f>
        <v>1000</v>
      </c>
      <c r="I540" s="523">
        <f t="shared" si="592"/>
        <v>1000</v>
      </c>
      <c r="J540" s="523">
        <f t="shared" si="592"/>
        <v>0</v>
      </c>
      <c r="K540" s="523">
        <f>K541</f>
        <v>1000</v>
      </c>
      <c r="L540" s="523">
        <f t="shared" ref="L540:AR540" si="593">L541</f>
        <v>0</v>
      </c>
      <c r="M540" s="523">
        <f t="shared" si="593"/>
        <v>0</v>
      </c>
      <c r="N540" s="523">
        <f t="shared" si="593"/>
        <v>0</v>
      </c>
      <c r="O540" s="523">
        <f t="shared" si="545"/>
        <v>0</v>
      </c>
      <c r="P540" s="543">
        <f t="shared" si="575"/>
        <v>0</v>
      </c>
      <c r="Q540" s="543">
        <f t="shared" si="576"/>
        <v>0</v>
      </c>
      <c r="R540" s="523">
        <f t="shared" si="546"/>
        <v>0</v>
      </c>
      <c r="S540" s="523"/>
      <c r="T540" s="523"/>
      <c r="U540" s="523">
        <f t="shared" si="547"/>
        <v>0</v>
      </c>
      <c r="V540" s="523">
        <f t="shared" si="593"/>
        <v>0</v>
      </c>
      <c r="W540" s="523">
        <f t="shared" si="593"/>
        <v>0</v>
      </c>
      <c r="X540" s="523">
        <f t="shared" si="593"/>
        <v>0</v>
      </c>
      <c r="Y540" s="523">
        <f t="shared" si="593"/>
        <v>0</v>
      </c>
      <c r="Z540" s="523">
        <f t="shared" si="593"/>
        <v>0</v>
      </c>
      <c r="AA540" s="523">
        <f t="shared" si="593"/>
        <v>0</v>
      </c>
      <c r="AB540" s="523">
        <f t="shared" si="593"/>
        <v>0</v>
      </c>
      <c r="AC540" s="523">
        <f t="shared" si="593"/>
        <v>0</v>
      </c>
      <c r="AD540" s="523">
        <f t="shared" si="593"/>
        <v>0</v>
      </c>
      <c r="AE540" s="523">
        <f t="shared" si="593"/>
        <v>0</v>
      </c>
      <c r="AF540" s="523">
        <f t="shared" si="593"/>
        <v>0</v>
      </c>
      <c r="AG540" s="523">
        <f t="shared" si="593"/>
        <v>0</v>
      </c>
      <c r="AH540" s="523">
        <f t="shared" si="593"/>
        <v>0</v>
      </c>
      <c r="AI540" s="523">
        <f t="shared" si="593"/>
        <v>0</v>
      </c>
      <c r="AJ540" s="523">
        <f t="shared" si="593"/>
        <v>0</v>
      </c>
      <c r="AK540" s="523">
        <f t="shared" si="593"/>
        <v>1000</v>
      </c>
      <c r="AL540" s="523">
        <f t="shared" si="593"/>
        <v>0</v>
      </c>
      <c r="AM540" s="523">
        <f t="shared" si="593"/>
        <v>1000</v>
      </c>
      <c r="AN540" s="523">
        <f t="shared" si="593"/>
        <v>0</v>
      </c>
      <c r="AO540" s="523">
        <f t="shared" si="593"/>
        <v>0</v>
      </c>
      <c r="AP540" s="523"/>
      <c r="AQ540" s="524">
        <f t="shared" si="593"/>
        <v>1000</v>
      </c>
      <c r="AR540" s="524">
        <f t="shared" si="593"/>
        <v>0</v>
      </c>
      <c r="AS540" s="83" t="s">
        <v>2204</v>
      </c>
    </row>
    <row r="541" spans="1:45" s="83" customFormat="1" hidden="1" outlineLevel="1">
      <c r="A541" s="521"/>
      <c r="B541" s="522" t="s">
        <v>2234</v>
      </c>
      <c r="C541" s="528"/>
      <c r="D541" s="523"/>
      <c r="E541" s="523"/>
      <c r="F541" s="523"/>
      <c r="G541" s="523"/>
      <c r="H541" s="523">
        <f t="shared" si="590"/>
        <v>1000</v>
      </c>
      <c r="I541" s="523">
        <f t="shared" si="591"/>
        <v>1000</v>
      </c>
      <c r="J541" s="523"/>
      <c r="K541" s="523">
        <v>1000</v>
      </c>
      <c r="L541" s="523"/>
      <c r="M541" s="523"/>
      <c r="N541" s="523"/>
      <c r="O541" s="523">
        <f t="shared" si="545"/>
        <v>0</v>
      </c>
      <c r="P541" s="543">
        <f t="shared" si="575"/>
        <v>0</v>
      </c>
      <c r="Q541" s="543">
        <f t="shared" si="576"/>
        <v>0</v>
      </c>
      <c r="R541" s="523">
        <f t="shared" si="546"/>
        <v>0</v>
      </c>
      <c r="S541" s="523"/>
      <c r="T541" s="523"/>
      <c r="U541" s="523">
        <f t="shared" si="547"/>
        <v>0</v>
      </c>
      <c r="V541" s="523"/>
      <c r="W541" s="523"/>
      <c r="X541" s="523"/>
      <c r="Y541" s="523"/>
      <c r="Z541" s="523"/>
      <c r="AA541" s="523"/>
      <c r="AB541" s="523"/>
      <c r="AC541" s="523"/>
      <c r="AD541" s="523"/>
      <c r="AE541" s="523"/>
      <c r="AF541" s="523"/>
      <c r="AG541" s="523"/>
      <c r="AH541" s="523"/>
      <c r="AI541" s="523"/>
      <c r="AJ541" s="523"/>
      <c r="AK541" s="522">
        <f>SUM(AL541:AO541)</f>
        <v>1000</v>
      </c>
      <c r="AL541" s="523">
        <f>D541+J541-S541-Z541-AF541</f>
        <v>0</v>
      </c>
      <c r="AM541" s="523">
        <f>E541+K541-T541-AA541-AG541</f>
        <v>1000</v>
      </c>
      <c r="AN541" s="523">
        <f>F541+M541-V541-AC541-AI541</f>
        <v>0</v>
      </c>
      <c r="AO541" s="523">
        <f>G541+N541-W541-AD541-AJ541</f>
        <v>0</v>
      </c>
      <c r="AP541" s="523"/>
      <c r="AQ541" s="524">
        <v>1000</v>
      </c>
      <c r="AR541" s="524"/>
    </row>
    <row r="542" spans="1:45" s="83" customFormat="1" ht="46.8" hidden="1" outlineLevel="1">
      <c r="A542" s="521">
        <v>8</v>
      </c>
      <c r="B542" s="522" t="s">
        <v>2235</v>
      </c>
      <c r="C542" s="528"/>
      <c r="D542" s="523"/>
      <c r="E542" s="523"/>
      <c r="F542" s="523"/>
      <c r="G542" s="523"/>
      <c r="H542" s="523">
        <f t="shared" ref="H542:AO542" si="594">H543</f>
        <v>8000</v>
      </c>
      <c r="I542" s="523">
        <f t="shared" si="594"/>
        <v>8000</v>
      </c>
      <c r="J542" s="523">
        <f t="shared" si="594"/>
        <v>0</v>
      </c>
      <c r="K542" s="523">
        <f t="shared" si="594"/>
        <v>8000</v>
      </c>
      <c r="L542" s="523">
        <f t="shared" si="594"/>
        <v>0</v>
      </c>
      <c r="M542" s="523">
        <f t="shared" si="594"/>
        <v>0</v>
      </c>
      <c r="N542" s="523">
        <f t="shared" si="594"/>
        <v>0</v>
      </c>
      <c r="O542" s="523">
        <f t="shared" si="594"/>
        <v>8000</v>
      </c>
      <c r="P542" s="543">
        <f t="shared" si="575"/>
        <v>0</v>
      </c>
      <c r="Q542" s="543">
        <f t="shared" si="576"/>
        <v>8000</v>
      </c>
      <c r="R542" s="523">
        <f t="shared" si="594"/>
        <v>8000</v>
      </c>
      <c r="S542" s="523">
        <f t="shared" si="594"/>
        <v>0</v>
      </c>
      <c r="T542" s="523">
        <f t="shared" si="594"/>
        <v>8000</v>
      </c>
      <c r="U542" s="523">
        <f t="shared" si="594"/>
        <v>0</v>
      </c>
      <c r="V542" s="523">
        <f t="shared" si="594"/>
        <v>0</v>
      </c>
      <c r="W542" s="523">
        <f t="shared" si="594"/>
        <v>0</v>
      </c>
      <c r="X542" s="523">
        <f t="shared" si="594"/>
        <v>0</v>
      </c>
      <c r="Y542" s="523">
        <f t="shared" si="594"/>
        <v>0</v>
      </c>
      <c r="Z542" s="523">
        <f t="shared" si="594"/>
        <v>0</v>
      </c>
      <c r="AA542" s="523">
        <f t="shared" si="594"/>
        <v>0</v>
      </c>
      <c r="AB542" s="523">
        <f t="shared" si="594"/>
        <v>0</v>
      </c>
      <c r="AC542" s="523">
        <f t="shared" si="594"/>
        <v>0</v>
      </c>
      <c r="AD542" s="523">
        <f t="shared" si="594"/>
        <v>0</v>
      </c>
      <c r="AE542" s="523">
        <f t="shared" si="594"/>
        <v>0</v>
      </c>
      <c r="AF542" s="523">
        <f t="shared" si="594"/>
        <v>0</v>
      </c>
      <c r="AG542" s="523">
        <f t="shared" si="594"/>
        <v>0</v>
      </c>
      <c r="AH542" s="523">
        <f t="shared" si="594"/>
        <v>0</v>
      </c>
      <c r="AI542" s="523">
        <f t="shared" si="594"/>
        <v>0</v>
      </c>
      <c r="AJ542" s="523">
        <f t="shared" si="594"/>
        <v>0</v>
      </c>
      <c r="AK542" s="523">
        <f t="shared" si="594"/>
        <v>0</v>
      </c>
      <c r="AL542" s="523">
        <f t="shared" si="594"/>
        <v>0</v>
      </c>
      <c r="AM542" s="523">
        <f t="shared" si="594"/>
        <v>0</v>
      </c>
      <c r="AN542" s="523">
        <f t="shared" si="594"/>
        <v>0</v>
      </c>
      <c r="AO542" s="523">
        <f t="shared" si="594"/>
        <v>0</v>
      </c>
      <c r="AP542" s="523"/>
      <c r="AQ542" s="524"/>
      <c r="AR542" s="524"/>
    </row>
    <row r="543" spans="1:45" s="83" customFormat="1" hidden="1" outlineLevel="1">
      <c r="A543" s="521"/>
      <c r="B543" s="522" t="s">
        <v>502</v>
      </c>
      <c r="C543" s="528"/>
      <c r="D543" s="523"/>
      <c r="E543" s="523"/>
      <c r="F543" s="523"/>
      <c r="G543" s="523"/>
      <c r="H543" s="523">
        <f t="shared" ref="H543" si="595">I543+L543</f>
        <v>8000</v>
      </c>
      <c r="I543" s="523">
        <f t="shared" ref="I543" si="596">J543+K543</f>
        <v>8000</v>
      </c>
      <c r="J543" s="523"/>
      <c r="K543" s="523">
        <v>8000</v>
      </c>
      <c r="L543" s="523"/>
      <c r="M543" s="523"/>
      <c r="N543" s="523"/>
      <c r="O543" s="523">
        <f t="shared" si="545"/>
        <v>8000</v>
      </c>
      <c r="P543" s="543">
        <f t="shared" si="575"/>
        <v>0</v>
      </c>
      <c r="Q543" s="543">
        <f t="shared" si="576"/>
        <v>8000</v>
      </c>
      <c r="R543" s="523">
        <f t="shared" si="546"/>
        <v>8000</v>
      </c>
      <c r="S543" s="523"/>
      <c r="T543" s="523">
        <v>8000</v>
      </c>
      <c r="U543" s="523">
        <f t="shared" si="547"/>
        <v>0</v>
      </c>
      <c r="V543" s="523"/>
      <c r="W543" s="523"/>
      <c r="X543" s="523"/>
      <c r="Y543" s="523"/>
      <c r="Z543" s="523"/>
      <c r="AA543" s="523"/>
      <c r="AB543" s="523"/>
      <c r="AC543" s="523"/>
      <c r="AD543" s="523"/>
      <c r="AE543" s="523"/>
      <c r="AF543" s="523"/>
      <c r="AG543" s="523"/>
      <c r="AH543" s="523"/>
      <c r="AI543" s="523"/>
      <c r="AJ543" s="523"/>
      <c r="AK543" s="522">
        <f>SUM(AL543:AO543)</f>
        <v>0</v>
      </c>
      <c r="AL543" s="523">
        <f>D543+J543-S543-Z543-AF543</f>
        <v>0</v>
      </c>
      <c r="AM543" s="523">
        <f>E543+K543-T543-AA543-AG543</f>
        <v>0</v>
      </c>
      <c r="AN543" s="523">
        <f>F543+M543-V543-AC543-AI543</f>
        <v>0</v>
      </c>
      <c r="AO543" s="523">
        <f>G543+N543-W543-AD543-AJ543</f>
        <v>0</v>
      </c>
      <c r="AP543" s="523"/>
      <c r="AQ543" s="524"/>
      <c r="AR543" s="524"/>
    </row>
    <row r="544" spans="1:45" s="83" customFormat="1" ht="31.2" hidden="1" outlineLevel="1">
      <c r="A544" s="521">
        <v>9</v>
      </c>
      <c r="B544" s="522" t="s">
        <v>2236</v>
      </c>
      <c r="C544" s="528"/>
      <c r="D544" s="523"/>
      <c r="E544" s="523"/>
      <c r="F544" s="523"/>
      <c r="G544" s="523"/>
      <c r="H544" s="523">
        <f t="shared" ref="H544:AO544" si="597">H545</f>
        <v>9779</v>
      </c>
      <c r="I544" s="523">
        <f t="shared" si="597"/>
        <v>9779</v>
      </c>
      <c r="J544" s="523">
        <f t="shared" si="597"/>
        <v>0</v>
      </c>
      <c r="K544" s="523">
        <f t="shared" si="597"/>
        <v>9779</v>
      </c>
      <c r="L544" s="523">
        <f t="shared" si="597"/>
        <v>0</v>
      </c>
      <c r="M544" s="523">
        <f t="shared" si="597"/>
        <v>0</v>
      </c>
      <c r="N544" s="523">
        <f t="shared" si="597"/>
        <v>0</v>
      </c>
      <c r="O544" s="523">
        <f t="shared" si="597"/>
        <v>9779</v>
      </c>
      <c r="P544" s="543">
        <f t="shared" si="575"/>
        <v>0</v>
      </c>
      <c r="Q544" s="543">
        <f t="shared" si="576"/>
        <v>9779</v>
      </c>
      <c r="R544" s="523">
        <f t="shared" si="597"/>
        <v>9779</v>
      </c>
      <c r="S544" s="523">
        <f t="shared" si="597"/>
        <v>0</v>
      </c>
      <c r="T544" s="523">
        <f t="shared" si="597"/>
        <v>9779</v>
      </c>
      <c r="U544" s="523">
        <f t="shared" si="597"/>
        <v>0</v>
      </c>
      <c r="V544" s="523">
        <f t="shared" si="597"/>
        <v>0</v>
      </c>
      <c r="W544" s="523">
        <f t="shared" si="597"/>
        <v>0</v>
      </c>
      <c r="X544" s="523">
        <f t="shared" si="597"/>
        <v>0</v>
      </c>
      <c r="Y544" s="523">
        <f t="shared" si="597"/>
        <v>0</v>
      </c>
      <c r="Z544" s="523">
        <f t="shared" si="597"/>
        <v>0</v>
      </c>
      <c r="AA544" s="523">
        <f t="shared" si="597"/>
        <v>0</v>
      </c>
      <c r="AB544" s="523">
        <f t="shared" si="597"/>
        <v>0</v>
      </c>
      <c r="AC544" s="523">
        <f t="shared" si="597"/>
        <v>0</v>
      </c>
      <c r="AD544" s="523">
        <f t="shared" si="597"/>
        <v>0</v>
      </c>
      <c r="AE544" s="523">
        <f t="shared" si="597"/>
        <v>0</v>
      </c>
      <c r="AF544" s="523">
        <f t="shared" si="597"/>
        <v>0</v>
      </c>
      <c r="AG544" s="523">
        <f t="shared" si="597"/>
        <v>0</v>
      </c>
      <c r="AH544" s="523">
        <f t="shared" si="597"/>
        <v>0</v>
      </c>
      <c r="AI544" s="523">
        <f t="shared" si="597"/>
        <v>0</v>
      </c>
      <c r="AJ544" s="523">
        <f t="shared" si="597"/>
        <v>0</v>
      </c>
      <c r="AK544" s="523">
        <f t="shared" si="597"/>
        <v>0</v>
      </c>
      <c r="AL544" s="523">
        <f t="shared" si="597"/>
        <v>0</v>
      </c>
      <c r="AM544" s="523">
        <f t="shared" si="597"/>
        <v>0</v>
      </c>
      <c r="AN544" s="523">
        <f t="shared" si="597"/>
        <v>0</v>
      </c>
      <c r="AO544" s="523">
        <f t="shared" si="597"/>
        <v>0</v>
      </c>
      <c r="AP544" s="523"/>
      <c r="AQ544" s="524"/>
      <c r="AR544" s="524"/>
    </row>
    <row r="545" spans="1:44" s="83" customFormat="1" hidden="1" outlineLevel="1">
      <c r="A545" s="521"/>
      <c r="B545" s="522" t="s">
        <v>502</v>
      </c>
      <c r="C545" s="528"/>
      <c r="D545" s="523"/>
      <c r="E545" s="523"/>
      <c r="F545" s="523"/>
      <c r="G545" s="523"/>
      <c r="H545" s="523">
        <f t="shared" ref="H545" si="598">I545+L545</f>
        <v>9779</v>
      </c>
      <c r="I545" s="523">
        <f t="shared" ref="I545" si="599">J545+K545</f>
        <v>9779</v>
      </c>
      <c r="J545" s="523"/>
      <c r="K545" s="523">
        <v>9779</v>
      </c>
      <c r="L545" s="523"/>
      <c r="M545" s="523"/>
      <c r="N545" s="523"/>
      <c r="O545" s="523">
        <f t="shared" si="545"/>
        <v>9779</v>
      </c>
      <c r="P545" s="543">
        <f t="shared" si="575"/>
        <v>0</v>
      </c>
      <c r="Q545" s="543">
        <f t="shared" si="576"/>
        <v>9779</v>
      </c>
      <c r="R545" s="523">
        <f t="shared" si="546"/>
        <v>9779</v>
      </c>
      <c r="S545" s="523"/>
      <c r="T545" s="523">
        <v>9779</v>
      </c>
      <c r="U545" s="523">
        <f t="shared" si="547"/>
        <v>0</v>
      </c>
      <c r="V545" s="523"/>
      <c r="W545" s="523"/>
      <c r="X545" s="523"/>
      <c r="Y545" s="523"/>
      <c r="Z545" s="523"/>
      <c r="AA545" s="523"/>
      <c r="AB545" s="523"/>
      <c r="AC545" s="523"/>
      <c r="AD545" s="523"/>
      <c r="AE545" s="523"/>
      <c r="AF545" s="523"/>
      <c r="AG545" s="523"/>
      <c r="AH545" s="523"/>
      <c r="AI545" s="523"/>
      <c r="AJ545" s="523"/>
      <c r="AK545" s="522">
        <f>SUM(AL545:AO545)</f>
        <v>0</v>
      </c>
      <c r="AL545" s="523">
        <f>D545+J545-S545-Z545-AF545</f>
        <v>0</v>
      </c>
      <c r="AM545" s="523">
        <f>E545+K545-T545-AA545-AG545</f>
        <v>0</v>
      </c>
      <c r="AN545" s="523">
        <f>F545+M545-V545-AC545-AI545</f>
        <v>0</v>
      </c>
      <c r="AO545" s="523">
        <f>G545+N545-W545-AD545-AJ545</f>
        <v>0</v>
      </c>
      <c r="AP545" s="523"/>
      <c r="AQ545" s="524"/>
      <c r="AR545" s="524"/>
    </row>
    <row r="546" spans="1:44" s="83" customFormat="1" ht="31.2" hidden="1" outlineLevel="1">
      <c r="A546" s="549">
        <v>10</v>
      </c>
      <c r="B546" s="522" t="s">
        <v>2237</v>
      </c>
      <c r="C546" s="523">
        <f t="shared" ref="C546:N546" si="600">SUM(C547:C555)</f>
        <v>4125.9000000000005</v>
      </c>
      <c r="D546" s="523">
        <f t="shared" si="600"/>
        <v>0</v>
      </c>
      <c r="E546" s="523">
        <f t="shared" si="600"/>
        <v>0</v>
      </c>
      <c r="F546" s="523">
        <f t="shared" si="600"/>
        <v>0</v>
      </c>
      <c r="G546" s="523">
        <f t="shared" si="600"/>
        <v>4125.9000000000005</v>
      </c>
      <c r="H546" s="523">
        <f t="shared" si="600"/>
        <v>827</v>
      </c>
      <c r="I546" s="523">
        <f t="shared" si="600"/>
        <v>0</v>
      </c>
      <c r="J546" s="523">
        <f t="shared" si="600"/>
        <v>0</v>
      </c>
      <c r="K546" s="523">
        <f t="shared" si="600"/>
        <v>0</v>
      </c>
      <c r="L546" s="523">
        <f t="shared" si="600"/>
        <v>827</v>
      </c>
      <c r="M546" s="523">
        <f t="shared" si="600"/>
        <v>0</v>
      </c>
      <c r="N546" s="523">
        <f t="shared" si="600"/>
        <v>827</v>
      </c>
      <c r="O546" s="523">
        <f t="shared" si="545"/>
        <v>4926.2000000000016</v>
      </c>
      <c r="P546" s="543">
        <f t="shared" si="575"/>
        <v>0</v>
      </c>
      <c r="Q546" s="543">
        <f t="shared" si="576"/>
        <v>4926.2000000000016</v>
      </c>
      <c r="R546" s="523">
        <f t="shared" si="546"/>
        <v>0</v>
      </c>
      <c r="S546" s="523"/>
      <c r="T546" s="523"/>
      <c r="U546" s="523">
        <f t="shared" si="547"/>
        <v>4926.2000000000016</v>
      </c>
      <c r="V546" s="523">
        <f t="shared" ref="V546:AO546" si="601">SUM(V547:V555)</f>
        <v>0</v>
      </c>
      <c r="W546" s="523">
        <f t="shared" si="601"/>
        <v>4926.2000000000016</v>
      </c>
      <c r="X546" s="523">
        <f t="shared" si="601"/>
        <v>26.3</v>
      </c>
      <c r="Y546" s="523">
        <f t="shared" si="601"/>
        <v>0</v>
      </c>
      <c r="Z546" s="523">
        <f t="shared" si="601"/>
        <v>0</v>
      </c>
      <c r="AA546" s="523">
        <f t="shared" si="601"/>
        <v>0</v>
      </c>
      <c r="AB546" s="523">
        <f t="shared" si="601"/>
        <v>26.3</v>
      </c>
      <c r="AC546" s="523">
        <f t="shared" si="601"/>
        <v>0</v>
      </c>
      <c r="AD546" s="523">
        <f t="shared" si="601"/>
        <v>26.3</v>
      </c>
      <c r="AE546" s="523">
        <f t="shared" si="601"/>
        <v>0</v>
      </c>
      <c r="AF546" s="523">
        <f t="shared" si="601"/>
        <v>0</v>
      </c>
      <c r="AG546" s="523">
        <f t="shared" si="601"/>
        <v>0</v>
      </c>
      <c r="AH546" s="523">
        <f t="shared" si="601"/>
        <v>0</v>
      </c>
      <c r="AI546" s="523">
        <f t="shared" si="601"/>
        <v>0</v>
      </c>
      <c r="AJ546" s="523">
        <f t="shared" si="601"/>
        <v>0</v>
      </c>
      <c r="AK546" s="523">
        <f t="shared" si="601"/>
        <v>0.40000000000015845</v>
      </c>
      <c r="AL546" s="523">
        <f t="shared" si="601"/>
        <v>0</v>
      </c>
      <c r="AM546" s="523">
        <f t="shared" si="601"/>
        <v>0</v>
      </c>
      <c r="AN546" s="523">
        <f t="shared" si="601"/>
        <v>0</v>
      </c>
      <c r="AO546" s="523">
        <f t="shared" si="601"/>
        <v>0.40000000000015845</v>
      </c>
      <c r="AP546" s="523"/>
      <c r="AQ546" s="524"/>
      <c r="AR546" s="524"/>
    </row>
    <row r="547" spans="1:44" s="83" customFormat="1" hidden="1" outlineLevel="1">
      <c r="A547" s="549"/>
      <c r="B547" s="522" t="s">
        <v>188</v>
      </c>
      <c r="C547" s="528">
        <f>SUM(D547:G547)</f>
        <v>1487.4</v>
      </c>
      <c r="D547" s="523">
        <v>0</v>
      </c>
      <c r="E547" s="523">
        <v>0</v>
      </c>
      <c r="F547" s="523">
        <v>0</v>
      </c>
      <c r="G547" s="523">
        <f>26.4+1461</f>
        <v>1487.4</v>
      </c>
      <c r="H547" s="523">
        <f>I547+L547</f>
        <v>0</v>
      </c>
      <c r="I547" s="523">
        <f>J547+K547</f>
        <v>0</v>
      </c>
      <c r="J547" s="523"/>
      <c r="K547" s="523"/>
      <c r="L547" s="523">
        <f>M547+N547</f>
        <v>0</v>
      </c>
      <c r="M547" s="523"/>
      <c r="N547" s="523"/>
      <c r="O547" s="523">
        <f t="shared" si="545"/>
        <v>1461.1</v>
      </c>
      <c r="P547" s="543">
        <f t="shared" si="575"/>
        <v>0</v>
      </c>
      <c r="Q547" s="543">
        <f t="shared" si="576"/>
        <v>1461.1</v>
      </c>
      <c r="R547" s="523">
        <f t="shared" si="546"/>
        <v>0</v>
      </c>
      <c r="S547" s="523"/>
      <c r="T547" s="523"/>
      <c r="U547" s="523">
        <f t="shared" si="547"/>
        <v>1461.1</v>
      </c>
      <c r="V547" s="523"/>
      <c r="W547" s="523">
        <v>1461.1</v>
      </c>
      <c r="X547" s="523">
        <f t="shared" ref="X547:X555" si="602">Y547+AB547+AE547+AH547</f>
        <v>26.3</v>
      </c>
      <c r="Y547" s="523">
        <f t="shared" ref="Y547:Y555" si="603">Z547+AA547</f>
        <v>0</v>
      </c>
      <c r="Z547" s="523"/>
      <c r="AA547" s="523"/>
      <c r="AB547" s="523">
        <f t="shared" ref="AB547:AB555" si="604">AC547+AD547</f>
        <v>26.3</v>
      </c>
      <c r="AC547" s="523"/>
      <c r="AD547" s="523">
        <f>12+14.3</f>
        <v>26.3</v>
      </c>
      <c r="AE547" s="523">
        <f t="shared" ref="AE547:AE555" si="605">AF547+AG547</f>
        <v>0</v>
      </c>
      <c r="AF547" s="523"/>
      <c r="AG547" s="523"/>
      <c r="AH547" s="523">
        <f t="shared" ref="AH547:AH555" si="606">AI547+AJ547</f>
        <v>0</v>
      </c>
      <c r="AI547" s="523"/>
      <c r="AJ547" s="523"/>
      <c r="AK547" s="523">
        <f>SUM(AL547:AO547)</f>
        <v>1.8118839761882555E-13</v>
      </c>
      <c r="AL547" s="523">
        <f>D547+J547-S547-Z547-AF547</f>
        <v>0</v>
      </c>
      <c r="AM547" s="523">
        <f>E547+K547-T547-AA547-AG547</f>
        <v>0</v>
      </c>
      <c r="AN547" s="523">
        <f>F547+M547-V547-AC547-AI547</f>
        <v>0</v>
      </c>
      <c r="AO547" s="523">
        <f>G547+N547-W547-AD547-AJ547</f>
        <v>1.8118839761882555E-13</v>
      </c>
      <c r="AP547" s="523"/>
      <c r="AQ547" s="524"/>
      <c r="AR547" s="524"/>
    </row>
    <row r="548" spans="1:44" s="83" customFormat="1" hidden="1" outlineLevel="1">
      <c r="A548" s="549"/>
      <c r="B548" s="522" t="s">
        <v>200</v>
      </c>
      <c r="C548" s="528">
        <f t="shared" ref="C548:C555" si="607">SUM(D548:G548)</f>
        <v>416.9</v>
      </c>
      <c r="D548" s="523">
        <v>0</v>
      </c>
      <c r="E548" s="523">
        <v>0</v>
      </c>
      <c r="F548" s="523">
        <v>0</v>
      </c>
      <c r="G548" s="523">
        <v>416.9</v>
      </c>
      <c r="H548" s="523">
        <f t="shared" ref="H548:H555" si="608">I548+L548</f>
        <v>0</v>
      </c>
      <c r="I548" s="523">
        <f t="shared" ref="I548:I555" si="609">J548+K548</f>
        <v>0</v>
      </c>
      <c r="J548" s="523"/>
      <c r="K548" s="523"/>
      <c r="L548" s="523">
        <f t="shared" ref="L548:L555" si="610">M548+N548</f>
        <v>0</v>
      </c>
      <c r="M548" s="523"/>
      <c r="N548" s="523"/>
      <c r="O548" s="523">
        <f t="shared" si="545"/>
        <v>416.9</v>
      </c>
      <c r="P548" s="543">
        <f t="shared" si="575"/>
        <v>0</v>
      </c>
      <c r="Q548" s="543">
        <f t="shared" si="576"/>
        <v>416.9</v>
      </c>
      <c r="R548" s="523">
        <f t="shared" si="546"/>
        <v>0</v>
      </c>
      <c r="S548" s="523"/>
      <c r="T548" s="523"/>
      <c r="U548" s="523">
        <f t="shared" si="547"/>
        <v>416.9</v>
      </c>
      <c r="V548" s="523"/>
      <c r="W548" s="523">
        <v>416.9</v>
      </c>
      <c r="X548" s="523">
        <f t="shared" si="602"/>
        <v>0</v>
      </c>
      <c r="Y548" s="523">
        <f t="shared" si="603"/>
        <v>0</v>
      </c>
      <c r="Z548" s="523"/>
      <c r="AA548" s="523"/>
      <c r="AB548" s="523">
        <f t="shared" si="604"/>
        <v>0</v>
      </c>
      <c r="AC548" s="523"/>
      <c r="AD548" s="523"/>
      <c r="AE548" s="523">
        <f t="shared" si="605"/>
        <v>0</v>
      </c>
      <c r="AF548" s="523"/>
      <c r="AG548" s="523"/>
      <c r="AH548" s="523">
        <f t="shared" si="606"/>
        <v>0</v>
      </c>
      <c r="AI548" s="523"/>
      <c r="AJ548" s="523"/>
      <c r="AK548" s="523">
        <f t="shared" ref="AK548:AK556" si="611">SUM(AL548:AO548)</f>
        <v>0</v>
      </c>
      <c r="AL548" s="523">
        <f t="shared" ref="AL548:AM556" si="612">D548+J548-S548-Z548-AF548</f>
        <v>0</v>
      </c>
      <c r="AM548" s="523">
        <f t="shared" si="612"/>
        <v>0</v>
      </c>
      <c r="AN548" s="523">
        <f t="shared" ref="AN548:AO556" si="613">F548+M548-V548-AC548-AI548</f>
        <v>0</v>
      </c>
      <c r="AO548" s="523">
        <f t="shared" si="613"/>
        <v>0</v>
      </c>
      <c r="AP548" s="523"/>
      <c r="AQ548" s="524"/>
      <c r="AR548" s="524"/>
    </row>
    <row r="549" spans="1:44" s="83" customFormat="1" hidden="1" outlineLevel="1">
      <c r="A549" s="549"/>
      <c r="B549" s="522" t="s">
        <v>197</v>
      </c>
      <c r="C549" s="528">
        <f t="shared" si="607"/>
        <v>958</v>
      </c>
      <c r="D549" s="523">
        <v>0</v>
      </c>
      <c r="E549" s="523">
        <v>0</v>
      </c>
      <c r="F549" s="523">
        <v>0</v>
      </c>
      <c r="G549" s="523">
        <v>958</v>
      </c>
      <c r="H549" s="523">
        <f t="shared" si="608"/>
        <v>0</v>
      </c>
      <c r="I549" s="523">
        <f t="shared" si="609"/>
        <v>0</v>
      </c>
      <c r="J549" s="523"/>
      <c r="K549" s="523"/>
      <c r="L549" s="523">
        <f t="shared" si="610"/>
        <v>0</v>
      </c>
      <c r="M549" s="523"/>
      <c r="N549" s="523"/>
      <c r="O549" s="523">
        <f t="shared" si="545"/>
        <v>958</v>
      </c>
      <c r="P549" s="543">
        <f t="shared" si="575"/>
        <v>0</v>
      </c>
      <c r="Q549" s="543">
        <f t="shared" si="576"/>
        <v>958</v>
      </c>
      <c r="R549" s="523">
        <f t="shared" si="546"/>
        <v>0</v>
      </c>
      <c r="S549" s="523"/>
      <c r="T549" s="523"/>
      <c r="U549" s="523">
        <f t="shared" si="547"/>
        <v>958</v>
      </c>
      <c r="V549" s="523"/>
      <c r="W549" s="523">
        <v>958</v>
      </c>
      <c r="X549" s="523">
        <f t="shared" si="602"/>
        <v>0</v>
      </c>
      <c r="Y549" s="523">
        <f t="shared" si="603"/>
        <v>0</v>
      </c>
      <c r="Z549" s="523"/>
      <c r="AA549" s="523"/>
      <c r="AB549" s="523">
        <f t="shared" si="604"/>
        <v>0</v>
      </c>
      <c r="AC549" s="523"/>
      <c r="AD549" s="523"/>
      <c r="AE549" s="523">
        <f t="shared" si="605"/>
        <v>0</v>
      </c>
      <c r="AF549" s="523"/>
      <c r="AG549" s="523"/>
      <c r="AH549" s="523">
        <f t="shared" si="606"/>
        <v>0</v>
      </c>
      <c r="AI549" s="523"/>
      <c r="AJ549" s="523"/>
      <c r="AK549" s="523">
        <f t="shared" si="611"/>
        <v>0</v>
      </c>
      <c r="AL549" s="523">
        <f t="shared" si="612"/>
        <v>0</v>
      </c>
      <c r="AM549" s="523">
        <f t="shared" si="612"/>
        <v>0</v>
      </c>
      <c r="AN549" s="523">
        <f t="shared" si="613"/>
        <v>0</v>
      </c>
      <c r="AO549" s="523">
        <f t="shared" si="613"/>
        <v>0</v>
      </c>
      <c r="AP549" s="523"/>
      <c r="AQ549" s="524"/>
      <c r="AR549" s="524"/>
    </row>
    <row r="550" spans="1:44" s="83" customFormat="1" hidden="1" outlineLevel="1">
      <c r="A550" s="549"/>
      <c r="B550" s="522" t="s">
        <v>531</v>
      </c>
      <c r="C550" s="528">
        <f t="shared" si="607"/>
        <v>215.59999999999991</v>
      </c>
      <c r="D550" s="523"/>
      <c r="E550" s="523"/>
      <c r="F550" s="523"/>
      <c r="G550" s="523">
        <f>1042.6-827</f>
        <v>215.59999999999991</v>
      </c>
      <c r="H550" s="523">
        <f t="shared" si="608"/>
        <v>827</v>
      </c>
      <c r="I550" s="523">
        <f t="shared" si="609"/>
        <v>0</v>
      </c>
      <c r="J550" s="523"/>
      <c r="K550" s="523"/>
      <c r="L550" s="523">
        <f t="shared" si="610"/>
        <v>827</v>
      </c>
      <c r="M550" s="523"/>
      <c r="N550" s="523">
        <v>827</v>
      </c>
      <c r="O550" s="523">
        <f t="shared" si="545"/>
        <v>1042.5999999999999</v>
      </c>
      <c r="P550" s="543">
        <f t="shared" si="575"/>
        <v>0</v>
      </c>
      <c r="Q550" s="543">
        <f t="shared" si="576"/>
        <v>1042.5999999999999</v>
      </c>
      <c r="R550" s="523">
        <f t="shared" si="546"/>
        <v>0</v>
      </c>
      <c r="S550" s="523"/>
      <c r="T550" s="523"/>
      <c r="U550" s="523">
        <f t="shared" si="547"/>
        <v>1042.5999999999999</v>
      </c>
      <c r="V550" s="523"/>
      <c r="W550" s="523">
        <f>G550+N550</f>
        <v>1042.5999999999999</v>
      </c>
      <c r="X550" s="523"/>
      <c r="Y550" s="523"/>
      <c r="Z550" s="523"/>
      <c r="AA550" s="523"/>
      <c r="AB550" s="523"/>
      <c r="AC550" s="523"/>
      <c r="AD550" s="523"/>
      <c r="AE550" s="523"/>
      <c r="AF550" s="523"/>
      <c r="AG550" s="523"/>
      <c r="AH550" s="523"/>
      <c r="AI550" s="523"/>
      <c r="AJ550" s="523"/>
      <c r="AK550" s="523">
        <f t="shared" si="611"/>
        <v>0</v>
      </c>
      <c r="AL550" s="523">
        <f t="shared" si="612"/>
        <v>0</v>
      </c>
      <c r="AM550" s="523">
        <f t="shared" si="612"/>
        <v>0</v>
      </c>
      <c r="AN550" s="523">
        <f t="shared" si="613"/>
        <v>0</v>
      </c>
      <c r="AO550" s="523">
        <f t="shared" si="613"/>
        <v>0</v>
      </c>
      <c r="AP550" s="523"/>
      <c r="AQ550" s="524"/>
      <c r="AR550" s="524"/>
    </row>
    <row r="551" spans="1:44" s="83" customFormat="1" hidden="1" outlineLevel="1">
      <c r="A551" s="549"/>
      <c r="B551" s="522" t="s">
        <v>194</v>
      </c>
      <c r="C551" s="528">
        <f t="shared" si="607"/>
        <v>416.4</v>
      </c>
      <c r="D551" s="523">
        <v>0</v>
      </c>
      <c r="E551" s="523">
        <v>0</v>
      </c>
      <c r="F551" s="523">
        <v>0</v>
      </c>
      <c r="G551" s="523">
        <v>416.4</v>
      </c>
      <c r="H551" s="523">
        <f t="shared" si="608"/>
        <v>0</v>
      </c>
      <c r="I551" s="523">
        <f t="shared" si="609"/>
        <v>0</v>
      </c>
      <c r="J551" s="523"/>
      <c r="K551" s="523"/>
      <c r="L551" s="523">
        <f t="shared" si="610"/>
        <v>0</v>
      </c>
      <c r="M551" s="523"/>
      <c r="N551" s="523"/>
      <c r="O551" s="523">
        <f t="shared" si="545"/>
        <v>416</v>
      </c>
      <c r="P551" s="543">
        <f t="shared" si="575"/>
        <v>0</v>
      </c>
      <c r="Q551" s="543">
        <f t="shared" si="576"/>
        <v>416</v>
      </c>
      <c r="R551" s="523">
        <f t="shared" si="546"/>
        <v>0</v>
      </c>
      <c r="S551" s="523"/>
      <c r="T551" s="523"/>
      <c r="U551" s="523">
        <f t="shared" si="547"/>
        <v>416</v>
      </c>
      <c r="V551" s="523"/>
      <c r="W551" s="523">
        <v>416</v>
      </c>
      <c r="X551" s="523">
        <f t="shared" si="602"/>
        <v>0</v>
      </c>
      <c r="Y551" s="523">
        <f t="shared" si="603"/>
        <v>0</v>
      </c>
      <c r="Z551" s="523"/>
      <c r="AA551" s="523"/>
      <c r="AB551" s="523">
        <f t="shared" si="604"/>
        <v>0</v>
      </c>
      <c r="AC551" s="523"/>
      <c r="AD551" s="523"/>
      <c r="AE551" s="523">
        <f t="shared" si="605"/>
        <v>0</v>
      </c>
      <c r="AF551" s="523"/>
      <c r="AG551" s="523"/>
      <c r="AH551" s="523">
        <f t="shared" si="606"/>
        <v>0</v>
      </c>
      <c r="AI551" s="523"/>
      <c r="AJ551" s="523"/>
      <c r="AK551" s="523">
        <f t="shared" si="611"/>
        <v>0.39999999999997726</v>
      </c>
      <c r="AL551" s="523">
        <f t="shared" si="612"/>
        <v>0</v>
      </c>
      <c r="AM551" s="523">
        <f t="shared" si="612"/>
        <v>0</v>
      </c>
      <c r="AN551" s="523">
        <f t="shared" si="613"/>
        <v>0</v>
      </c>
      <c r="AO551" s="523">
        <f t="shared" si="613"/>
        <v>0.39999999999997726</v>
      </c>
      <c r="AP551" s="523"/>
      <c r="AQ551" s="524"/>
      <c r="AR551" s="524"/>
    </row>
    <row r="552" spans="1:44" s="83" customFormat="1" hidden="1" outlineLevel="1">
      <c r="A552" s="549"/>
      <c r="B552" s="522" t="s">
        <v>388</v>
      </c>
      <c r="C552" s="528">
        <f t="shared" si="607"/>
        <v>204.6</v>
      </c>
      <c r="D552" s="523">
        <v>0</v>
      </c>
      <c r="E552" s="523">
        <v>0</v>
      </c>
      <c r="F552" s="523">
        <v>0</v>
      </c>
      <c r="G552" s="523">
        <v>204.6</v>
      </c>
      <c r="H552" s="523">
        <f t="shared" si="608"/>
        <v>0</v>
      </c>
      <c r="I552" s="523">
        <f t="shared" si="609"/>
        <v>0</v>
      </c>
      <c r="J552" s="523"/>
      <c r="K552" s="523"/>
      <c r="L552" s="523">
        <f t="shared" si="610"/>
        <v>0</v>
      </c>
      <c r="M552" s="523"/>
      <c r="N552" s="523"/>
      <c r="O552" s="523">
        <f t="shared" si="545"/>
        <v>204.6</v>
      </c>
      <c r="P552" s="543">
        <f t="shared" si="575"/>
        <v>0</v>
      </c>
      <c r="Q552" s="543">
        <f t="shared" si="576"/>
        <v>204.6</v>
      </c>
      <c r="R552" s="523">
        <f t="shared" si="546"/>
        <v>0</v>
      </c>
      <c r="S552" s="523"/>
      <c r="T552" s="523"/>
      <c r="U552" s="523">
        <f t="shared" si="547"/>
        <v>204.6</v>
      </c>
      <c r="V552" s="523"/>
      <c r="W552" s="523">
        <v>204.6</v>
      </c>
      <c r="X552" s="523">
        <f t="shared" si="602"/>
        <v>0</v>
      </c>
      <c r="Y552" s="523">
        <f t="shared" si="603"/>
        <v>0</v>
      </c>
      <c r="Z552" s="523"/>
      <c r="AA552" s="523"/>
      <c r="AB552" s="523">
        <f t="shared" si="604"/>
        <v>0</v>
      </c>
      <c r="AC552" s="523"/>
      <c r="AD552" s="523"/>
      <c r="AE552" s="523">
        <f t="shared" si="605"/>
        <v>0</v>
      </c>
      <c r="AF552" s="523"/>
      <c r="AG552" s="523"/>
      <c r="AH552" s="523">
        <f t="shared" si="606"/>
        <v>0</v>
      </c>
      <c r="AI552" s="523"/>
      <c r="AJ552" s="523"/>
      <c r="AK552" s="523">
        <f t="shared" si="611"/>
        <v>0</v>
      </c>
      <c r="AL552" s="523">
        <f t="shared" si="612"/>
        <v>0</v>
      </c>
      <c r="AM552" s="523">
        <f t="shared" si="612"/>
        <v>0</v>
      </c>
      <c r="AN552" s="523">
        <f t="shared" si="613"/>
        <v>0</v>
      </c>
      <c r="AO552" s="523">
        <f t="shared" si="613"/>
        <v>0</v>
      </c>
      <c r="AP552" s="523"/>
      <c r="AQ552" s="524"/>
      <c r="AR552" s="524"/>
    </row>
    <row r="553" spans="1:44" s="83" customFormat="1" hidden="1" outlineLevel="1">
      <c r="A553" s="549"/>
      <c r="B553" s="522" t="s">
        <v>199</v>
      </c>
      <c r="C553" s="528">
        <f t="shared" si="607"/>
        <v>77.8</v>
      </c>
      <c r="D553" s="523">
        <v>0</v>
      </c>
      <c r="E553" s="523">
        <v>0</v>
      </c>
      <c r="F553" s="523">
        <v>0</v>
      </c>
      <c r="G553" s="523">
        <v>77.8</v>
      </c>
      <c r="H553" s="523">
        <f t="shared" si="608"/>
        <v>0</v>
      </c>
      <c r="I553" s="523">
        <f t="shared" si="609"/>
        <v>0</v>
      </c>
      <c r="J553" s="523"/>
      <c r="K553" s="523"/>
      <c r="L553" s="523">
        <f t="shared" si="610"/>
        <v>0</v>
      </c>
      <c r="M553" s="523"/>
      <c r="N553" s="523"/>
      <c r="O553" s="523">
        <f t="shared" si="545"/>
        <v>77.8</v>
      </c>
      <c r="P553" s="543">
        <f t="shared" si="575"/>
        <v>0</v>
      </c>
      <c r="Q553" s="543">
        <f t="shared" si="576"/>
        <v>77.8</v>
      </c>
      <c r="R553" s="523">
        <f t="shared" si="546"/>
        <v>0</v>
      </c>
      <c r="S553" s="523"/>
      <c r="T553" s="523"/>
      <c r="U553" s="523">
        <f t="shared" si="547"/>
        <v>77.8</v>
      </c>
      <c r="V553" s="523"/>
      <c r="W553" s="523">
        <v>77.8</v>
      </c>
      <c r="X553" s="523">
        <f t="shared" si="602"/>
        <v>0</v>
      </c>
      <c r="Y553" s="523">
        <f t="shared" si="603"/>
        <v>0</v>
      </c>
      <c r="Z553" s="523"/>
      <c r="AA553" s="523"/>
      <c r="AB553" s="523">
        <f t="shared" si="604"/>
        <v>0</v>
      </c>
      <c r="AC553" s="523"/>
      <c r="AD553" s="523"/>
      <c r="AE553" s="523">
        <f t="shared" si="605"/>
        <v>0</v>
      </c>
      <c r="AF553" s="523"/>
      <c r="AG553" s="523"/>
      <c r="AH553" s="523">
        <f t="shared" si="606"/>
        <v>0</v>
      </c>
      <c r="AI553" s="523"/>
      <c r="AJ553" s="523"/>
      <c r="AK553" s="523">
        <f t="shared" si="611"/>
        <v>0</v>
      </c>
      <c r="AL553" s="523">
        <f t="shared" si="612"/>
        <v>0</v>
      </c>
      <c r="AM553" s="523">
        <f t="shared" si="612"/>
        <v>0</v>
      </c>
      <c r="AN553" s="523">
        <f t="shared" si="613"/>
        <v>0</v>
      </c>
      <c r="AO553" s="523">
        <f t="shared" si="613"/>
        <v>0</v>
      </c>
      <c r="AP553" s="523"/>
      <c r="AQ553" s="524"/>
      <c r="AR553" s="524"/>
    </row>
    <row r="554" spans="1:44" s="83" customFormat="1" hidden="1" outlineLevel="1">
      <c r="A554" s="549"/>
      <c r="B554" s="522" t="s">
        <v>196</v>
      </c>
      <c r="C554" s="528">
        <f t="shared" si="607"/>
        <v>312.60000000000002</v>
      </c>
      <c r="D554" s="523"/>
      <c r="E554" s="523"/>
      <c r="F554" s="523"/>
      <c r="G554" s="523">
        <v>312.60000000000002</v>
      </c>
      <c r="H554" s="523">
        <f t="shared" si="608"/>
        <v>0</v>
      </c>
      <c r="I554" s="523"/>
      <c r="J554" s="523"/>
      <c r="K554" s="523"/>
      <c r="L554" s="523">
        <f t="shared" si="610"/>
        <v>0</v>
      </c>
      <c r="M554" s="523"/>
      <c r="N554" s="523"/>
      <c r="O554" s="523">
        <f t="shared" si="545"/>
        <v>312.60000000000002</v>
      </c>
      <c r="P554" s="543">
        <f t="shared" si="575"/>
        <v>0</v>
      </c>
      <c r="Q554" s="543">
        <f t="shared" si="576"/>
        <v>312.60000000000002</v>
      </c>
      <c r="R554" s="523">
        <f t="shared" si="546"/>
        <v>0</v>
      </c>
      <c r="S554" s="523"/>
      <c r="T554" s="523"/>
      <c r="U554" s="523">
        <f t="shared" si="547"/>
        <v>312.60000000000002</v>
      </c>
      <c r="V554" s="523"/>
      <c r="W554" s="523">
        <v>312.60000000000002</v>
      </c>
      <c r="X554" s="523"/>
      <c r="Y554" s="523"/>
      <c r="Z554" s="523"/>
      <c r="AA554" s="523"/>
      <c r="AB554" s="523"/>
      <c r="AC554" s="523"/>
      <c r="AD554" s="523"/>
      <c r="AE554" s="523"/>
      <c r="AF554" s="523"/>
      <c r="AG554" s="523"/>
      <c r="AH554" s="523"/>
      <c r="AI554" s="523"/>
      <c r="AJ554" s="523"/>
      <c r="AK554" s="523">
        <f t="shared" si="611"/>
        <v>0</v>
      </c>
      <c r="AL554" s="523">
        <f t="shared" si="612"/>
        <v>0</v>
      </c>
      <c r="AM554" s="523">
        <f t="shared" si="612"/>
        <v>0</v>
      </c>
      <c r="AN554" s="523">
        <f t="shared" si="613"/>
        <v>0</v>
      </c>
      <c r="AO554" s="523">
        <f t="shared" si="613"/>
        <v>0</v>
      </c>
      <c r="AP554" s="523"/>
      <c r="AQ554" s="524"/>
      <c r="AR554" s="524"/>
    </row>
    <row r="555" spans="1:44" s="83" customFormat="1" hidden="1" outlineLevel="1">
      <c r="A555" s="549"/>
      <c r="B555" s="522" t="s">
        <v>192</v>
      </c>
      <c r="C555" s="528">
        <f t="shared" si="607"/>
        <v>36.6</v>
      </c>
      <c r="D555" s="523">
        <v>0</v>
      </c>
      <c r="E555" s="523">
        <v>0</v>
      </c>
      <c r="F555" s="523">
        <v>0</v>
      </c>
      <c r="G555" s="523">
        <v>36.6</v>
      </c>
      <c r="H555" s="523">
        <f t="shared" si="608"/>
        <v>0</v>
      </c>
      <c r="I555" s="523">
        <f t="shared" si="609"/>
        <v>0</v>
      </c>
      <c r="J555" s="523"/>
      <c r="K555" s="523"/>
      <c r="L555" s="523">
        <f t="shared" si="610"/>
        <v>0</v>
      </c>
      <c r="M555" s="523"/>
      <c r="N555" s="523"/>
      <c r="O555" s="523">
        <f t="shared" si="545"/>
        <v>36.6</v>
      </c>
      <c r="P555" s="543">
        <f t="shared" si="575"/>
        <v>0</v>
      </c>
      <c r="Q555" s="543">
        <f t="shared" si="576"/>
        <v>36.6</v>
      </c>
      <c r="R555" s="523">
        <f t="shared" si="546"/>
        <v>0</v>
      </c>
      <c r="S555" s="523"/>
      <c r="T555" s="523"/>
      <c r="U555" s="523">
        <f t="shared" si="547"/>
        <v>36.6</v>
      </c>
      <c r="V555" s="523"/>
      <c r="W555" s="523">
        <v>36.6</v>
      </c>
      <c r="X555" s="523">
        <f t="shared" si="602"/>
        <v>0</v>
      </c>
      <c r="Y555" s="523">
        <f t="shared" si="603"/>
        <v>0</v>
      </c>
      <c r="Z555" s="523"/>
      <c r="AA555" s="523"/>
      <c r="AB555" s="523">
        <f t="shared" si="604"/>
        <v>0</v>
      </c>
      <c r="AC555" s="523"/>
      <c r="AD555" s="523"/>
      <c r="AE555" s="523">
        <f t="shared" si="605"/>
        <v>0</v>
      </c>
      <c r="AF555" s="523"/>
      <c r="AG555" s="523"/>
      <c r="AH555" s="523">
        <f t="shared" si="606"/>
        <v>0</v>
      </c>
      <c r="AI555" s="523"/>
      <c r="AJ555" s="523"/>
      <c r="AK555" s="523">
        <f t="shared" si="611"/>
        <v>0</v>
      </c>
      <c r="AL555" s="523">
        <f t="shared" si="612"/>
        <v>0</v>
      </c>
      <c r="AM555" s="523">
        <f t="shared" si="612"/>
        <v>0</v>
      </c>
      <c r="AN555" s="523">
        <f t="shared" si="613"/>
        <v>0</v>
      </c>
      <c r="AO555" s="523">
        <f t="shared" si="613"/>
        <v>0</v>
      </c>
      <c r="AP555" s="523"/>
      <c r="AQ555" s="524"/>
      <c r="AR555" s="524"/>
    </row>
    <row r="556" spans="1:44" s="83" customFormat="1" hidden="1" outlineLevel="1">
      <c r="A556" s="526"/>
      <c r="B556" s="522" t="s">
        <v>484</v>
      </c>
      <c r="C556" s="528">
        <f>SUM(D556:G556)</f>
        <v>0</v>
      </c>
      <c r="D556" s="563">
        <v>0</v>
      </c>
      <c r="E556" s="563">
        <f>4100-4100</f>
        <v>0</v>
      </c>
      <c r="F556" s="563">
        <v>0</v>
      </c>
      <c r="G556" s="563">
        <v>0</v>
      </c>
      <c r="H556" s="523"/>
      <c r="I556" s="523"/>
      <c r="J556" s="523"/>
      <c r="K556" s="523"/>
      <c r="L556" s="523"/>
      <c r="M556" s="523"/>
      <c r="N556" s="523"/>
      <c r="O556" s="523">
        <f t="shared" si="545"/>
        <v>0</v>
      </c>
      <c r="P556" s="543">
        <f t="shared" si="575"/>
        <v>0</v>
      </c>
      <c r="Q556" s="543">
        <f t="shared" si="576"/>
        <v>0</v>
      </c>
      <c r="R556" s="523">
        <f t="shared" si="546"/>
        <v>0</v>
      </c>
      <c r="S556" s="523"/>
      <c r="T556" s="523"/>
      <c r="U556" s="523">
        <f t="shared" si="547"/>
        <v>0</v>
      </c>
      <c r="V556" s="523"/>
      <c r="W556" s="523"/>
      <c r="X556" s="523"/>
      <c r="Y556" s="523"/>
      <c r="Z556" s="523"/>
      <c r="AA556" s="523"/>
      <c r="AB556" s="523"/>
      <c r="AC556" s="523"/>
      <c r="AD556" s="523"/>
      <c r="AE556" s="523"/>
      <c r="AF556" s="523"/>
      <c r="AG556" s="523"/>
      <c r="AH556" s="523"/>
      <c r="AI556" s="523"/>
      <c r="AJ556" s="523"/>
      <c r="AK556" s="523">
        <f t="shared" si="611"/>
        <v>0</v>
      </c>
      <c r="AL556" s="523">
        <f t="shared" si="612"/>
        <v>0</v>
      </c>
      <c r="AM556" s="523">
        <f t="shared" si="612"/>
        <v>0</v>
      </c>
      <c r="AN556" s="523">
        <f t="shared" si="613"/>
        <v>0</v>
      </c>
      <c r="AO556" s="523">
        <f t="shared" si="613"/>
        <v>0</v>
      </c>
      <c r="AP556" s="523"/>
      <c r="AQ556" s="524"/>
      <c r="AR556" s="524"/>
    </row>
    <row r="557" spans="1:44" s="83" customFormat="1" ht="46.8" hidden="1" outlineLevel="1">
      <c r="A557" s="521">
        <v>11</v>
      </c>
      <c r="B557" s="522" t="s">
        <v>2238</v>
      </c>
      <c r="C557" s="528"/>
      <c r="D557" s="523"/>
      <c r="E557" s="523"/>
      <c r="F557" s="523"/>
      <c r="G557" s="523"/>
      <c r="H557" s="523">
        <f>SUM(H558:H561)</f>
        <v>162.25299999999999</v>
      </c>
      <c r="I557" s="523">
        <f t="shared" ref="I557:AO557" si="614">SUM(I558:I561)</f>
        <v>162.25299999999999</v>
      </c>
      <c r="J557" s="523">
        <f t="shared" si="614"/>
        <v>0</v>
      </c>
      <c r="K557" s="523">
        <f t="shared" si="614"/>
        <v>162.25299999999999</v>
      </c>
      <c r="L557" s="523">
        <f t="shared" si="614"/>
        <v>0</v>
      </c>
      <c r="M557" s="523">
        <f t="shared" si="614"/>
        <v>0</v>
      </c>
      <c r="N557" s="523">
        <f t="shared" si="614"/>
        <v>0</v>
      </c>
      <c r="O557" s="523">
        <f t="shared" si="614"/>
        <v>162.25299999999999</v>
      </c>
      <c r="P557" s="543">
        <f t="shared" si="575"/>
        <v>0</v>
      </c>
      <c r="Q557" s="543">
        <f t="shared" si="576"/>
        <v>162.25299999999999</v>
      </c>
      <c r="R557" s="523">
        <f t="shared" si="614"/>
        <v>162.25299999999999</v>
      </c>
      <c r="S557" s="523">
        <f t="shared" si="614"/>
        <v>0</v>
      </c>
      <c r="T557" s="523">
        <f t="shared" si="614"/>
        <v>162.25299999999999</v>
      </c>
      <c r="U557" s="523">
        <f t="shared" si="614"/>
        <v>0</v>
      </c>
      <c r="V557" s="523">
        <f t="shared" si="614"/>
        <v>0</v>
      </c>
      <c r="W557" s="523">
        <f t="shared" si="614"/>
        <v>0</v>
      </c>
      <c r="X557" s="523">
        <f t="shared" si="614"/>
        <v>0</v>
      </c>
      <c r="Y557" s="523">
        <f t="shared" si="614"/>
        <v>0</v>
      </c>
      <c r="Z557" s="523">
        <f t="shared" si="614"/>
        <v>0</v>
      </c>
      <c r="AA557" s="523">
        <f t="shared" si="614"/>
        <v>0</v>
      </c>
      <c r="AB557" s="523">
        <f t="shared" si="614"/>
        <v>0</v>
      </c>
      <c r="AC557" s="523">
        <f t="shared" si="614"/>
        <v>0</v>
      </c>
      <c r="AD557" s="523">
        <f t="shared" si="614"/>
        <v>0</v>
      </c>
      <c r="AE557" s="523">
        <f t="shared" si="614"/>
        <v>0</v>
      </c>
      <c r="AF557" s="523">
        <f t="shared" si="614"/>
        <v>0</v>
      </c>
      <c r="AG557" s="523">
        <f t="shared" si="614"/>
        <v>0</v>
      </c>
      <c r="AH557" s="523">
        <f t="shared" si="614"/>
        <v>0</v>
      </c>
      <c r="AI557" s="523">
        <f t="shared" si="614"/>
        <v>0</v>
      </c>
      <c r="AJ557" s="523">
        <f t="shared" si="614"/>
        <v>0</v>
      </c>
      <c r="AK557" s="523">
        <f t="shared" si="614"/>
        <v>0</v>
      </c>
      <c r="AL557" s="523">
        <f t="shared" si="614"/>
        <v>0</v>
      </c>
      <c r="AM557" s="523">
        <f t="shared" si="614"/>
        <v>0</v>
      </c>
      <c r="AN557" s="523">
        <f t="shared" si="614"/>
        <v>0</v>
      </c>
      <c r="AO557" s="523">
        <f t="shared" si="614"/>
        <v>0</v>
      </c>
      <c r="AP557" s="523"/>
      <c r="AQ557" s="524"/>
      <c r="AR557" s="524"/>
    </row>
    <row r="558" spans="1:44" s="83" customFormat="1" hidden="1" outlineLevel="1">
      <c r="A558" s="521"/>
      <c r="B558" s="522" t="s">
        <v>2191</v>
      </c>
      <c r="C558" s="528"/>
      <c r="D558" s="523"/>
      <c r="E558" s="523"/>
      <c r="F558" s="523"/>
      <c r="G558" s="523"/>
      <c r="H558" s="523">
        <f t="shared" ref="H558:H560" si="615">I558+L558</f>
        <v>55.554000000000002</v>
      </c>
      <c r="I558" s="523">
        <f t="shared" ref="I558:I560" si="616">J558+K558</f>
        <v>55.554000000000002</v>
      </c>
      <c r="J558" s="523"/>
      <c r="K558" s="523">
        <f>59.154-3.6</f>
        <v>55.554000000000002</v>
      </c>
      <c r="L558" s="523"/>
      <c r="M558" s="523"/>
      <c r="N558" s="523"/>
      <c r="O558" s="523">
        <f t="shared" si="545"/>
        <v>55.554000000000002</v>
      </c>
      <c r="P558" s="543">
        <f t="shared" si="575"/>
        <v>0</v>
      </c>
      <c r="Q558" s="543">
        <f t="shared" si="576"/>
        <v>55.554000000000002</v>
      </c>
      <c r="R558" s="523">
        <f t="shared" si="546"/>
        <v>55.554000000000002</v>
      </c>
      <c r="S558" s="523"/>
      <c r="T558" s="523">
        <v>55.554000000000002</v>
      </c>
      <c r="U558" s="523">
        <f t="shared" si="547"/>
        <v>0</v>
      </c>
      <c r="V558" s="523"/>
      <c r="W558" s="523"/>
      <c r="X558" s="523"/>
      <c r="Y558" s="523"/>
      <c r="Z558" s="523"/>
      <c r="AA558" s="523"/>
      <c r="AB558" s="523"/>
      <c r="AC558" s="523"/>
      <c r="AD558" s="523"/>
      <c r="AE558" s="523"/>
      <c r="AF558" s="523"/>
      <c r="AG558" s="523"/>
      <c r="AH558" s="523"/>
      <c r="AI558" s="523"/>
      <c r="AJ558" s="523"/>
      <c r="AK558" s="523">
        <f t="shared" ref="AK558:AK561" si="617">SUM(AL558:AO558)</f>
        <v>0</v>
      </c>
      <c r="AL558" s="523">
        <f t="shared" ref="AL558:AM561" si="618">D558+J558-S558-Z558-AF558</f>
        <v>0</v>
      </c>
      <c r="AM558" s="523">
        <f t="shared" si="618"/>
        <v>0</v>
      </c>
      <c r="AN558" s="523">
        <f t="shared" ref="AN558:AO561" si="619">F558+M558-V558-AC558-AI558</f>
        <v>0</v>
      </c>
      <c r="AO558" s="523">
        <f t="shared" si="619"/>
        <v>0</v>
      </c>
      <c r="AP558" s="523"/>
      <c r="AQ558" s="524"/>
      <c r="AR558" s="524"/>
    </row>
    <row r="559" spans="1:44" s="83" customFormat="1" hidden="1" outlineLevel="1">
      <c r="A559" s="521"/>
      <c r="B559" s="522" t="s">
        <v>2193</v>
      </c>
      <c r="C559" s="528"/>
      <c r="D559" s="523"/>
      <c r="E559" s="523"/>
      <c r="F559" s="523"/>
      <c r="G559" s="523"/>
      <c r="H559" s="523">
        <f t="shared" si="615"/>
        <v>13.722</v>
      </c>
      <c r="I559" s="523">
        <f t="shared" si="616"/>
        <v>13.722</v>
      </c>
      <c r="J559" s="523"/>
      <c r="K559" s="523">
        <v>13.722</v>
      </c>
      <c r="L559" s="523"/>
      <c r="M559" s="523"/>
      <c r="N559" s="523"/>
      <c r="O559" s="523">
        <f t="shared" si="545"/>
        <v>13.722</v>
      </c>
      <c r="P559" s="543">
        <f t="shared" si="575"/>
        <v>0</v>
      </c>
      <c r="Q559" s="543">
        <f t="shared" si="576"/>
        <v>13.722</v>
      </c>
      <c r="R559" s="523">
        <f t="shared" si="546"/>
        <v>13.722</v>
      </c>
      <c r="S559" s="523"/>
      <c r="T559" s="523">
        <v>13.722</v>
      </c>
      <c r="U559" s="523">
        <f t="shared" si="547"/>
        <v>0</v>
      </c>
      <c r="V559" s="523"/>
      <c r="W559" s="523"/>
      <c r="X559" s="523"/>
      <c r="Y559" s="523"/>
      <c r="Z559" s="523"/>
      <c r="AA559" s="523"/>
      <c r="AB559" s="523"/>
      <c r="AC559" s="523"/>
      <c r="AD559" s="523"/>
      <c r="AE559" s="523"/>
      <c r="AF559" s="523"/>
      <c r="AG559" s="523"/>
      <c r="AH559" s="523"/>
      <c r="AI559" s="523"/>
      <c r="AJ559" s="523"/>
      <c r="AK559" s="523">
        <f t="shared" si="617"/>
        <v>0</v>
      </c>
      <c r="AL559" s="523">
        <f t="shared" si="618"/>
        <v>0</v>
      </c>
      <c r="AM559" s="523">
        <f t="shared" si="618"/>
        <v>0</v>
      </c>
      <c r="AN559" s="523">
        <f t="shared" si="619"/>
        <v>0</v>
      </c>
      <c r="AO559" s="523">
        <f t="shared" si="619"/>
        <v>0</v>
      </c>
      <c r="AP559" s="523"/>
      <c r="AQ559" s="524"/>
      <c r="AR559" s="524"/>
    </row>
    <row r="560" spans="1:44" s="83" customFormat="1" hidden="1" outlineLevel="1">
      <c r="A560" s="521"/>
      <c r="B560" s="522" t="s">
        <v>2194</v>
      </c>
      <c r="C560" s="528"/>
      <c r="D560" s="523"/>
      <c r="E560" s="523"/>
      <c r="F560" s="523"/>
      <c r="G560" s="523"/>
      <c r="H560" s="523">
        <f t="shared" si="615"/>
        <v>8.1069999999999993</v>
      </c>
      <c r="I560" s="523">
        <f t="shared" si="616"/>
        <v>8.1069999999999993</v>
      </c>
      <c r="J560" s="523"/>
      <c r="K560" s="523">
        <v>8.1069999999999993</v>
      </c>
      <c r="L560" s="523"/>
      <c r="M560" s="523"/>
      <c r="N560" s="523"/>
      <c r="O560" s="523">
        <f t="shared" ref="O560:O582" si="620">R560+U560</f>
        <v>8.1069999999999993</v>
      </c>
      <c r="P560" s="543">
        <f t="shared" si="575"/>
        <v>0</v>
      </c>
      <c r="Q560" s="543">
        <f t="shared" si="576"/>
        <v>8.1069999999999993</v>
      </c>
      <c r="R560" s="523">
        <f t="shared" ref="R560:R582" si="621">S560+T560</f>
        <v>8.1069999999999993</v>
      </c>
      <c r="S560" s="523"/>
      <c r="T560" s="523">
        <v>8.1069999999999993</v>
      </c>
      <c r="U560" s="523">
        <f t="shared" ref="U560:U582" si="622">V560+W560</f>
        <v>0</v>
      </c>
      <c r="V560" s="523"/>
      <c r="W560" s="523"/>
      <c r="X560" s="523"/>
      <c r="Y560" s="523"/>
      <c r="Z560" s="523"/>
      <c r="AA560" s="523"/>
      <c r="AB560" s="523"/>
      <c r="AC560" s="523"/>
      <c r="AD560" s="523"/>
      <c r="AE560" s="523"/>
      <c r="AF560" s="523"/>
      <c r="AG560" s="523"/>
      <c r="AH560" s="523"/>
      <c r="AI560" s="523"/>
      <c r="AJ560" s="523"/>
      <c r="AK560" s="523">
        <f t="shared" si="617"/>
        <v>0</v>
      </c>
      <c r="AL560" s="523">
        <f t="shared" si="618"/>
        <v>0</v>
      </c>
      <c r="AM560" s="523">
        <f t="shared" si="618"/>
        <v>0</v>
      </c>
      <c r="AN560" s="523">
        <f t="shared" si="619"/>
        <v>0</v>
      </c>
      <c r="AO560" s="523">
        <f t="shared" si="619"/>
        <v>0</v>
      </c>
      <c r="AP560" s="523"/>
      <c r="AQ560" s="524"/>
      <c r="AR560" s="524"/>
    </row>
    <row r="561" spans="1:45" s="83" customFormat="1" hidden="1" outlineLevel="1">
      <c r="A561" s="521"/>
      <c r="B561" s="522" t="s">
        <v>2195</v>
      </c>
      <c r="C561" s="528"/>
      <c r="D561" s="523"/>
      <c r="E561" s="523"/>
      <c r="F561" s="523"/>
      <c r="G561" s="523"/>
      <c r="H561" s="523">
        <f t="shared" si="590"/>
        <v>84.87</v>
      </c>
      <c r="I561" s="523">
        <f t="shared" si="591"/>
        <v>84.87</v>
      </c>
      <c r="J561" s="523"/>
      <c r="K561" s="523">
        <v>84.87</v>
      </c>
      <c r="L561" s="523"/>
      <c r="M561" s="523"/>
      <c r="N561" s="523"/>
      <c r="O561" s="523">
        <f t="shared" si="620"/>
        <v>84.87</v>
      </c>
      <c r="P561" s="543">
        <f t="shared" si="575"/>
        <v>0</v>
      </c>
      <c r="Q561" s="543">
        <f t="shared" si="576"/>
        <v>84.87</v>
      </c>
      <c r="R561" s="523">
        <f t="shared" si="621"/>
        <v>84.87</v>
      </c>
      <c r="S561" s="523"/>
      <c r="T561" s="523">
        <v>84.87</v>
      </c>
      <c r="U561" s="523">
        <f t="shared" si="622"/>
        <v>0</v>
      </c>
      <c r="V561" s="523"/>
      <c r="W561" s="523"/>
      <c r="X561" s="523"/>
      <c r="Y561" s="523"/>
      <c r="Z561" s="523"/>
      <c r="AA561" s="523"/>
      <c r="AB561" s="523"/>
      <c r="AC561" s="523"/>
      <c r="AD561" s="523"/>
      <c r="AE561" s="523"/>
      <c r="AF561" s="523"/>
      <c r="AG561" s="523"/>
      <c r="AH561" s="523"/>
      <c r="AI561" s="523"/>
      <c r="AJ561" s="523"/>
      <c r="AK561" s="523">
        <f t="shared" si="617"/>
        <v>0</v>
      </c>
      <c r="AL561" s="523">
        <f t="shared" si="618"/>
        <v>0</v>
      </c>
      <c r="AM561" s="523">
        <f t="shared" si="618"/>
        <v>0</v>
      </c>
      <c r="AN561" s="523">
        <f t="shared" si="619"/>
        <v>0</v>
      </c>
      <c r="AO561" s="523">
        <f t="shared" si="619"/>
        <v>0</v>
      </c>
      <c r="AP561" s="523"/>
      <c r="AQ561" s="524"/>
      <c r="AR561" s="524"/>
    </row>
    <row r="562" spans="1:45" s="83" customFormat="1" ht="31.2" hidden="1" outlineLevel="1">
      <c r="A562" s="521">
        <v>12</v>
      </c>
      <c r="B562" s="522" t="s">
        <v>2239</v>
      </c>
      <c r="C562" s="528"/>
      <c r="D562" s="523"/>
      <c r="E562" s="523"/>
      <c r="F562" s="523"/>
      <c r="G562" s="523"/>
      <c r="H562" s="523">
        <f>H563</f>
        <v>700</v>
      </c>
      <c r="I562" s="523">
        <f t="shared" ref="I562:AR562" si="623">I563</f>
        <v>700</v>
      </c>
      <c r="J562" s="523">
        <f t="shared" si="623"/>
        <v>0</v>
      </c>
      <c r="K562" s="523">
        <f t="shared" si="623"/>
        <v>700</v>
      </c>
      <c r="L562" s="523">
        <f t="shared" si="623"/>
        <v>0</v>
      </c>
      <c r="M562" s="523">
        <f t="shared" si="623"/>
        <v>0</v>
      </c>
      <c r="N562" s="523">
        <f t="shared" si="623"/>
        <v>0</v>
      </c>
      <c r="O562" s="523">
        <f t="shared" si="620"/>
        <v>0</v>
      </c>
      <c r="P562" s="543">
        <f t="shared" si="575"/>
        <v>0</v>
      </c>
      <c r="Q562" s="543">
        <f t="shared" si="576"/>
        <v>0</v>
      </c>
      <c r="R562" s="523">
        <f t="shared" si="621"/>
        <v>0</v>
      </c>
      <c r="S562" s="523"/>
      <c r="T562" s="523"/>
      <c r="U562" s="523">
        <f t="shared" si="622"/>
        <v>0</v>
      </c>
      <c r="V562" s="523">
        <f t="shared" si="623"/>
        <v>0</v>
      </c>
      <c r="W562" s="523">
        <f t="shared" si="623"/>
        <v>0</v>
      </c>
      <c r="X562" s="523">
        <f t="shared" si="623"/>
        <v>0</v>
      </c>
      <c r="Y562" s="523">
        <f t="shared" si="623"/>
        <v>0</v>
      </c>
      <c r="Z562" s="523">
        <f t="shared" si="623"/>
        <v>0</v>
      </c>
      <c r="AA562" s="523">
        <f t="shared" si="623"/>
        <v>0</v>
      </c>
      <c r="AB562" s="523">
        <f t="shared" si="623"/>
        <v>0</v>
      </c>
      <c r="AC562" s="523">
        <f t="shared" si="623"/>
        <v>0</v>
      </c>
      <c r="AD562" s="523">
        <f t="shared" si="623"/>
        <v>0</v>
      </c>
      <c r="AE562" s="523">
        <f t="shared" si="623"/>
        <v>0</v>
      </c>
      <c r="AF562" s="523">
        <f t="shared" si="623"/>
        <v>0</v>
      </c>
      <c r="AG562" s="523">
        <f t="shared" si="623"/>
        <v>0</v>
      </c>
      <c r="AH562" s="523">
        <f t="shared" si="623"/>
        <v>0</v>
      </c>
      <c r="AI562" s="523">
        <f t="shared" si="623"/>
        <v>0</v>
      </c>
      <c r="AJ562" s="523">
        <f t="shared" si="623"/>
        <v>0</v>
      </c>
      <c r="AK562" s="523">
        <f t="shared" si="623"/>
        <v>700</v>
      </c>
      <c r="AL562" s="523">
        <f t="shared" si="623"/>
        <v>0</v>
      </c>
      <c r="AM562" s="523">
        <f t="shared" si="623"/>
        <v>700</v>
      </c>
      <c r="AN562" s="523">
        <f t="shared" si="623"/>
        <v>0</v>
      </c>
      <c r="AO562" s="523">
        <f t="shared" si="623"/>
        <v>0</v>
      </c>
      <c r="AP562" s="523"/>
      <c r="AQ562" s="524">
        <f t="shared" si="623"/>
        <v>700</v>
      </c>
      <c r="AR562" s="524">
        <f t="shared" si="623"/>
        <v>0</v>
      </c>
    </row>
    <row r="563" spans="1:45" s="83" customFormat="1" ht="31.2" hidden="1" outlineLevel="1">
      <c r="A563" s="521"/>
      <c r="B563" s="522" t="s">
        <v>2240</v>
      </c>
      <c r="C563" s="528"/>
      <c r="D563" s="523"/>
      <c r="E563" s="523"/>
      <c r="F563" s="523"/>
      <c r="G563" s="523"/>
      <c r="H563" s="523">
        <f t="shared" ref="H563" si="624">I563+L563</f>
        <v>700</v>
      </c>
      <c r="I563" s="523">
        <f t="shared" ref="I563" si="625">J563+K563</f>
        <v>700</v>
      </c>
      <c r="J563" s="523"/>
      <c r="K563" s="523">
        <v>700</v>
      </c>
      <c r="L563" s="523"/>
      <c r="M563" s="523"/>
      <c r="N563" s="523"/>
      <c r="O563" s="523">
        <f t="shared" si="620"/>
        <v>0</v>
      </c>
      <c r="P563" s="543">
        <f t="shared" si="575"/>
        <v>0</v>
      </c>
      <c r="Q563" s="543">
        <f t="shared" si="576"/>
        <v>0</v>
      </c>
      <c r="R563" s="523">
        <f t="shared" si="621"/>
        <v>0</v>
      </c>
      <c r="S563" s="523"/>
      <c r="T563" s="523"/>
      <c r="U563" s="523">
        <f t="shared" si="622"/>
        <v>0</v>
      </c>
      <c r="V563" s="523"/>
      <c r="W563" s="523"/>
      <c r="X563" s="523"/>
      <c r="Y563" s="523"/>
      <c r="Z563" s="523"/>
      <c r="AA563" s="523"/>
      <c r="AB563" s="523"/>
      <c r="AC563" s="523"/>
      <c r="AD563" s="523"/>
      <c r="AE563" s="523"/>
      <c r="AF563" s="523"/>
      <c r="AG563" s="523"/>
      <c r="AH563" s="523"/>
      <c r="AI563" s="523"/>
      <c r="AJ563" s="523"/>
      <c r="AK563" s="523">
        <f t="shared" ref="AK563" si="626">SUM(AL563:AO563)</f>
        <v>700</v>
      </c>
      <c r="AL563" s="523">
        <f t="shared" ref="AL563:AM563" si="627">D563+J563-S563-Z563-AF563</f>
        <v>0</v>
      </c>
      <c r="AM563" s="523">
        <f t="shared" si="627"/>
        <v>700</v>
      </c>
      <c r="AN563" s="523">
        <f t="shared" ref="AN563:AO563" si="628">F563+M563-V563-AC563-AI563</f>
        <v>0</v>
      </c>
      <c r="AO563" s="523">
        <f t="shared" si="628"/>
        <v>0</v>
      </c>
      <c r="AP563" s="523"/>
      <c r="AQ563" s="524">
        <v>700</v>
      </c>
      <c r="AR563" s="524"/>
    </row>
    <row r="564" spans="1:45" s="83" customFormat="1" ht="31.2" hidden="1" outlineLevel="1">
      <c r="A564" s="521">
        <v>13</v>
      </c>
      <c r="B564" s="522" t="s">
        <v>2241</v>
      </c>
      <c r="C564" s="528"/>
      <c r="D564" s="523"/>
      <c r="E564" s="523"/>
      <c r="F564" s="523"/>
      <c r="G564" s="523"/>
      <c r="H564" s="523">
        <f>H565</f>
        <v>6181</v>
      </c>
      <c r="I564" s="523">
        <f t="shared" ref="I564:AR564" si="629">I565</f>
        <v>6181</v>
      </c>
      <c r="J564" s="523">
        <f t="shared" si="629"/>
        <v>0</v>
      </c>
      <c r="K564" s="523">
        <f t="shared" si="629"/>
        <v>6181</v>
      </c>
      <c r="L564" s="523">
        <f t="shared" si="629"/>
        <v>0</v>
      </c>
      <c r="M564" s="523">
        <f t="shared" si="629"/>
        <v>0</v>
      </c>
      <c r="N564" s="523">
        <f t="shared" si="629"/>
        <v>0</v>
      </c>
      <c r="O564" s="523">
        <f t="shared" si="620"/>
        <v>0</v>
      </c>
      <c r="P564" s="543">
        <f t="shared" si="575"/>
        <v>0</v>
      </c>
      <c r="Q564" s="543">
        <f t="shared" si="576"/>
        <v>0</v>
      </c>
      <c r="R564" s="523">
        <f t="shared" si="621"/>
        <v>0</v>
      </c>
      <c r="S564" s="523"/>
      <c r="T564" s="523"/>
      <c r="U564" s="523">
        <f t="shared" si="622"/>
        <v>0</v>
      </c>
      <c r="V564" s="523">
        <f t="shared" si="629"/>
        <v>0</v>
      </c>
      <c r="W564" s="523">
        <f t="shared" si="629"/>
        <v>0</v>
      </c>
      <c r="X564" s="523">
        <f t="shared" si="629"/>
        <v>0</v>
      </c>
      <c r="Y564" s="523">
        <f t="shared" si="629"/>
        <v>0</v>
      </c>
      <c r="Z564" s="523">
        <f t="shared" si="629"/>
        <v>0</v>
      </c>
      <c r="AA564" s="523">
        <f t="shared" si="629"/>
        <v>0</v>
      </c>
      <c r="AB564" s="523">
        <f t="shared" si="629"/>
        <v>0</v>
      </c>
      <c r="AC564" s="523">
        <f t="shared" si="629"/>
        <v>0</v>
      </c>
      <c r="AD564" s="523">
        <f t="shared" si="629"/>
        <v>0</v>
      </c>
      <c r="AE564" s="523">
        <f t="shared" si="629"/>
        <v>0</v>
      </c>
      <c r="AF564" s="523">
        <f t="shared" si="629"/>
        <v>0</v>
      </c>
      <c r="AG564" s="523">
        <f t="shared" si="629"/>
        <v>0</v>
      </c>
      <c r="AH564" s="523">
        <f t="shared" si="629"/>
        <v>0</v>
      </c>
      <c r="AI564" s="523">
        <f t="shared" si="629"/>
        <v>0</v>
      </c>
      <c r="AJ564" s="523">
        <f t="shared" si="629"/>
        <v>0</v>
      </c>
      <c r="AK564" s="523">
        <f t="shared" si="629"/>
        <v>6181</v>
      </c>
      <c r="AL564" s="523">
        <f t="shared" si="629"/>
        <v>0</v>
      </c>
      <c r="AM564" s="523">
        <f t="shared" si="629"/>
        <v>6181</v>
      </c>
      <c r="AN564" s="523">
        <f t="shared" si="629"/>
        <v>0</v>
      </c>
      <c r="AO564" s="523">
        <f t="shared" si="629"/>
        <v>0</v>
      </c>
      <c r="AP564" s="523"/>
      <c r="AQ564" s="524">
        <f t="shared" si="629"/>
        <v>6181</v>
      </c>
      <c r="AR564" s="524">
        <f t="shared" si="629"/>
        <v>0</v>
      </c>
      <c r="AS564" s="83" t="s">
        <v>2204</v>
      </c>
    </row>
    <row r="565" spans="1:45" s="83" customFormat="1" hidden="1" outlineLevel="1">
      <c r="A565" s="521"/>
      <c r="B565" s="522" t="s">
        <v>2242</v>
      </c>
      <c r="C565" s="528"/>
      <c r="D565" s="523"/>
      <c r="E565" s="523"/>
      <c r="F565" s="523"/>
      <c r="G565" s="523"/>
      <c r="H565" s="523">
        <f t="shared" ref="H565" si="630">I565+L565</f>
        <v>6181</v>
      </c>
      <c r="I565" s="523">
        <f t="shared" ref="I565" si="631">J565+K565</f>
        <v>6181</v>
      </c>
      <c r="J565" s="523"/>
      <c r="K565" s="523">
        <v>6181</v>
      </c>
      <c r="L565" s="523"/>
      <c r="M565" s="523"/>
      <c r="N565" s="523"/>
      <c r="O565" s="523">
        <f t="shared" si="620"/>
        <v>0</v>
      </c>
      <c r="P565" s="543">
        <f t="shared" si="575"/>
        <v>0</v>
      </c>
      <c r="Q565" s="543">
        <f t="shared" si="576"/>
        <v>0</v>
      </c>
      <c r="R565" s="523">
        <f t="shared" si="621"/>
        <v>0</v>
      </c>
      <c r="S565" s="523"/>
      <c r="T565" s="523"/>
      <c r="U565" s="523">
        <f t="shared" si="622"/>
        <v>0</v>
      </c>
      <c r="V565" s="523"/>
      <c r="W565" s="523"/>
      <c r="X565" s="523"/>
      <c r="Y565" s="523"/>
      <c r="Z565" s="523"/>
      <c r="AA565" s="523"/>
      <c r="AB565" s="523"/>
      <c r="AC565" s="523"/>
      <c r="AD565" s="523"/>
      <c r="AE565" s="523"/>
      <c r="AF565" s="523"/>
      <c r="AG565" s="523"/>
      <c r="AH565" s="523"/>
      <c r="AI565" s="523"/>
      <c r="AJ565" s="523"/>
      <c r="AK565" s="523">
        <f t="shared" ref="AK565" si="632">SUM(AL565:AO565)</f>
        <v>6181</v>
      </c>
      <c r="AL565" s="523">
        <f t="shared" ref="AL565:AM565" si="633">D565+J565-S565-Z565-AF565</f>
        <v>0</v>
      </c>
      <c r="AM565" s="523">
        <f t="shared" si="633"/>
        <v>6181</v>
      </c>
      <c r="AN565" s="523">
        <f t="shared" ref="AN565:AO565" si="634">F565+M565-V565-AC565-AI565</f>
        <v>0</v>
      </c>
      <c r="AO565" s="523">
        <f t="shared" si="634"/>
        <v>0</v>
      </c>
      <c r="AP565" s="523"/>
      <c r="AQ565" s="524">
        <v>6181</v>
      </c>
      <c r="AR565" s="524"/>
    </row>
    <row r="566" spans="1:45" s="83" customFormat="1" ht="31.2" hidden="1" outlineLevel="1">
      <c r="A566" s="521">
        <v>14</v>
      </c>
      <c r="B566" s="522" t="s">
        <v>2243</v>
      </c>
      <c r="C566" s="528"/>
      <c r="D566" s="523"/>
      <c r="E566" s="523"/>
      <c r="F566" s="523"/>
      <c r="G566" s="523"/>
      <c r="H566" s="523">
        <f t="shared" ref="H566:M566" si="635">SUM(H567:H576)</f>
        <v>3818</v>
      </c>
      <c r="I566" s="523">
        <f t="shared" si="635"/>
        <v>0</v>
      </c>
      <c r="J566" s="523">
        <f t="shared" si="635"/>
        <v>0</v>
      </c>
      <c r="K566" s="523">
        <f t="shared" si="635"/>
        <v>0</v>
      </c>
      <c r="L566" s="523">
        <f t="shared" si="635"/>
        <v>3818</v>
      </c>
      <c r="M566" s="523">
        <f t="shared" si="635"/>
        <v>0</v>
      </c>
      <c r="N566" s="523">
        <f>SUM(N567:N576)</f>
        <v>3818</v>
      </c>
      <c r="O566" s="523">
        <f t="shared" si="620"/>
        <v>935</v>
      </c>
      <c r="P566" s="543">
        <f t="shared" si="575"/>
        <v>0</v>
      </c>
      <c r="Q566" s="543">
        <f t="shared" si="576"/>
        <v>935</v>
      </c>
      <c r="R566" s="523">
        <f t="shared" si="621"/>
        <v>0</v>
      </c>
      <c r="S566" s="523"/>
      <c r="T566" s="523"/>
      <c r="U566" s="523">
        <f t="shared" si="622"/>
        <v>935</v>
      </c>
      <c r="V566" s="523">
        <f t="shared" ref="V566:AO566" si="636">SUM(V567:V576)</f>
        <v>0</v>
      </c>
      <c r="W566" s="523">
        <f t="shared" si="636"/>
        <v>935</v>
      </c>
      <c r="X566" s="523">
        <f t="shared" si="636"/>
        <v>0</v>
      </c>
      <c r="Y566" s="523">
        <f t="shared" si="636"/>
        <v>0</v>
      </c>
      <c r="Z566" s="523">
        <f t="shared" si="636"/>
        <v>0</v>
      </c>
      <c r="AA566" s="523">
        <f t="shared" si="636"/>
        <v>0</v>
      </c>
      <c r="AB566" s="523">
        <f t="shared" si="636"/>
        <v>0</v>
      </c>
      <c r="AC566" s="523">
        <f t="shared" si="636"/>
        <v>0</v>
      </c>
      <c r="AD566" s="523">
        <f t="shared" si="636"/>
        <v>0</v>
      </c>
      <c r="AE566" s="523">
        <f t="shared" si="636"/>
        <v>0</v>
      </c>
      <c r="AF566" s="523">
        <f t="shared" si="636"/>
        <v>0</v>
      </c>
      <c r="AG566" s="523">
        <f t="shared" si="636"/>
        <v>0</v>
      </c>
      <c r="AH566" s="523">
        <f t="shared" si="636"/>
        <v>0</v>
      </c>
      <c r="AI566" s="523">
        <f t="shared" si="636"/>
        <v>0</v>
      </c>
      <c r="AJ566" s="523">
        <f t="shared" si="636"/>
        <v>0</v>
      </c>
      <c r="AK566" s="523">
        <f t="shared" si="636"/>
        <v>2883</v>
      </c>
      <c r="AL566" s="523">
        <f t="shared" si="636"/>
        <v>0</v>
      </c>
      <c r="AM566" s="523">
        <f t="shared" si="636"/>
        <v>0</v>
      </c>
      <c r="AN566" s="523">
        <f t="shared" si="636"/>
        <v>0</v>
      </c>
      <c r="AO566" s="523">
        <f t="shared" si="636"/>
        <v>2883</v>
      </c>
      <c r="AP566" s="523"/>
      <c r="AQ566" s="524"/>
      <c r="AR566" s="524"/>
    </row>
    <row r="567" spans="1:45" s="83" customFormat="1" hidden="1" outlineLevel="1">
      <c r="A567" s="521"/>
      <c r="B567" s="522" t="s">
        <v>2244</v>
      </c>
      <c r="C567" s="528"/>
      <c r="D567" s="523"/>
      <c r="E567" s="523"/>
      <c r="F567" s="523"/>
      <c r="G567" s="523"/>
      <c r="H567" s="523">
        <f t="shared" ref="H567:H576" si="637">I567+L567</f>
        <v>304</v>
      </c>
      <c r="I567" s="523">
        <f t="shared" ref="I567:I576" si="638">J567+K567</f>
        <v>0</v>
      </c>
      <c r="J567" s="523"/>
      <c r="K567" s="523"/>
      <c r="L567" s="523">
        <f>M567+N567</f>
        <v>304</v>
      </c>
      <c r="M567" s="523"/>
      <c r="N567" s="523">
        <v>304</v>
      </c>
      <c r="O567" s="523">
        <f t="shared" si="620"/>
        <v>0</v>
      </c>
      <c r="P567" s="543">
        <f t="shared" si="575"/>
        <v>0</v>
      </c>
      <c r="Q567" s="543">
        <f t="shared" si="576"/>
        <v>0</v>
      </c>
      <c r="R567" s="523">
        <f t="shared" si="621"/>
        <v>0</v>
      </c>
      <c r="S567" s="523"/>
      <c r="T567" s="523"/>
      <c r="U567" s="523">
        <f t="shared" si="622"/>
        <v>0</v>
      </c>
      <c r="V567" s="523"/>
      <c r="W567" s="523"/>
      <c r="X567" s="523"/>
      <c r="Y567" s="523"/>
      <c r="Z567" s="523"/>
      <c r="AA567" s="523"/>
      <c r="AB567" s="523"/>
      <c r="AC567" s="523"/>
      <c r="AD567" s="523"/>
      <c r="AE567" s="523"/>
      <c r="AF567" s="523"/>
      <c r="AG567" s="523"/>
      <c r="AH567" s="523"/>
      <c r="AI567" s="523"/>
      <c r="AJ567" s="523"/>
      <c r="AK567" s="523">
        <f t="shared" ref="AK567:AK576" si="639">SUM(AL567:AO567)</f>
        <v>304</v>
      </c>
      <c r="AL567" s="523">
        <f t="shared" ref="AL567:AM576" si="640">D567+J567-S567-Z567-AF567</f>
        <v>0</v>
      </c>
      <c r="AM567" s="523">
        <f t="shared" si="640"/>
        <v>0</v>
      </c>
      <c r="AN567" s="523">
        <f t="shared" ref="AN567:AO576" si="641">F567+M567-V567-AC567-AI567</f>
        <v>0</v>
      </c>
      <c r="AO567" s="523">
        <f t="shared" si="641"/>
        <v>304</v>
      </c>
      <c r="AP567" s="523"/>
      <c r="AQ567" s="524"/>
      <c r="AR567" s="524"/>
    </row>
    <row r="568" spans="1:45" s="83" customFormat="1" hidden="1" outlineLevel="1">
      <c r="A568" s="521"/>
      <c r="B568" s="522" t="s">
        <v>2245</v>
      </c>
      <c r="C568" s="528"/>
      <c r="D568" s="523"/>
      <c r="E568" s="523"/>
      <c r="F568" s="523"/>
      <c r="G568" s="523"/>
      <c r="H568" s="523">
        <f t="shared" si="637"/>
        <v>285</v>
      </c>
      <c r="I568" s="523">
        <f t="shared" si="638"/>
        <v>0</v>
      </c>
      <c r="J568" s="523"/>
      <c r="K568" s="523"/>
      <c r="L568" s="523">
        <f t="shared" ref="L568:L576" si="642">M568+N568</f>
        <v>285</v>
      </c>
      <c r="M568" s="523"/>
      <c r="N568" s="523">
        <v>285</v>
      </c>
      <c r="O568" s="523">
        <f t="shared" si="620"/>
        <v>0</v>
      </c>
      <c r="P568" s="543">
        <f t="shared" si="575"/>
        <v>0</v>
      </c>
      <c r="Q568" s="543">
        <f t="shared" si="576"/>
        <v>0</v>
      </c>
      <c r="R568" s="523">
        <f t="shared" si="621"/>
        <v>0</v>
      </c>
      <c r="S568" s="523"/>
      <c r="T568" s="523"/>
      <c r="U568" s="523">
        <f t="shared" si="622"/>
        <v>0</v>
      </c>
      <c r="V568" s="523"/>
      <c r="W568" s="523"/>
      <c r="X568" s="523"/>
      <c r="Y568" s="523"/>
      <c r="Z568" s="523"/>
      <c r="AA568" s="523"/>
      <c r="AB568" s="523"/>
      <c r="AC568" s="523"/>
      <c r="AD568" s="523"/>
      <c r="AE568" s="523"/>
      <c r="AF568" s="523"/>
      <c r="AG568" s="523"/>
      <c r="AH568" s="523"/>
      <c r="AI568" s="523"/>
      <c r="AJ568" s="523"/>
      <c r="AK568" s="523">
        <f t="shared" si="639"/>
        <v>285</v>
      </c>
      <c r="AL568" s="523">
        <f t="shared" si="640"/>
        <v>0</v>
      </c>
      <c r="AM568" s="523">
        <f t="shared" si="640"/>
        <v>0</v>
      </c>
      <c r="AN568" s="523">
        <f t="shared" si="641"/>
        <v>0</v>
      </c>
      <c r="AO568" s="523">
        <f t="shared" si="641"/>
        <v>285</v>
      </c>
      <c r="AP568" s="523"/>
      <c r="AQ568" s="524"/>
      <c r="AR568" s="524"/>
    </row>
    <row r="569" spans="1:45" s="83" customFormat="1" hidden="1" outlineLevel="1">
      <c r="A569" s="521"/>
      <c r="B569" s="522" t="s">
        <v>2246</v>
      </c>
      <c r="C569" s="528"/>
      <c r="D569" s="523"/>
      <c r="E569" s="523"/>
      <c r="F569" s="523"/>
      <c r="G569" s="523"/>
      <c r="H569" s="523">
        <f t="shared" si="637"/>
        <v>364</v>
      </c>
      <c r="I569" s="523">
        <f t="shared" si="638"/>
        <v>0</v>
      </c>
      <c r="J569" s="523"/>
      <c r="K569" s="523"/>
      <c r="L569" s="523">
        <f t="shared" si="642"/>
        <v>364</v>
      </c>
      <c r="M569" s="523"/>
      <c r="N569" s="523">
        <v>364</v>
      </c>
      <c r="O569" s="523">
        <f t="shared" si="620"/>
        <v>0</v>
      </c>
      <c r="P569" s="543">
        <f t="shared" si="575"/>
        <v>0</v>
      </c>
      <c r="Q569" s="543">
        <f t="shared" si="576"/>
        <v>0</v>
      </c>
      <c r="R569" s="523">
        <f t="shared" si="621"/>
        <v>0</v>
      </c>
      <c r="S569" s="523"/>
      <c r="T569" s="523"/>
      <c r="U569" s="523">
        <f t="shared" si="622"/>
        <v>0</v>
      </c>
      <c r="V569" s="523"/>
      <c r="W569" s="523"/>
      <c r="X569" s="523"/>
      <c r="Y569" s="523"/>
      <c r="Z569" s="523"/>
      <c r="AA569" s="523"/>
      <c r="AB569" s="523"/>
      <c r="AC569" s="523"/>
      <c r="AD569" s="523"/>
      <c r="AE569" s="523"/>
      <c r="AF569" s="523"/>
      <c r="AG569" s="523"/>
      <c r="AH569" s="523"/>
      <c r="AI569" s="523"/>
      <c r="AJ569" s="523"/>
      <c r="AK569" s="523">
        <f t="shared" si="639"/>
        <v>364</v>
      </c>
      <c r="AL569" s="523">
        <f t="shared" si="640"/>
        <v>0</v>
      </c>
      <c r="AM569" s="523">
        <f t="shared" si="640"/>
        <v>0</v>
      </c>
      <c r="AN569" s="523">
        <f t="shared" si="641"/>
        <v>0</v>
      </c>
      <c r="AO569" s="523">
        <f t="shared" si="641"/>
        <v>364</v>
      </c>
      <c r="AP569" s="523"/>
      <c r="AQ569" s="524"/>
      <c r="AR569" s="524"/>
    </row>
    <row r="570" spans="1:45" s="83" customFormat="1" hidden="1" outlineLevel="1">
      <c r="A570" s="521"/>
      <c r="B570" s="522" t="s">
        <v>2247</v>
      </c>
      <c r="C570" s="528"/>
      <c r="D570" s="523"/>
      <c r="E570" s="523"/>
      <c r="F570" s="523"/>
      <c r="G570" s="523"/>
      <c r="H570" s="523">
        <f t="shared" si="637"/>
        <v>354</v>
      </c>
      <c r="I570" s="523">
        <f t="shared" si="638"/>
        <v>0</v>
      </c>
      <c r="J570" s="523"/>
      <c r="K570" s="523"/>
      <c r="L570" s="523">
        <f t="shared" si="642"/>
        <v>354</v>
      </c>
      <c r="M570" s="523"/>
      <c r="N570" s="523">
        <v>354</v>
      </c>
      <c r="O570" s="523">
        <f t="shared" si="620"/>
        <v>0</v>
      </c>
      <c r="P570" s="543">
        <f t="shared" si="575"/>
        <v>0</v>
      </c>
      <c r="Q570" s="543">
        <f t="shared" si="576"/>
        <v>0</v>
      </c>
      <c r="R570" s="523">
        <f t="shared" si="621"/>
        <v>0</v>
      </c>
      <c r="S570" s="523"/>
      <c r="T570" s="523"/>
      <c r="U570" s="523">
        <f t="shared" si="622"/>
        <v>0</v>
      </c>
      <c r="V570" s="523"/>
      <c r="W570" s="523"/>
      <c r="X570" s="523"/>
      <c r="Y570" s="523"/>
      <c r="Z570" s="523"/>
      <c r="AA570" s="523"/>
      <c r="AB570" s="523"/>
      <c r="AC570" s="523"/>
      <c r="AD570" s="523"/>
      <c r="AE570" s="523"/>
      <c r="AF570" s="523"/>
      <c r="AG570" s="523"/>
      <c r="AH570" s="523"/>
      <c r="AI570" s="523"/>
      <c r="AJ570" s="523"/>
      <c r="AK570" s="523">
        <f t="shared" si="639"/>
        <v>354</v>
      </c>
      <c r="AL570" s="523">
        <f t="shared" si="640"/>
        <v>0</v>
      </c>
      <c r="AM570" s="523">
        <f t="shared" si="640"/>
        <v>0</v>
      </c>
      <c r="AN570" s="523">
        <f t="shared" si="641"/>
        <v>0</v>
      </c>
      <c r="AO570" s="523">
        <f t="shared" si="641"/>
        <v>354</v>
      </c>
      <c r="AP570" s="523"/>
      <c r="AQ570" s="524"/>
      <c r="AR570" s="524"/>
    </row>
    <row r="571" spans="1:45" s="83" customFormat="1" hidden="1" outlineLevel="1">
      <c r="A571" s="521"/>
      <c r="B571" s="522" t="s">
        <v>194</v>
      </c>
      <c r="C571" s="528"/>
      <c r="D571" s="523"/>
      <c r="E571" s="523"/>
      <c r="F571" s="523"/>
      <c r="G571" s="523"/>
      <c r="H571" s="523">
        <f t="shared" si="637"/>
        <v>415</v>
      </c>
      <c r="I571" s="523">
        <f t="shared" si="638"/>
        <v>0</v>
      </c>
      <c r="J571" s="523"/>
      <c r="K571" s="523"/>
      <c r="L571" s="523">
        <f t="shared" si="642"/>
        <v>415</v>
      </c>
      <c r="M571" s="523"/>
      <c r="N571" s="523">
        <v>415</v>
      </c>
      <c r="O571" s="523">
        <f t="shared" si="620"/>
        <v>415</v>
      </c>
      <c r="P571" s="543">
        <f t="shared" si="575"/>
        <v>0</v>
      </c>
      <c r="Q571" s="543">
        <f t="shared" si="576"/>
        <v>415</v>
      </c>
      <c r="R571" s="523">
        <f t="shared" si="621"/>
        <v>0</v>
      </c>
      <c r="S571" s="523"/>
      <c r="T571" s="523"/>
      <c r="U571" s="523">
        <f t="shared" si="622"/>
        <v>415</v>
      </c>
      <c r="V571" s="523"/>
      <c r="W571" s="523">
        <v>415</v>
      </c>
      <c r="X571" s="523"/>
      <c r="Y571" s="523"/>
      <c r="Z571" s="523"/>
      <c r="AA571" s="523"/>
      <c r="AB571" s="523"/>
      <c r="AC571" s="523"/>
      <c r="AD571" s="523"/>
      <c r="AE571" s="523"/>
      <c r="AF571" s="523"/>
      <c r="AG571" s="523"/>
      <c r="AH571" s="523"/>
      <c r="AI571" s="523"/>
      <c r="AJ571" s="523"/>
      <c r="AK571" s="523">
        <f t="shared" si="639"/>
        <v>0</v>
      </c>
      <c r="AL571" s="523">
        <f t="shared" si="640"/>
        <v>0</v>
      </c>
      <c r="AM571" s="523">
        <f t="shared" si="640"/>
        <v>0</v>
      </c>
      <c r="AN571" s="523">
        <f t="shared" si="641"/>
        <v>0</v>
      </c>
      <c r="AO571" s="523">
        <f t="shared" si="641"/>
        <v>0</v>
      </c>
      <c r="AP571" s="523"/>
      <c r="AQ571" s="524"/>
      <c r="AR571" s="524"/>
    </row>
    <row r="572" spans="1:45" s="83" customFormat="1" hidden="1" outlineLevel="1">
      <c r="A572" s="521"/>
      <c r="B572" s="522" t="s">
        <v>388</v>
      </c>
      <c r="C572" s="528"/>
      <c r="D572" s="523"/>
      <c r="E572" s="523"/>
      <c r="F572" s="523"/>
      <c r="G572" s="523"/>
      <c r="H572" s="523">
        <f t="shared" si="637"/>
        <v>660</v>
      </c>
      <c r="I572" s="523">
        <f t="shared" si="638"/>
        <v>0</v>
      </c>
      <c r="J572" s="523"/>
      <c r="K572" s="523"/>
      <c r="L572" s="523">
        <f t="shared" si="642"/>
        <v>660</v>
      </c>
      <c r="M572" s="523"/>
      <c r="N572" s="523">
        <v>660</v>
      </c>
      <c r="O572" s="523">
        <f t="shared" si="620"/>
        <v>520</v>
      </c>
      <c r="P572" s="543">
        <f t="shared" si="575"/>
        <v>0</v>
      </c>
      <c r="Q572" s="543">
        <f t="shared" si="576"/>
        <v>520</v>
      </c>
      <c r="R572" s="523">
        <f t="shared" si="621"/>
        <v>0</v>
      </c>
      <c r="S572" s="523"/>
      <c r="T572" s="523"/>
      <c r="U572" s="523">
        <f t="shared" si="622"/>
        <v>520</v>
      </c>
      <c r="V572" s="523"/>
      <c r="W572" s="523">
        <v>520</v>
      </c>
      <c r="X572" s="523"/>
      <c r="Y572" s="523"/>
      <c r="Z572" s="523"/>
      <c r="AA572" s="523"/>
      <c r="AB572" s="523"/>
      <c r="AC572" s="523"/>
      <c r="AD572" s="523"/>
      <c r="AE572" s="523"/>
      <c r="AF572" s="523"/>
      <c r="AG572" s="523"/>
      <c r="AH572" s="523"/>
      <c r="AI572" s="523"/>
      <c r="AJ572" s="523"/>
      <c r="AK572" s="523">
        <f t="shared" si="639"/>
        <v>140</v>
      </c>
      <c r="AL572" s="523">
        <f t="shared" si="640"/>
        <v>0</v>
      </c>
      <c r="AM572" s="523">
        <f t="shared" si="640"/>
        <v>0</v>
      </c>
      <c r="AN572" s="523">
        <f t="shared" si="641"/>
        <v>0</v>
      </c>
      <c r="AO572" s="523">
        <f t="shared" si="641"/>
        <v>140</v>
      </c>
      <c r="AP572" s="523"/>
      <c r="AQ572" s="524"/>
      <c r="AR572" s="524"/>
    </row>
    <row r="573" spans="1:45" s="83" customFormat="1" hidden="1" outlineLevel="1">
      <c r="A573" s="521"/>
      <c r="B573" s="522" t="s">
        <v>2248</v>
      </c>
      <c r="C573" s="528"/>
      <c r="D573" s="523"/>
      <c r="E573" s="523"/>
      <c r="F573" s="523"/>
      <c r="G573" s="523"/>
      <c r="H573" s="523">
        <f t="shared" si="637"/>
        <v>271</v>
      </c>
      <c r="I573" s="523">
        <f t="shared" si="638"/>
        <v>0</v>
      </c>
      <c r="J573" s="523"/>
      <c r="K573" s="523"/>
      <c r="L573" s="523">
        <f t="shared" si="642"/>
        <v>271</v>
      </c>
      <c r="M573" s="523"/>
      <c r="N573" s="523">
        <v>271</v>
      </c>
      <c r="O573" s="523">
        <f t="shared" si="620"/>
        <v>0</v>
      </c>
      <c r="P573" s="543">
        <f t="shared" si="575"/>
        <v>0</v>
      </c>
      <c r="Q573" s="543">
        <f t="shared" si="576"/>
        <v>0</v>
      </c>
      <c r="R573" s="523">
        <f t="shared" si="621"/>
        <v>0</v>
      </c>
      <c r="S573" s="523"/>
      <c r="T573" s="523"/>
      <c r="U573" s="523">
        <f t="shared" si="622"/>
        <v>0</v>
      </c>
      <c r="V573" s="523"/>
      <c r="W573" s="523"/>
      <c r="X573" s="523"/>
      <c r="Y573" s="523"/>
      <c r="Z573" s="523"/>
      <c r="AA573" s="523"/>
      <c r="AB573" s="523"/>
      <c r="AC573" s="523"/>
      <c r="AD573" s="523"/>
      <c r="AE573" s="523"/>
      <c r="AF573" s="523"/>
      <c r="AG573" s="523"/>
      <c r="AH573" s="523"/>
      <c r="AI573" s="523"/>
      <c r="AJ573" s="523"/>
      <c r="AK573" s="523">
        <f t="shared" si="639"/>
        <v>271</v>
      </c>
      <c r="AL573" s="523">
        <f t="shared" si="640"/>
        <v>0</v>
      </c>
      <c r="AM573" s="523">
        <f t="shared" si="640"/>
        <v>0</v>
      </c>
      <c r="AN573" s="523">
        <f t="shared" si="641"/>
        <v>0</v>
      </c>
      <c r="AO573" s="523">
        <f t="shared" si="641"/>
        <v>271</v>
      </c>
      <c r="AP573" s="523"/>
      <c r="AQ573" s="524"/>
      <c r="AR573" s="524"/>
    </row>
    <row r="574" spans="1:45" s="83" customFormat="1" hidden="1" outlineLevel="1">
      <c r="A574" s="521"/>
      <c r="B574" s="522" t="s">
        <v>2249</v>
      </c>
      <c r="C574" s="528"/>
      <c r="D574" s="523"/>
      <c r="E574" s="523"/>
      <c r="F574" s="523"/>
      <c r="G574" s="523"/>
      <c r="H574" s="523">
        <f t="shared" si="637"/>
        <v>345</v>
      </c>
      <c r="I574" s="523">
        <f t="shared" si="638"/>
        <v>0</v>
      </c>
      <c r="J574" s="523"/>
      <c r="K574" s="523"/>
      <c r="L574" s="523">
        <f t="shared" si="642"/>
        <v>345</v>
      </c>
      <c r="M574" s="523"/>
      <c r="N574" s="523">
        <v>345</v>
      </c>
      <c r="O574" s="523">
        <f t="shared" si="620"/>
        <v>0</v>
      </c>
      <c r="P574" s="543">
        <f t="shared" si="575"/>
        <v>0</v>
      </c>
      <c r="Q574" s="543">
        <f t="shared" si="576"/>
        <v>0</v>
      </c>
      <c r="R574" s="523">
        <f t="shared" si="621"/>
        <v>0</v>
      </c>
      <c r="S574" s="523"/>
      <c r="T574" s="523"/>
      <c r="U574" s="523">
        <f t="shared" si="622"/>
        <v>0</v>
      </c>
      <c r="V574" s="523"/>
      <c r="W574" s="523"/>
      <c r="X574" s="523"/>
      <c r="Y574" s="523"/>
      <c r="Z574" s="523"/>
      <c r="AA574" s="523"/>
      <c r="AB574" s="523"/>
      <c r="AC574" s="523"/>
      <c r="AD574" s="523"/>
      <c r="AE574" s="523"/>
      <c r="AF574" s="523"/>
      <c r="AG574" s="523"/>
      <c r="AH574" s="523"/>
      <c r="AI574" s="523"/>
      <c r="AJ574" s="523"/>
      <c r="AK574" s="523">
        <f t="shared" si="639"/>
        <v>345</v>
      </c>
      <c r="AL574" s="523">
        <f t="shared" si="640"/>
        <v>0</v>
      </c>
      <c r="AM574" s="523">
        <f t="shared" si="640"/>
        <v>0</v>
      </c>
      <c r="AN574" s="523">
        <f t="shared" si="641"/>
        <v>0</v>
      </c>
      <c r="AO574" s="523">
        <f t="shared" si="641"/>
        <v>345</v>
      </c>
      <c r="AP574" s="523"/>
      <c r="AQ574" s="524"/>
      <c r="AR574" s="524"/>
    </row>
    <row r="575" spans="1:45" s="83" customFormat="1" hidden="1" outlineLevel="1">
      <c r="A575" s="521"/>
      <c r="B575" s="522" t="s">
        <v>2217</v>
      </c>
      <c r="C575" s="528"/>
      <c r="D575" s="523"/>
      <c r="E575" s="523"/>
      <c r="F575" s="523"/>
      <c r="G575" s="523"/>
      <c r="H575" s="523">
        <f t="shared" si="637"/>
        <v>183</v>
      </c>
      <c r="I575" s="523">
        <f t="shared" si="638"/>
        <v>0</v>
      </c>
      <c r="J575" s="523"/>
      <c r="K575" s="523"/>
      <c r="L575" s="523">
        <f t="shared" si="642"/>
        <v>183</v>
      </c>
      <c r="M575" s="523"/>
      <c r="N575" s="523">
        <v>183</v>
      </c>
      <c r="O575" s="523">
        <f t="shared" si="620"/>
        <v>0</v>
      </c>
      <c r="P575" s="543">
        <f t="shared" si="575"/>
        <v>0</v>
      </c>
      <c r="Q575" s="543">
        <f t="shared" si="576"/>
        <v>0</v>
      </c>
      <c r="R575" s="523">
        <f t="shared" si="621"/>
        <v>0</v>
      </c>
      <c r="S575" s="523"/>
      <c r="T575" s="523"/>
      <c r="U575" s="523">
        <f t="shared" si="622"/>
        <v>0</v>
      </c>
      <c r="V575" s="523"/>
      <c r="W575" s="523"/>
      <c r="X575" s="523"/>
      <c r="Y575" s="523"/>
      <c r="Z575" s="523"/>
      <c r="AA575" s="523"/>
      <c r="AB575" s="523"/>
      <c r="AC575" s="523"/>
      <c r="AD575" s="523"/>
      <c r="AE575" s="523"/>
      <c r="AF575" s="523"/>
      <c r="AG575" s="523"/>
      <c r="AH575" s="523"/>
      <c r="AI575" s="523"/>
      <c r="AJ575" s="523"/>
      <c r="AK575" s="523">
        <f t="shared" si="639"/>
        <v>183</v>
      </c>
      <c r="AL575" s="523">
        <f t="shared" si="640"/>
        <v>0</v>
      </c>
      <c r="AM575" s="523">
        <f t="shared" si="640"/>
        <v>0</v>
      </c>
      <c r="AN575" s="523">
        <f t="shared" si="641"/>
        <v>0</v>
      </c>
      <c r="AO575" s="523">
        <f t="shared" si="641"/>
        <v>183</v>
      </c>
      <c r="AP575" s="523"/>
      <c r="AQ575" s="524"/>
      <c r="AR575" s="524"/>
    </row>
    <row r="576" spans="1:45" s="83" customFormat="1" hidden="1" outlineLevel="1">
      <c r="A576" s="521"/>
      <c r="B576" s="522" t="s">
        <v>2185</v>
      </c>
      <c r="C576" s="528"/>
      <c r="D576" s="523"/>
      <c r="E576" s="523"/>
      <c r="F576" s="523"/>
      <c r="G576" s="523"/>
      <c r="H576" s="523">
        <f t="shared" si="637"/>
        <v>637</v>
      </c>
      <c r="I576" s="523">
        <f t="shared" si="638"/>
        <v>0</v>
      </c>
      <c r="J576" s="523"/>
      <c r="K576" s="523"/>
      <c r="L576" s="523">
        <f t="shared" si="642"/>
        <v>637</v>
      </c>
      <c r="M576" s="523"/>
      <c r="N576" s="523">
        <v>637</v>
      </c>
      <c r="O576" s="523">
        <f t="shared" si="620"/>
        <v>0</v>
      </c>
      <c r="P576" s="543">
        <f t="shared" si="575"/>
        <v>0</v>
      </c>
      <c r="Q576" s="543">
        <f t="shared" si="576"/>
        <v>0</v>
      </c>
      <c r="R576" s="523">
        <f t="shared" si="621"/>
        <v>0</v>
      </c>
      <c r="S576" s="523"/>
      <c r="T576" s="523"/>
      <c r="U576" s="523">
        <f t="shared" si="622"/>
        <v>0</v>
      </c>
      <c r="V576" s="523"/>
      <c r="W576" s="523"/>
      <c r="X576" s="523"/>
      <c r="Y576" s="523"/>
      <c r="Z576" s="523"/>
      <c r="AA576" s="523"/>
      <c r="AB576" s="523"/>
      <c r="AC576" s="523"/>
      <c r="AD576" s="523"/>
      <c r="AE576" s="523"/>
      <c r="AF576" s="523"/>
      <c r="AG576" s="523"/>
      <c r="AH576" s="523"/>
      <c r="AI576" s="523"/>
      <c r="AJ576" s="523"/>
      <c r="AK576" s="523">
        <f t="shared" si="639"/>
        <v>637</v>
      </c>
      <c r="AL576" s="523">
        <f t="shared" si="640"/>
        <v>0</v>
      </c>
      <c r="AM576" s="523">
        <f t="shared" si="640"/>
        <v>0</v>
      </c>
      <c r="AN576" s="523">
        <f t="shared" si="641"/>
        <v>0</v>
      </c>
      <c r="AO576" s="523">
        <f t="shared" si="641"/>
        <v>637</v>
      </c>
      <c r="AP576" s="523"/>
      <c r="AQ576" s="524"/>
      <c r="AR576" s="524"/>
    </row>
    <row r="577" spans="1:45" s="83" customFormat="1" ht="31.2" hidden="1" outlineLevel="1">
      <c r="A577" s="521">
        <v>15</v>
      </c>
      <c r="B577" s="522" t="s">
        <v>2250</v>
      </c>
      <c r="C577" s="528"/>
      <c r="D577" s="523"/>
      <c r="E577" s="523"/>
      <c r="F577" s="523"/>
      <c r="G577" s="523"/>
      <c r="H577" s="523">
        <f>H578</f>
        <v>28500</v>
      </c>
      <c r="I577" s="523">
        <f t="shared" ref="I577:AR577" si="643">I578</f>
        <v>28500</v>
      </c>
      <c r="J577" s="523">
        <f t="shared" si="643"/>
        <v>0</v>
      </c>
      <c r="K577" s="523">
        <f t="shared" si="643"/>
        <v>28500</v>
      </c>
      <c r="L577" s="523">
        <f t="shared" si="643"/>
        <v>0</v>
      </c>
      <c r="M577" s="523">
        <f t="shared" si="643"/>
        <v>0</v>
      </c>
      <c r="N577" s="523">
        <f t="shared" si="643"/>
        <v>0</v>
      </c>
      <c r="O577" s="523">
        <f t="shared" si="620"/>
        <v>0</v>
      </c>
      <c r="P577" s="543">
        <f t="shared" si="575"/>
        <v>0</v>
      </c>
      <c r="Q577" s="543">
        <f t="shared" si="576"/>
        <v>0</v>
      </c>
      <c r="R577" s="523">
        <f t="shared" si="621"/>
        <v>0</v>
      </c>
      <c r="S577" s="523"/>
      <c r="T577" s="523"/>
      <c r="U577" s="523">
        <f t="shared" si="622"/>
        <v>0</v>
      </c>
      <c r="V577" s="523">
        <f t="shared" si="643"/>
        <v>0</v>
      </c>
      <c r="W577" s="523">
        <f t="shared" si="643"/>
        <v>0</v>
      </c>
      <c r="X577" s="523">
        <f t="shared" si="643"/>
        <v>0</v>
      </c>
      <c r="Y577" s="523">
        <f t="shared" si="643"/>
        <v>0</v>
      </c>
      <c r="Z577" s="523">
        <f t="shared" si="643"/>
        <v>0</v>
      </c>
      <c r="AA577" s="523">
        <f t="shared" si="643"/>
        <v>0</v>
      </c>
      <c r="AB577" s="523">
        <f t="shared" si="643"/>
        <v>0</v>
      </c>
      <c r="AC577" s="523">
        <f t="shared" si="643"/>
        <v>0</v>
      </c>
      <c r="AD577" s="523">
        <f t="shared" si="643"/>
        <v>0</v>
      </c>
      <c r="AE577" s="523">
        <f t="shared" si="643"/>
        <v>0</v>
      </c>
      <c r="AF577" s="523">
        <f t="shared" si="643"/>
        <v>0</v>
      </c>
      <c r="AG577" s="523">
        <f t="shared" si="643"/>
        <v>0</v>
      </c>
      <c r="AH577" s="523">
        <f t="shared" si="643"/>
        <v>0</v>
      </c>
      <c r="AI577" s="523">
        <f t="shared" si="643"/>
        <v>0</v>
      </c>
      <c r="AJ577" s="523">
        <f t="shared" si="643"/>
        <v>0</v>
      </c>
      <c r="AK577" s="523">
        <f t="shared" si="643"/>
        <v>28500</v>
      </c>
      <c r="AL577" s="523">
        <f t="shared" si="643"/>
        <v>0</v>
      </c>
      <c r="AM577" s="523">
        <f t="shared" si="643"/>
        <v>28500</v>
      </c>
      <c r="AN577" s="523">
        <f t="shared" si="643"/>
        <v>0</v>
      </c>
      <c r="AO577" s="523">
        <f t="shared" si="643"/>
        <v>0</v>
      </c>
      <c r="AP577" s="523"/>
      <c r="AQ577" s="524">
        <f t="shared" si="643"/>
        <v>28500</v>
      </c>
      <c r="AR577" s="524">
        <f t="shared" si="643"/>
        <v>0</v>
      </c>
      <c r="AS577" s="83" t="s">
        <v>2251</v>
      </c>
    </row>
    <row r="578" spans="1:45" s="83" customFormat="1" hidden="1" outlineLevel="1">
      <c r="A578" s="521"/>
      <c r="B578" s="522" t="s">
        <v>2252</v>
      </c>
      <c r="C578" s="528"/>
      <c r="D578" s="523"/>
      <c r="E578" s="523"/>
      <c r="F578" s="523"/>
      <c r="G578" s="523"/>
      <c r="H578" s="523">
        <f t="shared" ref="H578" si="644">I578+L578</f>
        <v>28500</v>
      </c>
      <c r="I578" s="523">
        <f t="shared" ref="I578" si="645">J578+K578</f>
        <v>28500</v>
      </c>
      <c r="J578" s="523"/>
      <c r="K578" s="523">
        <v>28500</v>
      </c>
      <c r="L578" s="523"/>
      <c r="M578" s="523"/>
      <c r="N578" s="523"/>
      <c r="O578" s="523">
        <f t="shared" si="620"/>
        <v>0</v>
      </c>
      <c r="P578" s="543">
        <f t="shared" si="575"/>
        <v>0</v>
      </c>
      <c r="Q578" s="543">
        <f t="shared" si="576"/>
        <v>0</v>
      </c>
      <c r="R578" s="523">
        <f t="shared" si="621"/>
        <v>0</v>
      </c>
      <c r="S578" s="523"/>
      <c r="T578" s="523"/>
      <c r="U578" s="523">
        <f t="shared" si="622"/>
        <v>0</v>
      </c>
      <c r="V578" s="523"/>
      <c r="W578" s="523"/>
      <c r="X578" s="523"/>
      <c r="Y578" s="523"/>
      <c r="Z578" s="523"/>
      <c r="AA578" s="523"/>
      <c r="AB578" s="523"/>
      <c r="AC578" s="523"/>
      <c r="AD578" s="523"/>
      <c r="AE578" s="523"/>
      <c r="AF578" s="523"/>
      <c r="AG578" s="523"/>
      <c r="AH578" s="523"/>
      <c r="AI578" s="523"/>
      <c r="AJ578" s="523"/>
      <c r="AK578" s="523">
        <f t="shared" ref="AK578" si="646">SUM(AL578:AO578)</f>
        <v>28500</v>
      </c>
      <c r="AL578" s="523">
        <f t="shared" ref="AL578:AM578" si="647">D578+J578-S578-Z578-AF578</f>
        <v>0</v>
      </c>
      <c r="AM578" s="523">
        <f t="shared" si="647"/>
        <v>28500</v>
      </c>
      <c r="AN578" s="523">
        <f t="shared" ref="AN578:AO578" si="648">F578+M578-V578-AC578-AI578</f>
        <v>0</v>
      </c>
      <c r="AO578" s="523">
        <f t="shared" si="648"/>
        <v>0</v>
      </c>
      <c r="AP578" s="523"/>
      <c r="AQ578" s="524">
        <v>28500</v>
      </c>
      <c r="AR578" s="524"/>
    </row>
    <row r="579" spans="1:45" s="83" customFormat="1" ht="31.2" hidden="1" outlineLevel="1">
      <c r="A579" s="549">
        <v>16</v>
      </c>
      <c r="B579" s="522" t="s">
        <v>542</v>
      </c>
      <c r="C579" s="528">
        <f>SUM(D579:G579)</f>
        <v>962</v>
      </c>
      <c r="D579" s="523">
        <v>0</v>
      </c>
      <c r="E579" s="523">
        <v>962</v>
      </c>
      <c r="F579" s="523">
        <v>0</v>
      </c>
      <c r="G579" s="523">
        <v>0</v>
      </c>
      <c r="H579" s="523">
        <f>H580</f>
        <v>17900</v>
      </c>
      <c r="I579" s="523">
        <f t="shared" ref="I579:AR579" si="649">I580</f>
        <v>17900</v>
      </c>
      <c r="J579" s="523">
        <f t="shared" si="649"/>
        <v>0</v>
      </c>
      <c r="K579" s="523">
        <f t="shared" si="649"/>
        <v>17900</v>
      </c>
      <c r="L579" s="523">
        <f t="shared" si="649"/>
        <v>0</v>
      </c>
      <c r="M579" s="523">
        <f t="shared" si="649"/>
        <v>0</v>
      </c>
      <c r="N579" s="523">
        <f t="shared" si="649"/>
        <v>0</v>
      </c>
      <c r="O579" s="523">
        <f t="shared" si="649"/>
        <v>0</v>
      </c>
      <c r="P579" s="543">
        <f t="shared" si="575"/>
        <v>0</v>
      </c>
      <c r="Q579" s="543">
        <f t="shared" si="576"/>
        <v>0</v>
      </c>
      <c r="R579" s="523">
        <f t="shared" si="649"/>
        <v>0</v>
      </c>
      <c r="S579" s="523">
        <f t="shared" si="649"/>
        <v>0</v>
      </c>
      <c r="T579" s="523">
        <f t="shared" si="649"/>
        <v>0</v>
      </c>
      <c r="U579" s="523">
        <f t="shared" si="649"/>
        <v>0</v>
      </c>
      <c r="V579" s="523">
        <f t="shared" si="649"/>
        <v>0</v>
      </c>
      <c r="W579" s="523">
        <f t="shared" si="649"/>
        <v>0</v>
      </c>
      <c r="X579" s="523">
        <f t="shared" si="649"/>
        <v>962</v>
      </c>
      <c r="Y579" s="523">
        <f t="shared" si="649"/>
        <v>962</v>
      </c>
      <c r="Z579" s="523">
        <f t="shared" si="649"/>
        <v>0</v>
      </c>
      <c r="AA579" s="523">
        <f t="shared" si="649"/>
        <v>962</v>
      </c>
      <c r="AB579" s="523">
        <f t="shared" si="649"/>
        <v>0</v>
      </c>
      <c r="AC579" s="523">
        <f t="shared" si="649"/>
        <v>0</v>
      </c>
      <c r="AD579" s="523">
        <f t="shared" si="649"/>
        <v>0</v>
      </c>
      <c r="AE579" s="523">
        <f t="shared" si="649"/>
        <v>0</v>
      </c>
      <c r="AF579" s="523">
        <f t="shared" si="649"/>
        <v>0</v>
      </c>
      <c r="AG579" s="523">
        <f t="shared" si="649"/>
        <v>0</v>
      </c>
      <c r="AH579" s="523">
        <f t="shared" si="649"/>
        <v>0</v>
      </c>
      <c r="AI579" s="523">
        <f t="shared" si="649"/>
        <v>0</v>
      </c>
      <c r="AJ579" s="523">
        <f t="shared" si="649"/>
        <v>0</v>
      </c>
      <c r="AK579" s="523">
        <f t="shared" si="649"/>
        <v>17900</v>
      </c>
      <c r="AL579" s="523">
        <f t="shared" si="649"/>
        <v>0</v>
      </c>
      <c r="AM579" s="523">
        <f t="shared" si="649"/>
        <v>17900</v>
      </c>
      <c r="AN579" s="523">
        <f t="shared" si="649"/>
        <v>0</v>
      </c>
      <c r="AO579" s="523">
        <f t="shared" si="649"/>
        <v>0</v>
      </c>
      <c r="AP579" s="523"/>
      <c r="AQ579" s="524">
        <f t="shared" si="649"/>
        <v>17900</v>
      </c>
      <c r="AR579" s="524">
        <f t="shared" si="649"/>
        <v>0</v>
      </c>
      <c r="AS579" s="83" t="s">
        <v>2204</v>
      </c>
    </row>
    <row r="580" spans="1:45" s="83" customFormat="1" hidden="1" outlineLevel="1">
      <c r="A580" s="549"/>
      <c r="B580" s="522" t="s">
        <v>2253</v>
      </c>
      <c r="C580" s="528">
        <f>SUM(D580:G580)</f>
        <v>962</v>
      </c>
      <c r="D580" s="523">
        <v>0</v>
      </c>
      <c r="E580" s="523">
        <v>962</v>
      </c>
      <c r="F580" s="523">
        <v>0</v>
      </c>
      <c r="G580" s="523">
        <v>0</v>
      </c>
      <c r="H580" s="523">
        <f>I580+L580</f>
        <v>17900</v>
      </c>
      <c r="I580" s="523">
        <f>J580+K580</f>
        <v>17900</v>
      </c>
      <c r="J580" s="523"/>
      <c r="K580" s="523">
        <v>17900</v>
      </c>
      <c r="L580" s="523"/>
      <c r="M580" s="523"/>
      <c r="N580" s="523"/>
      <c r="O580" s="523">
        <f t="shared" si="620"/>
        <v>0</v>
      </c>
      <c r="P580" s="543">
        <f t="shared" si="575"/>
        <v>0</v>
      </c>
      <c r="Q580" s="543">
        <f t="shared" si="576"/>
        <v>0</v>
      </c>
      <c r="R580" s="523">
        <f t="shared" si="621"/>
        <v>0</v>
      </c>
      <c r="S580" s="523"/>
      <c r="T580" s="523"/>
      <c r="U580" s="523">
        <f t="shared" si="622"/>
        <v>0</v>
      </c>
      <c r="V580" s="523"/>
      <c r="W580" s="523"/>
      <c r="X580" s="523">
        <f>Y580+AB580+AE580+AH580</f>
        <v>962</v>
      </c>
      <c r="Y580" s="523">
        <f>Z580+AA580</f>
        <v>962</v>
      </c>
      <c r="Z580" s="523"/>
      <c r="AA580" s="523">
        <v>962</v>
      </c>
      <c r="AB580" s="523"/>
      <c r="AC580" s="523"/>
      <c r="AD580" s="523"/>
      <c r="AE580" s="523">
        <f>AF580+AG580</f>
        <v>0</v>
      </c>
      <c r="AF580" s="523"/>
      <c r="AG580" s="523"/>
      <c r="AH580" s="523">
        <f>AI580+AJ580</f>
        <v>0</v>
      </c>
      <c r="AI580" s="523"/>
      <c r="AJ580" s="523"/>
      <c r="AK580" s="523">
        <f>SUM(AL580:AO580)</f>
        <v>17900</v>
      </c>
      <c r="AL580" s="523">
        <f>D580+J580-S580-Z580-AF580</f>
        <v>0</v>
      </c>
      <c r="AM580" s="523">
        <f>E580+K580-T580-AA580-AG580</f>
        <v>17900</v>
      </c>
      <c r="AN580" s="523">
        <f>F580+M580-V580-AC580-AI580</f>
        <v>0</v>
      </c>
      <c r="AO580" s="523">
        <f>G580+N580-W580-AD580-AJ580</f>
        <v>0</v>
      </c>
      <c r="AP580" s="523"/>
      <c r="AQ580" s="524">
        <v>17900</v>
      </c>
      <c r="AR580" s="524"/>
    </row>
    <row r="581" spans="1:45" s="83" customFormat="1" ht="46.8" hidden="1" outlineLevel="1">
      <c r="A581" s="521">
        <v>17</v>
      </c>
      <c r="B581" s="522" t="s">
        <v>2254</v>
      </c>
      <c r="C581" s="528"/>
      <c r="D581" s="523"/>
      <c r="E581" s="523"/>
      <c r="F581" s="523"/>
      <c r="G581" s="523"/>
      <c r="H581" s="523">
        <f>H582</f>
        <v>70000</v>
      </c>
      <c r="I581" s="523">
        <f t="shared" ref="I581:AR581" si="650">I582</f>
        <v>70000</v>
      </c>
      <c r="J581" s="523">
        <f t="shared" si="650"/>
        <v>70000</v>
      </c>
      <c r="K581" s="523">
        <f t="shared" si="650"/>
        <v>0</v>
      </c>
      <c r="L581" s="523">
        <f t="shared" si="650"/>
        <v>0</v>
      </c>
      <c r="M581" s="523">
        <f t="shared" si="650"/>
        <v>0</v>
      </c>
      <c r="N581" s="523">
        <f t="shared" si="650"/>
        <v>0</v>
      </c>
      <c r="O581" s="523">
        <f t="shared" si="620"/>
        <v>0</v>
      </c>
      <c r="P581" s="543">
        <f t="shared" si="575"/>
        <v>0</v>
      </c>
      <c r="Q581" s="543">
        <f t="shared" si="576"/>
        <v>0</v>
      </c>
      <c r="R581" s="523">
        <f t="shared" si="621"/>
        <v>0</v>
      </c>
      <c r="S581" s="523"/>
      <c r="T581" s="523"/>
      <c r="U581" s="523">
        <f t="shared" si="622"/>
        <v>0</v>
      </c>
      <c r="V581" s="523">
        <f t="shared" si="650"/>
        <v>0</v>
      </c>
      <c r="W581" s="523">
        <f t="shared" si="650"/>
        <v>0</v>
      </c>
      <c r="X581" s="523">
        <f t="shared" si="650"/>
        <v>0</v>
      </c>
      <c r="Y581" s="523">
        <f t="shared" si="650"/>
        <v>0</v>
      </c>
      <c r="Z581" s="523">
        <f t="shared" si="650"/>
        <v>0</v>
      </c>
      <c r="AA581" s="523">
        <f t="shared" si="650"/>
        <v>0</v>
      </c>
      <c r="AB581" s="523">
        <f t="shared" si="650"/>
        <v>0</v>
      </c>
      <c r="AC581" s="523">
        <f t="shared" si="650"/>
        <v>0</v>
      </c>
      <c r="AD581" s="523">
        <f t="shared" si="650"/>
        <v>0</v>
      </c>
      <c r="AE581" s="523">
        <f t="shared" si="650"/>
        <v>0</v>
      </c>
      <c r="AF581" s="523">
        <f t="shared" si="650"/>
        <v>0</v>
      </c>
      <c r="AG581" s="523">
        <f t="shared" si="650"/>
        <v>0</v>
      </c>
      <c r="AH581" s="523">
        <f t="shared" si="650"/>
        <v>0</v>
      </c>
      <c r="AI581" s="523">
        <f t="shared" si="650"/>
        <v>0</v>
      </c>
      <c r="AJ581" s="523">
        <f t="shared" si="650"/>
        <v>0</v>
      </c>
      <c r="AK581" s="523">
        <f t="shared" si="650"/>
        <v>70000</v>
      </c>
      <c r="AL581" s="523">
        <f t="shared" si="650"/>
        <v>70000</v>
      </c>
      <c r="AM581" s="523">
        <f t="shared" si="650"/>
        <v>0</v>
      </c>
      <c r="AN581" s="523">
        <f t="shared" si="650"/>
        <v>0</v>
      </c>
      <c r="AO581" s="523">
        <f t="shared" si="650"/>
        <v>0</v>
      </c>
      <c r="AP581" s="523"/>
      <c r="AQ581" s="524">
        <f t="shared" si="650"/>
        <v>0</v>
      </c>
      <c r="AR581" s="524">
        <f t="shared" si="650"/>
        <v>0</v>
      </c>
    </row>
    <row r="582" spans="1:45" s="83" customFormat="1" hidden="1" outlineLevel="1">
      <c r="A582" s="521"/>
      <c r="B582" s="522" t="s">
        <v>2255</v>
      </c>
      <c r="C582" s="528"/>
      <c r="D582" s="523"/>
      <c r="E582" s="523"/>
      <c r="F582" s="523"/>
      <c r="G582" s="523"/>
      <c r="H582" s="523">
        <f t="shared" ref="H582" si="651">I582+L582</f>
        <v>70000</v>
      </c>
      <c r="I582" s="523">
        <f t="shared" ref="I582" si="652">J582+K582</f>
        <v>70000</v>
      </c>
      <c r="J582" s="523">
        <v>70000</v>
      </c>
      <c r="K582" s="523"/>
      <c r="L582" s="523"/>
      <c r="M582" s="523"/>
      <c r="N582" s="523"/>
      <c r="O582" s="523">
        <f t="shared" si="620"/>
        <v>0</v>
      </c>
      <c r="P582" s="543">
        <f t="shared" si="575"/>
        <v>0</v>
      </c>
      <c r="Q582" s="543">
        <f t="shared" si="576"/>
        <v>0</v>
      </c>
      <c r="R582" s="523">
        <f t="shared" si="621"/>
        <v>0</v>
      </c>
      <c r="S582" s="523"/>
      <c r="T582" s="523"/>
      <c r="U582" s="523">
        <f t="shared" si="622"/>
        <v>0</v>
      </c>
      <c r="V582" s="523"/>
      <c r="W582" s="523"/>
      <c r="X582" s="523"/>
      <c r="Y582" s="523"/>
      <c r="Z582" s="523"/>
      <c r="AA582" s="523"/>
      <c r="AB582" s="523"/>
      <c r="AC582" s="523"/>
      <c r="AD582" s="523"/>
      <c r="AE582" s="523"/>
      <c r="AF582" s="523"/>
      <c r="AG582" s="523"/>
      <c r="AH582" s="523"/>
      <c r="AI582" s="523"/>
      <c r="AJ582" s="523"/>
      <c r="AK582" s="523">
        <f t="shared" ref="AK582" si="653">SUM(AL582:AO582)</f>
        <v>70000</v>
      </c>
      <c r="AL582" s="523">
        <f t="shared" ref="AL582:AM582" si="654">D582+J582-S582-Z582-AF582</f>
        <v>70000</v>
      </c>
      <c r="AM582" s="523">
        <f t="shared" si="654"/>
        <v>0</v>
      </c>
      <c r="AN582" s="523">
        <f t="shared" ref="AN582:AO582" si="655">F582+M582-V582-AC582-AI582</f>
        <v>0</v>
      </c>
      <c r="AO582" s="523">
        <f t="shared" si="655"/>
        <v>0</v>
      </c>
      <c r="AP582" s="523"/>
      <c r="AQ582" s="524"/>
      <c r="AR582" s="524"/>
    </row>
    <row r="583" spans="1:45" s="84" customFormat="1" collapsed="1">
      <c r="A583" s="569" t="s">
        <v>36</v>
      </c>
      <c r="B583" s="570" t="s">
        <v>532</v>
      </c>
      <c r="C583" s="531">
        <f t="shared" ref="C583:O583" si="656">C584+C586+C589+C598+C600+C602+C608+C556+C610+C612+C614+C618+C620+C622+C624+C626+C628+C630+C632+C634+C636+C638</f>
        <v>34232.923342999995</v>
      </c>
      <c r="D583" s="531">
        <f t="shared" si="656"/>
        <v>0</v>
      </c>
      <c r="E583" s="531">
        <f t="shared" si="656"/>
        <v>9179.7350000000006</v>
      </c>
      <c r="F583" s="531">
        <f t="shared" si="656"/>
        <v>0</v>
      </c>
      <c r="G583" s="531">
        <f t="shared" si="656"/>
        <v>25053.188342999998</v>
      </c>
      <c r="H583" s="531">
        <f t="shared" si="656"/>
        <v>0</v>
      </c>
      <c r="I583" s="531">
        <f t="shared" si="656"/>
        <v>0</v>
      </c>
      <c r="J583" s="531">
        <f t="shared" si="656"/>
        <v>0</v>
      </c>
      <c r="K583" s="531">
        <f t="shared" si="656"/>
        <v>0</v>
      </c>
      <c r="L583" s="531">
        <f t="shared" si="656"/>
        <v>0</v>
      </c>
      <c r="M583" s="531">
        <f t="shared" si="656"/>
        <v>0</v>
      </c>
      <c r="N583" s="531">
        <f t="shared" si="656"/>
        <v>0</v>
      </c>
      <c r="O583" s="531">
        <f t="shared" si="656"/>
        <v>22583.253400000001</v>
      </c>
      <c r="P583" s="519">
        <f t="shared" si="575"/>
        <v>0</v>
      </c>
      <c r="Q583" s="519">
        <f t="shared" si="576"/>
        <v>22583.253399999998</v>
      </c>
      <c r="R583" s="531">
        <f t="shared" ref="R583:AO583" si="657">R584+R586+R589+R598+R600+R602+R608+R556+R610+R612+R614+R618+R620+R622+R624+R626+R628+R630+R632+R634+R636+R638</f>
        <v>5425.6203999999998</v>
      </c>
      <c r="S583" s="531">
        <f t="shared" si="657"/>
        <v>0</v>
      </c>
      <c r="T583" s="531">
        <f t="shared" si="657"/>
        <v>5425.6203999999998</v>
      </c>
      <c r="U583" s="531">
        <f t="shared" si="657"/>
        <v>17157.632999999998</v>
      </c>
      <c r="V583" s="531">
        <f t="shared" si="657"/>
        <v>0</v>
      </c>
      <c r="W583" s="531">
        <f t="shared" si="657"/>
        <v>17157.632999999998</v>
      </c>
      <c r="X583" s="531">
        <f t="shared" si="657"/>
        <v>5128.8554769999982</v>
      </c>
      <c r="Y583" s="531">
        <f t="shared" si="657"/>
        <v>2500</v>
      </c>
      <c r="Z583" s="531">
        <f t="shared" si="657"/>
        <v>0</v>
      </c>
      <c r="AA583" s="531">
        <f t="shared" si="657"/>
        <v>2500</v>
      </c>
      <c r="AB583" s="531">
        <f t="shared" si="657"/>
        <v>2628.8554769999982</v>
      </c>
      <c r="AC583" s="531">
        <f t="shared" si="657"/>
        <v>0</v>
      </c>
      <c r="AD583" s="531">
        <f t="shared" si="657"/>
        <v>2628.8554769999982</v>
      </c>
      <c r="AE583" s="531">
        <f t="shared" si="657"/>
        <v>0</v>
      </c>
      <c r="AF583" s="531">
        <f t="shared" si="657"/>
        <v>0</v>
      </c>
      <c r="AG583" s="531">
        <f t="shared" si="657"/>
        <v>0</v>
      </c>
      <c r="AH583" s="531">
        <f t="shared" si="657"/>
        <v>0</v>
      </c>
      <c r="AI583" s="531">
        <f t="shared" si="657"/>
        <v>0</v>
      </c>
      <c r="AJ583" s="531">
        <f t="shared" si="657"/>
        <v>0</v>
      </c>
      <c r="AK583" s="531">
        <f t="shared" si="657"/>
        <v>6520.8144659999998</v>
      </c>
      <c r="AL583" s="531">
        <f t="shared" si="657"/>
        <v>0</v>
      </c>
      <c r="AM583" s="531">
        <f t="shared" si="657"/>
        <v>1254.1145999999999</v>
      </c>
      <c r="AN583" s="531">
        <f t="shared" si="657"/>
        <v>0</v>
      </c>
      <c r="AO583" s="531">
        <f t="shared" si="657"/>
        <v>5266.6998659999999</v>
      </c>
      <c r="AP583" s="531"/>
      <c r="AQ583" s="532">
        <f>AQ584+AQ586+AQ589+AQ598+AQ600+AQ602+AQ608+AQ556+AQ610+AQ612+AQ614+AQ618+AQ620+AQ622+AQ624+AQ626+AQ628+AQ630+AQ632+AQ634+AQ636+AQ638</f>
        <v>856.32</v>
      </c>
      <c r="AR583" s="532">
        <f>AR584+AR586+AR589+AR598+AR600+AR602+AR608+AR556+AR610+AR612+AR614+AR618+AR620+AR622+AR624+AR626+AR628+AR630+AR632+AR634+AR636+AR638</f>
        <v>397.79459999999995</v>
      </c>
    </row>
    <row r="584" spans="1:45" s="83" customFormat="1" hidden="1" outlineLevel="1">
      <c r="A584" s="521">
        <v>1</v>
      </c>
      <c r="B584" s="522" t="s">
        <v>470</v>
      </c>
      <c r="C584" s="528">
        <f t="shared" ref="C584:C594" si="658">SUM(D584:G584)</f>
        <v>496.19999999999982</v>
      </c>
      <c r="D584" s="523">
        <v>0</v>
      </c>
      <c r="E584" s="523">
        <v>0</v>
      </c>
      <c r="F584" s="523">
        <v>0</v>
      </c>
      <c r="G584" s="523">
        <v>496.19999999999982</v>
      </c>
      <c r="H584" s="523">
        <f t="shared" ref="H584:AJ584" si="659">SUM(H585:H585)</f>
        <v>0</v>
      </c>
      <c r="I584" s="523">
        <f t="shared" si="659"/>
        <v>0</v>
      </c>
      <c r="J584" s="523">
        <f t="shared" si="659"/>
        <v>0</v>
      </c>
      <c r="K584" s="523">
        <f t="shared" si="659"/>
        <v>0</v>
      </c>
      <c r="L584" s="523">
        <f t="shared" si="659"/>
        <v>0</v>
      </c>
      <c r="M584" s="523">
        <f t="shared" si="659"/>
        <v>0</v>
      </c>
      <c r="N584" s="523">
        <f t="shared" si="659"/>
        <v>0</v>
      </c>
      <c r="O584" s="523">
        <f t="shared" si="659"/>
        <v>496.2</v>
      </c>
      <c r="P584" s="543">
        <f t="shared" si="575"/>
        <v>0</v>
      </c>
      <c r="Q584" s="543">
        <f t="shared" si="576"/>
        <v>496.2</v>
      </c>
      <c r="R584" s="523">
        <f t="shared" si="659"/>
        <v>0</v>
      </c>
      <c r="S584" s="523">
        <f t="shared" si="659"/>
        <v>0</v>
      </c>
      <c r="T584" s="523">
        <f t="shared" si="659"/>
        <v>0</v>
      </c>
      <c r="U584" s="523">
        <f t="shared" si="659"/>
        <v>496.2</v>
      </c>
      <c r="V584" s="523">
        <f t="shared" si="659"/>
        <v>0</v>
      </c>
      <c r="W584" s="523">
        <f t="shared" si="659"/>
        <v>496.2</v>
      </c>
      <c r="X584" s="523">
        <f t="shared" si="659"/>
        <v>0</v>
      </c>
      <c r="Y584" s="523">
        <f t="shared" si="659"/>
        <v>0</v>
      </c>
      <c r="Z584" s="523">
        <f t="shared" si="659"/>
        <v>0</v>
      </c>
      <c r="AA584" s="523">
        <f t="shared" si="659"/>
        <v>0</v>
      </c>
      <c r="AB584" s="523">
        <f t="shared" si="659"/>
        <v>0</v>
      </c>
      <c r="AC584" s="523">
        <f t="shared" si="659"/>
        <v>0</v>
      </c>
      <c r="AD584" s="523">
        <f t="shared" si="659"/>
        <v>0</v>
      </c>
      <c r="AE584" s="523">
        <f t="shared" si="659"/>
        <v>0</v>
      </c>
      <c r="AF584" s="523">
        <f t="shared" si="659"/>
        <v>0</v>
      </c>
      <c r="AG584" s="523">
        <f t="shared" si="659"/>
        <v>0</v>
      </c>
      <c r="AH584" s="523">
        <f t="shared" si="659"/>
        <v>0</v>
      </c>
      <c r="AI584" s="523">
        <f t="shared" si="659"/>
        <v>0</v>
      </c>
      <c r="AJ584" s="523">
        <f t="shared" si="659"/>
        <v>0</v>
      </c>
      <c r="AK584" s="523">
        <f t="shared" ref="AK584:AK585" si="660">SUM(AL584:AO584)</f>
        <v>-1.7053025658242404E-13</v>
      </c>
      <c r="AL584" s="523">
        <f t="shared" ref="AL584:AM585" si="661">D584+J584-S584-Z584-AF584</f>
        <v>0</v>
      </c>
      <c r="AM584" s="523">
        <f t="shared" si="661"/>
        <v>0</v>
      </c>
      <c r="AN584" s="523">
        <f t="shared" ref="AN584:AO585" si="662">F584+M584-V584-AC584-AI584</f>
        <v>0</v>
      </c>
      <c r="AO584" s="523">
        <f t="shared" si="662"/>
        <v>-1.7053025658242404E-13</v>
      </c>
      <c r="AP584" s="523"/>
      <c r="AQ584" s="524"/>
      <c r="AR584" s="524"/>
    </row>
    <row r="585" spans="1:45" s="83" customFormat="1" hidden="1" outlineLevel="1">
      <c r="A585" s="521"/>
      <c r="B585" s="522" t="s">
        <v>188</v>
      </c>
      <c r="C585" s="528">
        <f t="shared" si="658"/>
        <v>496.2</v>
      </c>
      <c r="D585" s="523">
        <v>0</v>
      </c>
      <c r="E585" s="523">
        <v>0</v>
      </c>
      <c r="F585" s="523">
        <v>0</v>
      </c>
      <c r="G585" s="523">
        <v>496.2</v>
      </c>
      <c r="H585" s="523">
        <f t="shared" ref="H585" si="663">I585+L585</f>
        <v>0</v>
      </c>
      <c r="I585" s="523">
        <f t="shared" ref="I585" si="664">J585+K585</f>
        <v>0</v>
      </c>
      <c r="J585" s="523"/>
      <c r="K585" s="523"/>
      <c r="L585" s="523">
        <f t="shared" ref="L585" si="665">M585+N585</f>
        <v>0</v>
      </c>
      <c r="M585" s="523"/>
      <c r="N585" s="523"/>
      <c r="O585" s="523">
        <f t="shared" ref="O585" si="666">R585+U585</f>
        <v>496.2</v>
      </c>
      <c r="P585" s="543">
        <f t="shared" si="575"/>
        <v>0</v>
      </c>
      <c r="Q585" s="543">
        <f t="shared" si="576"/>
        <v>496.2</v>
      </c>
      <c r="R585" s="523">
        <f t="shared" ref="R585" si="667">S585+T585</f>
        <v>0</v>
      </c>
      <c r="S585" s="523"/>
      <c r="T585" s="523"/>
      <c r="U585" s="523">
        <f t="shared" ref="U585" si="668">V585+W585</f>
        <v>496.2</v>
      </c>
      <c r="V585" s="523"/>
      <c r="W585" s="523">
        <v>496.2</v>
      </c>
      <c r="X585" s="523"/>
      <c r="Y585" s="523"/>
      <c r="Z585" s="523"/>
      <c r="AA585" s="523"/>
      <c r="AB585" s="523"/>
      <c r="AC585" s="523"/>
      <c r="AD585" s="523"/>
      <c r="AE585" s="523"/>
      <c r="AF585" s="523"/>
      <c r="AG585" s="523"/>
      <c r="AH585" s="523"/>
      <c r="AI585" s="523"/>
      <c r="AJ585" s="523"/>
      <c r="AK585" s="523">
        <f t="shared" si="660"/>
        <v>0</v>
      </c>
      <c r="AL585" s="523">
        <f t="shared" si="661"/>
        <v>0</v>
      </c>
      <c r="AM585" s="523">
        <f t="shared" si="661"/>
        <v>0</v>
      </c>
      <c r="AN585" s="523">
        <f t="shared" si="662"/>
        <v>0</v>
      </c>
      <c r="AO585" s="523">
        <f t="shared" si="662"/>
        <v>0</v>
      </c>
      <c r="AP585" s="523"/>
      <c r="AQ585" s="524"/>
      <c r="AR585" s="524"/>
    </row>
    <row r="586" spans="1:45" s="83" customFormat="1" hidden="1" outlineLevel="1">
      <c r="A586" s="521">
        <v>2</v>
      </c>
      <c r="B586" s="522" t="s">
        <v>472</v>
      </c>
      <c r="C586" s="528">
        <f t="shared" si="658"/>
        <v>573.17499999999995</v>
      </c>
      <c r="D586" s="523">
        <v>0</v>
      </c>
      <c r="E586" s="523">
        <v>63.971999999999994</v>
      </c>
      <c r="F586" s="523">
        <v>0</v>
      </c>
      <c r="G586" s="523">
        <v>509.20299999999997</v>
      </c>
      <c r="H586" s="523">
        <f t="shared" ref="H586:AR586" si="669">SUM(H587:H588)</f>
        <v>0</v>
      </c>
      <c r="I586" s="523">
        <f t="shared" si="669"/>
        <v>0</v>
      </c>
      <c r="J586" s="523">
        <f t="shared" si="669"/>
        <v>0</v>
      </c>
      <c r="K586" s="523">
        <f t="shared" si="669"/>
        <v>0</v>
      </c>
      <c r="L586" s="523">
        <f t="shared" si="669"/>
        <v>0</v>
      </c>
      <c r="M586" s="523">
        <f t="shared" si="669"/>
        <v>0</v>
      </c>
      <c r="N586" s="523">
        <f t="shared" si="669"/>
        <v>0</v>
      </c>
      <c r="O586" s="523">
        <f t="shared" si="669"/>
        <v>509.20299999999997</v>
      </c>
      <c r="P586" s="543">
        <f t="shared" si="575"/>
        <v>0</v>
      </c>
      <c r="Q586" s="543">
        <f t="shared" si="576"/>
        <v>509.20299999999997</v>
      </c>
      <c r="R586" s="523">
        <f t="shared" si="669"/>
        <v>0</v>
      </c>
      <c r="S586" s="523">
        <f t="shared" si="669"/>
        <v>0</v>
      </c>
      <c r="T586" s="523">
        <f t="shared" si="669"/>
        <v>0</v>
      </c>
      <c r="U586" s="523">
        <f t="shared" si="669"/>
        <v>509.20299999999997</v>
      </c>
      <c r="V586" s="523">
        <f t="shared" si="669"/>
        <v>0</v>
      </c>
      <c r="W586" s="523">
        <f t="shared" si="669"/>
        <v>509.20299999999997</v>
      </c>
      <c r="X586" s="523">
        <f t="shared" si="669"/>
        <v>0</v>
      </c>
      <c r="Y586" s="523">
        <f t="shared" si="669"/>
        <v>0</v>
      </c>
      <c r="Z586" s="523">
        <f t="shared" si="669"/>
        <v>0</v>
      </c>
      <c r="AA586" s="523">
        <f t="shared" si="669"/>
        <v>0</v>
      </c>
      <c r="AB586" s="523">
        <f t="shared" si="669"/>
        <v>0</v>
      </c>
      <c r="AC586" s="523">
        <f t="shared" si="669"/>
        <v>0</v>
      </c>
      <c r="AD586" s="523">
        <f t="shared" si="669"/>
        <v>0</v>
      </c>
      <c r="AE586" s="523">
        <f t="shared" si="669"/>
        <v>0</v>
      </c>
      <c r="AF586" s="523">
        <f t="shared" si="669"/>
        <v>0</v>
      </c>
      <c r="AG586" s="523">
        <f t="shared" si="669"/>
        <v>0</v>
      </c>
      <c r="AH586" s="523">
        <f t="shared" si="669"/>
        <v>0</v>
      </c>
      <c r="AI586" s="523">
        <f t="shared" si="669"/>
        <v>0</v>
      </c>
      <c r="AJ586" s="523">
        <f t="shared" si="669"/>
        <v>0</v>
      </c>
      <c r="AK586" s="523">
        <f t="shared" si="669"/>
        <v>63.971999999999994</v>
      </c>
      <c r="AL586" s="523">
        <f t="shared" si="669"/>
        <v>0</v>
      </c>
      <c r="AM586" s="523">
        <f t="shared" si="669"/>
        <v>63.971999999999994</v>
      </c>
      <c r="AN586" s="523">
        <f t="shared" si="669"/>
        <v>0</v>
      </c>
      <c r="AO586" s="523">
        <f t="shared" si="669"/>
        <v>0</v>
      </c>
      <c r="AP586" s="523"/>
      <c r="AQ586" s="524">
        <f t="shared" si="669"/>
        <v>0</v>
      </c>
      <c r="AR586" s="524">
        <f t="shared" si="669"/>
        <v>63.971999999999994</v>
      </c>
    </row>
    <row r="587" spans="1:45" s="83" customFormat="1" hidden="1" outlineLevel="1">
      <c r="A587" s="521"/>
      <c r="B587" s="522" t="s">
        <v>192</v>
      </c>
      <c r="C587" s="528">
        <f t="shared" si="658"/>
        <v>509.20299999999997</v>
      </c>
      <c r="D587" s="523">
        <v>0</v>
      </c>
      <c r="E587" s="523">
        <v>0</v>
      </c>
      <c r="F587" s="523">
        <v>0</v>
      </c>
      <c r="G587" s="523">
        <v>509.20299999999997</v>
      </c>
      <c r="H587" s="523">
        <f>I587+L587</f>
        <v>0</v>
      </c>
      <c r="I587" s="523">
        <f>J587+K587</f>
        <v>0</v>
      </c>
      <c r="J587" s="523"/>
      <c r="K587" s="523"/>
      <c r="L587" s="523">
        <f t="shared" ref="L587" si="670">M587+N587</f>
        <v>0</v>
      </c>
      <c r="M587" s="523"/>
      <c r="N587" s="523"/>
      <c r="O587" s="523">
        <f t="shared" ref="O587" si="671">R587+U587</f>
        <v>509.20299999999997</v>
      </c>
      <c r="P587" s="543">
        <f t="shared" si="575"/>
        <v>0</v>
      </c>
      <c r="Q587" s="543">
        <f t="shared" si="576"/>
        <v>509.20299999999997</v>
      </c>
      <c r="R587" s="523"/>
      <c r="S587" s="523"/>
      <c r="T587" s="523"/>
      <c r="U587" s="523">
        <f t="shared" ref="U587" si="672">V587+W587</f>
        <v>509.20299999999997</v>
      </c>
      <c r="V587" s="523"/>
      <c r="W587" s="523">
        <v>509.20299999999997</v>
      </c>
      <c r="X587" s="523"/>
      <c r="Y587" s="523"/>
      <c r="Z587" s="523"/>
      <c r="AA587" s="523"/>
      <c r="AB587" s="523"/>
      <c r="AC587" s="523"/>
      <c r="AD587" s="523"/>
      <c r="AE587" s="523"/>
      <c r="AF587" s="523"/>
      <c r="AG587" s="523"/>
      <c r="AH587" s="523"/>
      <c r="AI587" s="523"/>
      <c r="AJ587" s="523"/>
      <c r="AK587" s="523">
        <f>SUM(AL587:AO587)</f>
        <v>0</v>
      </c>
      <c r="AL587" s="523">
        <f t="shared" ref="AL587:AM599" si="673">D587+J587-S587-Z587-AF587</f>
        <v>0</v>
      </c>
      <c r="AM587" s="523">
        <f t="shared" si="673"/>
        <v>0</v>
      </c>
      <c r="AN587" s="523">
        <f t="shared" ref="AN587:AO599" si="674">F587+M587-V587-AC587-AI587</f>
        <v>0</v>
      </c>
      <c r="AO587" s="523">
        <f t="shared" si="674"/>
        <v>0</v>
      </c>
      <c r="AP587" s="523"/>
      <c r="AQ587" s="524"/>
      <c r="AR587" s="524"/>
    </row>
    <row r="588" spans="1:45" s="83" customFormat="1" hidden="1" outlineLevel="1">
      <c r="A588" s="521"/>
      <c r="B588" s="522" t="s">
        <v>2256</v>
      </c>
      <c r="C588" s="528">
        <f t="shared" si="658"/>
        <v>63.971999999999994</v>
      </c>
      <c r="D588" s="523">
        <v>0</v>
      </c>
      <c r="E588" s="523">
        <v>63.971999999999994</v>
      </c>
      <c r="F588" s="523">
        <v>0</v>
      </c>
      <c r="G588" s="523">
        <v>0</v>
      </c>
      <c r="H588" s="523">
        <f>I588+L588</f>
        <v>0</v>
      </c>
      <c r="I588" s="523">
        <f>J588+K588</f>
        <v>0</v>
      </c>
      <c r="J588" s="523"/>
      <c r="K588" s="523"/>
      <c r="L588" s="523"/>
      <c r="M588" s="523"/>
      <c r="N588" s="523"/>
      <c r="O588" s="523">
        <f>R588+U588</f>
        <v>0</v>
      </c>
      <c r="P588" s="543">
        <f t="shared" si="575"/>
        <v>0</v>
      </c>
      <c r="Q588" s="543">
        <f t="shared" si="576"/>
        <v>0</v>
      </c>
      <c r="R588" s="523">
        <f>S588+T588</f>
        <v>0</v>
      </c>
      <c r="S588" s="523"/>
      <c r="T588" s="523"/>
      <c r="U588" s="523"/>
      <c r="V588" s="523"/>
      <c r="W588" s="523"/>
      <c r="X588" s="523">
        <f>Y588+AB588</f>
        <v>0</v>
      </c>
      <c r="Y588" s="523">
        <f>Z588+AA588</f>
        <v>0</v>
      </c>
      <c r="Z588" s="523"/>
      <c r="AA588" s="523"/>
      <c r="AB588" s="523"/>
      <c r="AC588" s="523"/>
      <c r="AD588" s="523"/>
      <c r="AE588" s="523"/>
      <c r="AF588" s="523"/>
      <c r="AG588" s="523"/>
      <c r="AH588" s="523"/>
      <c r="AI588" s="523"/>
      <c r="AJ588" s="523"/>
      <c r="AK588" s="523">
        <f>SUM(AL588:AO588)</f>
        <v>63.971999999999994</v>
      </c>
      <c r="AL588" s="523">
        <f t="shared" si="673"/>
        <v>0</v>
      </c>
      <c r="AM588" s="523">
        <f t="shared" si="673"/>
        <v>63.971999999999994</v>
      </c>
      <c r="AN588" s="523">
        <f t="shared" si="674"/>
        <v>0</v>
      </c>
      <c r="AO588" s="523">
        <f t="shared" si="674"/>
        <v>0</v>
      </c>
      <c r="AP588" s="523"/>
      <c r="AQ588" s="524"/>
      <c r="AR588" s="524">
        <v>63.971999999999994</v>
      </c>
    </row>
    <row r="589" spans="1:45" s="83" customFormat="1" ht="31.2" hidden="1" outlineLevel="1">
      <c r="A589" s="521">
        <v>3</v>
      </c>
      <c r="B589" s="522" t="s">
        <v>479</v>
      </c>
      <c r="C589" s="528">
        <f t="shared" si="658"/>
        <v>380</v>
      </c>
      <c r="D589" s="523">
        <v>0</v>
      </c>
      <c r="E589" s="523">
        <v>0</v>
      </c>
      <c r="F589" s="523">
        <v>0</v>
      </c>
      <c r="G589" s="523">
        <v>380</v>
      </c>
      <c r="H589" s="523">
        <f t="shared" ref="H589:AJ589" si="675">SUM(H590:H597)</f>
        <v>0</v>
      </c>
      <c r="I589" s="523">
        <f t="shared" si="675"/>
        <v>0</v>
      </c>
      <c r="J589" s="523">
        <f t="shared" si="675"/>
        <v>0</v>
      </c>
      <c r="K589" s="523">
        <f t="shared" si="675"/>
        <v>0</v>
      </c>
      <c r="L589" s="523">
        <f t="shared" si="675"/>
        <v>0</v>
      </c>
      <c r="M589" s="523">
        <f t="shared" si="675"/>
        <v>0</v>
      </c>
      <c r="N589" s="523">
        <f t="shared" si="675"/>
        <v>0</v>
      </c>
      <c r="O589" s="523">
        <f t="shared" si="675"/>
        <v>0</v>
      </c>
      <c r="P589" s="543">
        <f t="shared" si="575"/>
        <v>0</v>
      </c>
      <c r="Q589" s="543">
        <f t="shared" si="576"/>
        <v>0</v>
      </c>
      <c r="R589" s="523">
        <f t="shared" si="675"/>
        <v>0</v>
      </c>
      <c r="S589" s="523">
        <f t="shared" si="675"/>
        <v>0</v>
      </c>
      <c r="T589" s="523">
        <f t="shared" si="675"/>
        <v>0</v>
      </c>
      <c r="U589" s="523">
        <f t="shared" si="675"/>
        <v>0</v>
      </c>
      <c r="V589" s="523">
        <f t="shared" si="675"/>
        <v>0</v>
      </c>
      <c r="W589" s="523">
        <f t="shared" si="675"/>
        <v>0</v>
      </c>
      <c r="X589" s="523">
        <f t="shared" si="675"/>
        <v>379.99999999999994</v>
      </c>
      <c r="Y589" s="523">
        <f t="shared" si="675"/>
        <v>0</v>
      </c>
      <c r="Z589" s="523">
        <f t="shared" si="675"/>
        <v>0</v>
      </c>
      <c r="AA589" s="523">
        <f t="shared" si="675"/>
        <v>0</v>
      </c>
      <c r="AB589" s="523">
        <f t="shared" si="675"/>
        <v>379.99999999999994</v>
      </c>
      <c r="AC589" s="523">
        <f t="shared" si="675"/>
        <v>0</v>
      </c>
      <c r="AD589" s="523">
        <f t="shared" si="675"/>
        <v>379.99999999999994</v>
      </c>
      <c r="AE589" s="523">
        <f t="shared" si="675"/>
        <v>0</v>
      </c>
      <c r="AF589" s="523">
        <f t="shared" si="675"/>
        <v>0</v>
      </c>
      <c r="AG589" s="523">
        <f t="shared" si="675"/>
        <v>0</v>
      </c>
      <c r="AH589" s="523">
        <f t="shared" si="675"/>
        <v>0</v>
      </c>
      <c r="AI589" s="523">
        <f t="shared" si="675"/>
        <v>0</v>
      </c>
      <c r="AJ589" s="523">
        <f t="shared" si="675"/>
        <v>0</v>
      </c>
      <c r="AK589" s="523">
        <f t="shared" ref="AK589:AK599" si="676">SUM(AL589:AO589)</f>
        <v>5.6843418860808015E-14</v>
      </c>
      <c r="AL589" s="523">
        <f t="shared" si="673"/>
        <v>0</v>
      </c>
      <c r="AM589" s="523">
        <f t="shared" si="673"/>
        <v>0</v>
      </c>
      <c r="AN589" s="523">
        <f t="shared" si="674"/>
        <v>0</v>
      </c>
      <c r="AO589" s="523">
        <f t="shared" si="674"/>
        <v>5.6843418860808015E-14</v>
      </c>
      <c r="AP589" s="523"/>
      <c r="AQ589" s="524"/>
      <c r="AR589" s="524"/>
    </row>
    <row r="590" spans="1:45" s="83" customFormat="1" hidden="1" outlineLevel="1">
      <c r="A590" s="521"/>
      <c r="B590" s="522" t="s">
        <v>188</v>
      </c>
      <c r="C590" s="528">
        <f t="shared" si="658"/>
        <v>50.1</v>
      </c>
      <c r="D590" s="523">
        <v>0</v>
      </c>
      <c r="E590" s="523">
        <v>0</v>
      </c>
      <c r="F590" s="523">
        <v>0</v>
      </c>
      <c r="G590" s="523">
        <v>50.1</v>
      </c>
      <c r="H590" s="523">
        <f t="shared" ref="H590:H596" si="677">I590+L590</f>
        <v>0</v>
      </c>
      <c r="I590" s="523">
        <f t="shared" ref="I590:I596" si="678">J590+K590</f>
        <v>0</v>
      </c>
      <c r="J590" s="523"/>
      <c r="K590" s="523"/>
      <c r="L590" s="523">
        <f t="shared" ref="L590:L596" si="679">M590+N590</f>
        <v>0</v>
      </c>
      <c r="M590" s="523"/>
      <c r="N590" s="523"/>
      <c r="O590" s="523">
        <f t="shared" ref="O590:O597" si="680">R590+U590</f>
        <v>0</v>
      </c>
      <c r="P590" s="543">
        <f t="shared" si="575"/>
        <v>0</v>
      </c>
      <c r="Q590" s="543">
        <f t="shared" si="576"/>
        <v>0</v>
      </c>
      <c r="R590" s="523"/>
      <c r="S590" s="523"/>
      <c r="T590" s="523"/>
      <c r="U590" s="523">
        <f t="shared" ref="U590:U597" si="681">V590+W590</f>
        <v>0</v>
      </c>
      <c r="V590" s="523"/>
      <c r="W590" s="523"/>
      <c r="X590" s="523">
        <f>Y590+AB590</f>
        <v>50.1</v>
      </c>
      <c r="Y590" s="523">
        <f>Z590+AA590</f>
        <v>0</v>
      </c>
      <c r="Z590" s="523"/>
      <c r="AA590" s="523"/>
      <c r="AB590" s="523">
        <f>AC590+AD590</f>
        <v>50.1</v>
      </c>
      <c r="AC590" s="523"/>
      <c r="AD590" s="523">
        <v>50.1</v>
      </c>
      <c r="AE590" s="523"/>
      <c r="AF590" s="523"/>
      <c r="AG590" s="523"/>
      <c r="AH590" s="523"/>
      <c r="AI590" s="523"/>
      <c r="AJ590" s="523"/>
      <c r="AK590" s="523">
        <f t="shared" si="676"/>
        <v>0</v>
      </c>
      <c r="AL590" s="523">
        <f t="shared" si="673"/>
        <v>0</v>
      </c>
      <c r="AM590" s="523">
        <f t="shared" si="673"/>
        <v>0</v>
      </c>
      <c r="AN590" s="523">
        <f t="shared" si="674"/>
        <v>0</v>
      </c>
      <c r="AO590" s="523">
        <f t="shared" si="674"/>
        <v>0</v>
      </c>
      <c r="AP590" s="523"/>
      <c r="AQ590" s="524"/>
      <c r="AR590" s="524"/>
    </row>
    <row r="591" spans="1:45" s="83" customFormat="1" hidden="1" outlineLevel="1">
      <c r="A591" s="521"/>
      <c r="B591" s="522" t="s">
        <v>200</v>
      </c>
      <c r="C591" s="528">
        <f t="shared" si="658"/>
        <v>82.63</v>
      </c>
      <c r="D591" s="523">
        <v>0</v>
      </c>
      <c r="E591" s="523">
        <v>0</v>
      </c>
      <c r="F591" s="523">
        <v>0</v>
      </c>
      <c r="G591" s="523">
        <v>82.63</v>
      </c>
      <c r="H591" s="523">
        <f t="shared" si="677"/>
        <v>0</v>
      </c>
      <c r="I591" s="523">
        <f t="shared" si="678"/>
        <v>0</v>
      </c>
      <c r="J591" s="523"/>
      <c r="K591" s="523"/>
      <c r="L591" s="523">
        <f t="shared" si="679"/>
        <v>0</v>
      </c>
      <c r="M591" s="523"/>
      <c r="N591" s="523"/>
      <c r="O591" s="523">
        <f t="shared" si="680"/>
        <v>0</v>
      </c>
      <c r="P591" s="543">
        <f t="shared" ref="P591:P639" si="682">S591+V591</f>
        <v>0</v>
      </c>
      <c r="Q591" s="543">
        <f t="shared" ref="Q591:Q639" si="683">T591+W591</f>
        <v>0</v>
      </c>
      <c r="R591" s="523"/>
      <c r="S591" s="523"/>
      <c r="T591" s="523"/>
      <c r="U591" s="523">
        <f t="shared" si="681"/>
        <v>0</v>
      </c>
      <c r="V591" s="523"/>
      <c r="W591" s="523"/>
      <c r="X591" s="523">
        <f>Y591+AB591</f>
        <v>82.63</v>
      </c>
      <c r="Y591" s="523">
        <f>Z591+AA591</f>
        <v>0</v>
      </c>
      <c r="Z591" s="523"/>
      <c r="AA591" s="523"/>
      <c r="AB591" s="523">
        <f>AC591+AD591</f>
        <v>82.63</v>
      </c>
      <c r="AC591" s="523"/>
      <c r="AD591" s="523">
        <v>82.63</v>
      </c>
      <c r="AE591" s="523"/>
      <c r="AF591" s="523"/>
      <c r="AG591" s="523"/>
      <c r="AH591" s="523"/>
      <c r="AI591" s="523"/>
      <c r="AJ591" s="523"/>
      <c r="AK591" s="523">
        <f t="shared" si="676"/>
        <v>0</v>
      </c>
      <c r="AL591" s="523">
        <f t="shared" si="673"/>
        <v>0</v>
      </c>
      <c r="AM591" s="523">
        <f t="shared" si="673"/>
        <v>0</v>
      </c>
      <c r="AN591" s="523">
        <f t="shared" si="674"/>
        <v>0</v>
      </c>
      <c r="AO591" s="523">
        <f t="shared" si="674"/>
        <v>0</v>
      </c>
      <c r="AP591" s="523"/>
      <c r="AQ591" s="524"/>
      <c r="AR591" s="524"/>
    </row>
    <row r="592" spans="1:45" s="83" customFormat="1" hidden="1" outlineLevel="1">
      <c r="A592" s="521"/>
      <c r="B592" s="522" t="s">
        <v>194</v>
      </c>
      <c r="C592" s="528">
        <f t="shared" si="658"/>
        <v>95.34</v>
      </c>
      <c r="D592" s="523">
        <v>0</v>
      </c>
      <c r="E592" s="523">
        <v>0</v>
      </c>
      <c r="F592" s="523">
        <v>0</v>
      </c>
      <c r="G592" s="523">
        <v>95.34</v>
      </c>
      <c r="H592" s="523">
        <f t="shared" si="677"/>
        <v>0</v>
      </c>
      <c r="I592" s="523">
        <f t="shared" si="678"/>
        <v>0</v>
      </c>
      <c r="J592" s="523"/>
      <c r="K592" s="523"/>
      <c r="L592" s="523">
        <f t="shared" si="679"/>
        <v>0</v>
      </c>
      <c r="M592" s="523"/>
      <c r="N592" s="523"/>
      <c r="O592" s="523">
        <f t="shared" si="680"/>
        <v>0</v>
      </c>
      <c r="P592" s="543">
        <f t="shared" si="682"/>
        <v>0</v>
      </c>
      <c r="Q592" s="543">
        <f t="shared" si="683"/>
        <v>0</v>
      </c>
      <c r="R592" s="523"/>
      <c r="S592" s="523"/>
      <c r="T592" s="523"/>
      <c r="U592" s="523">
        <f t="shared" si="681"/>
        <v>0</v>
      </c>
      <c r="V592" s="523"/>
      <c r="W592" s="523"/>
      <c r="X592" s="523">
        <f t="shared" ref="X592:X597" si="684">Y592+AB592</f>
        <v>95.34</v>
      </c>
      <c r="Y592" s="523">
        <f t="shared" ref="Y592:Y596" si="685">Z592+AA592</f>
        <v>0</v>
      </c>
      <c r="Z592" s="523"/>
      <c r="AA592" s="523"/>
      <c r="AB592" s="523">
        <f t="shared" ref="AB592:AB597" si="686">AC592+AD592</f>
        <v>95.34</v>
      </c>
      <c r="AC592" s="523"/>
      <c r="AD592" s="523">
        <v>95.34</v>
      </c>
      <c r="AE592" s="523"/>
      <c r="AF592" s="523"/>
      <c r="AG592" s="523"/>
      <c r="AH592" s="523"/>
      <c r="AI592" s="523"/>
      <c r="AJ592" s="523"/>
      <c r="AK592" s="523">
        <f t="shared" si="676"/>
        <v>0</v>
      </c>
      <c r="AL592" s="523">
        <f t="shared" si="673"/>
        <v>0</v>
      </c>
      <c r="AM592" s="523">
        <f t="shared" si="673"/>
        <v>0</v>
      </c>
      <c r="AN592" s="523">
        <f t="shared" si="674"/>
        <v>0</v>
      </c>
      <c r="AO592" s="523">
        <f t="shared" si="674"/>
        <v>0</v>
      </c>
      <c r="AP592" s="523"/>
      <c r="AQ592" s="524"/>
      <c r="AR592" s="524"/>
    </row>
    <row r="593" spans="1:44" s="83" customFormat="1" hidden="1" outlineLevel="1">
      <c r="A593" s="521"/>
      <c r="B593" s="522" t="s">
        <v>388</v>
      </c>
      <c r="C593" s="528">
        <f t="shared" si="658"/>
        <v>12.09</v>
      </c>
      <c r="D593" s="523">
        <v>0</v>
      </c>
      <c r="E593" s="523">
        <v>0</v>
      </c>
      <c r="F593" s="523">
        <v>0</v>
      </c>
      <c r="G593" s="523">
        <v>12.09</v>
      </c>
      <c r="H593" s="523">
        <f t="shared" si="677"/>
        <v>0</v>
      </c>
      <c r="I593" s="523">
        <f t="shared" si="678"/>
        <v>0</v>
      </c>
      <c r="J593" s="523"/>
      <c r="K593" s="523"/>
      <c r="L593" s="523">
        <f t="shared" si="679"/>
        <v>0</v>
      </c>
      <c r="M593" s="523"/>
      <c r="N593" s="523"/>
      <c r="O593" s="523">
        <f t="shared" si="680"/>
        <v>0</v>
      </c>
      <c r="P593" s="543">
        <f t="shared" si="682"/>
        <v>0</v>
      </c>
      <c r="Q593" s="543">
        <f t="shared" si="683"/>
        <v>0</v>
      </c>
      <c r="R593" s="523"/>
      <c r="S593" s="523"/>
      <c r="T593" s="523"/>
      <c r="U593" s="523">
        <f t="shared" si="681"/>
        <v>0</v>
      </c>
      <c r="V593" s="523"/>
      <c r="W593" s="523"/>
      <c r="X593" s="523">
        <f t="shared" si="684"/>
        <v>12.09</v>
      </c>
      <c r="Y593" s="523">
        <f t="shared" si="685"/>
        <v>0</v>
      </c>
      <c r="Z593" s="523"/>
      <c r="AA593" s="523"/>
      <c r="AB593" s="523">
        <f t="shared" si="686"/>
        <v>12.09</v>
      </c>
      <c r="AC593" s="523"/>
      <c r="AD593" s="523">
        <v>12.09</v>
      </c>
      <c r="AE593" s="523"/>
      <c r="AF593" s="523"/>
      <c r="AG593" s="523"/>
      <c r="AH593" s="523"/>
      <c r="AI593" s="523"/>
      <c r="AJ593" s="523"/>
      <c r="AK593" s="523">
        <f t="shared" si="676"/>
        <v>0</v>
      </c>
      <c r="AL593" s="523">
        <f t="shared" si="673"/>
        <v>0</v>
      </c>
      <c r="AM593" s="523">
        <f t="shared" si="673"/>
        <v>0</v>
      </c>
      <c r="AN593" s="523">
        <f t="shared" si="674"/>
        <v>0</v>
      </c>
      <c r="AO593" s="523">
        <f t="shared" si="674"/>
        <v>0</v>
      </c>
      <c r="AP593" s="523"/>
      <c r="AQ593" s="524"/>
      <c r="AR593" s="524"/>
    </row>
    <row r="594" spans="1:44" s="83" customFormat="1" hidden="1" outlineLevel="1">
      <c r="A594" s="521"/>
      <c r="B594" s="522" t="s">
        <v>196</v>
      </c>
      <c r="C594" s="528">
        <f t="shared" si="658"/>
        <v>52.74</v>
      </c>
      <c r="D594" s="523">
        <v>0</v>
      </c>
      <c r="E594" s="523">
        <v>0</v>
      </c>
      <c r="F594" s="523">
        <v>0</v>
      </c>
      <c r="G594" s="523">
        <v>52.74</v>
      </c>
      <c r="H594" s="523">
        <f t="shared" si="677"/>
        <v>0</v>
      </c>
      <c r="I594" s="523">
        <f t="shared" si="678"/>
        <v>0</v>
      </c>
      <c r="J594" s="523"/>
      <c r="K594" s="523"/>
      <c r="L594" s="523">
        <f t="shared" si="679"/>
        <v>0</v>
      </c>
      <c r="M594" s="523"/>
      <c r="N594" s="523"/>
      <c r="O594" s="523">
        <f t="shared" si="680"/>
        <v>0</v>
      </c>
      <c r="P594" s="543">
        <f t="shared" si="682"/>
        <v>0</v>
      </c>
      <c r="Q594" s="543">
        <f t="shared" si="683"/>
        <v>0</v>
      </c>
      <c r="R594" s="523"/>
      <c r="S594" s="523"/>
      <c r="T594" s="523"/>
      <c r="U594" s="523">
        <f t="shared" si="681"/>
        <v>0</v>
      </c>
      <c r="V594" s="523"/>
      <c r="W594" s="523"/>
      <c r="X594" s="523">
        <f t="shared" si="684"/>
        <v>52.74</v>
      </c>
      <c r="Y594" s="523">
        <f t="shared" si="685"/>
        <v>0</v>
      </c>
      <c r="Z594" s="523"/>
      <c r="AA594" s="523"/>
      <c r="AB594" s="523">
        <f t="shared" si="686"/>
        <v>52.74</v>
      </c>
      <c r="AC594" s="523"/>
      <c r="AD594" s="523">
        <v>52.74</v>
      </c>
      <c r="AE594" s="523"/>
      <c r="AF594" s="523"/>
      <c r="AG594" s="523"/>
      <c r="AH594" s="523"/>
      <c r="AI594" s="523"/>
      <c r="AJ594" s="523"/>
      <c r="AK594" s="523">
        <f t="shared" si="676"/>
        <v>0</v>
      </c>
      <c r="AL594" s="523">
        <f t="shared" si="673"/>
        <v>0</v>
      </c>
      <c r="AM594" s="523">
        <f t="shared" si="673"/>
        <v>0</v>
      </c>
      <c r="AN594" s="523">
        <f t="shared" si="674"/>
        <v>0</v>
      </c>
      <c r="AO594" s="523">
        <f t="shared" si="674"/>
        <v>0</v>
      </c>
      <c r="AP594" s="523"/>
      <c r="AQ594" s="524"/>
      <c r="AR594" s="524"/>
    </row>
    <row r="595" spans="1:44" s="83" customFormat="1" hidden="1" outlineLevel="1">
      <c r="A595" s="521"/>
      <c r="B595" s="522" t="s">
        <v>193</v>
      </c>
      <c r="C595" s="528">
        <f t="shared" ref="C595:C599" si="687">SUM(D595:G595)</f>
        <v>27.9</v>
      </c>
      <c r="D595" s="523">
        <v>0</v>
      </c>
      <c r="E595" s="523">
        <v>0</v>
      </c>
      <c r="F595" s="523">
        <v>0</v>
      </c>
      <c r="G595" s="523">
        <v>27.9</v>
      </c>
      <c r="H595" s="523">
        <f t="shared" si="677"/>
        <v>0</v>
      </c>
      <c r="I595" s="523">
        <f t="shared" si="678"/>
        <v>0</v>
      </c>
      <c r="J595" s="523"/>
      <c r="K595" s="523"/>
      <c r="L595" s="523">
        <f t="shared" si="679"/>
        <v>0</v>
      </c>
      <c r="M595" s="523"/>
      <c r="N595" s="523"/>
      <c r="O595" s="523">
        <f t="shared" si="680"/>
        <v>0</v>
      </c>
      <c r="P595" s="543">
        <f t="shared" si="682"/>
        <v>0</v>
      </c>
      <c r="Q595" s="543">
        <f t="shared" si="683"/>
        <v>0</v>
      </c>
      <c r="R595" s="523"/>
      <c r="S595" s="523"/>
      <c r="T595" s="523"/>
      <c r="U595" s="523">
        <f t="shared" si="681"/>
        <v>0</v>
      </c>
      <c r="V595" s="523"/>
      <c r="W595" s="523"/>
      <c r="X595" s="523">
        <f t="shared" si="684"/>
        <v>27.9</v>
      </c>
      <c r="Y595" s="523">
        <f t="shared" si="685"/>
        <v>0</v>
      </c>
      <c r="Z595" s="523"/>
      <c r="AA595" s="523"/>
      <c r="AB595" s="523">
        <f t="shared" si="686"/>
        <v>27.9</v>
      </c>
      <c r="AC595" s="523"/>
      <c r="AD595" s="523">
        <v>27.9</v>
      </c>
      <c r="AE595" s="523"/>
      <c r="AF595" s="523"/>
      <c r="AG595" s="523"/>
      <c r="AH595" s="523"/>
      <c r="AI595" s="523"/>
      <c r="AJ595" s="523"/>
      <c r="AK595" s="523">
        <f t="shared" si="676"/>
        <v>0</v>
      </c>
      <c r="AL595" s="523">
        <f t="shared" si="673"/>
        <v>0</v>
      </c>
      <c r="AM595" s="523">
        <f t="shared" si="673"/>
        <v>0</v>
      </c>
      <c r="AN595" s="523">
        <f t="shared" si="674"/>
        <v>0</v>
      </c>
      <c r="AO595" s="523">
        <f t="shared" si="674"/>
        <v>0</v>
      </c>
      <c r="AP595" s="523"/>
      <c r="AQ595" s="524"/>
      <c r="AR595" s="524"/>
    </row>
    <row r="596" spans="1:44" s="83" customFormat="1" hidden="1" outlineLevel="1">
      <c r="A596" s="521"/>
      <c r="B596" s="522" t="s">
        <v>192</v>
      </c>
      <c r="C596" s="528">
        <f t="shared" si="687"/>
        <v>58</v>
      </c>
      <c r="D596" s="523">
        <v>0</v>
      </c>
      <c r="E596" s="523">
        <v>0</v>
      </c>
      <c r="F596" s="523">
        <v>0</v>
      </c>
      <c r="G596" s="523">
        <v>58</v>
      </c>
      <c r="H596" s="523">
        <f t="shared" si="677"/>
        <v>0</v>
      </c>
      <c r="I596" s="523">
        <f t="shared" si="678"/>
        <v>0</v>
      </c>
      <c r="J596" s="523"/>
      <c r="K596" s="523"/>
      <c r="L596" s="523">
        <f t="shared" si="679"/>
        <v>0</v>
      </c>
      <c r="M596" s="523"/>
      <c r="N596" s="523"/>
      <c r="O596" s="523">
        <f t="shared" si="680"/>
        <v>0</v>
      </c>
      <c r="P596" s="543">
        <f t="shared" si="682"/>
        <v>0</v>
      </c>
      <c r="Q596" s="543">
        <f t="shared" si="683"/>
        <v>0</v>
      </c>
      <c r="R596" s="523"/>
      <c r="S596" s="523"/>
      <c r="T596" s="523"/>
      <c r="U596" s="523">
        <f t="shared" si="681"/>
        <v>0</v>
      </c>
      <c r="V596" s="523"/>
      <c r="W596" s="523"/>
      <c r="X596" s="523">
        <f t="shared" si="684"/>
        <v>58</v>
      </c>
      <c r="Y596" s="523">
        <f t="shared" si="685"/>
        <v>0</v>
      </c>
      <c r="Z596" s="523"/>
      <c r="AA596" s="523"/>
      <c r="AB596" s="523">
        <f t="shared" si="686"/>
        <v>58</v>
      </c>
      <c r="AC596" s="523"/>
      <c r="AD596" s="523">
        <v>58</v>
      </c>
      <c r="AE596" s="523"/>
      <c r="AF596" s="523"/>
      <c r="AG596" s="523"/>
      <c r="AH596" s="523"/>
      <c r="AI596" s="523"/>
      <c r="AJ596" s="523"/>
      <c r="AK596" s="523">
        <f t="shared" si="676"/>
        <v>0</v>
      </c>
      <c r="AL596" s="523">
        <f t="shared" si="673"/>
        <v>0</v>
      </c>
      <c r="AM596" s="523">
        <f t="shared" si="673"/>
        <v>0</v>
      </c>
      <c r="AN596" s="523">
        <f t="shared" si="674"/>
        <v>0</v>
      </c>
      <c r="AO596" s="523">
        <f t="shared" si="674"/>
        <v>0</v>
      </c>
      <c r="AP596" s="523"/>
      <c r="AQ596" s="524"/>
      <c r="AR596" s="524"/>
    </row>
    <row r="597" spans="1:44" s="83" customFormat="1" hidden="1" outlineLevel="1">
      <c r="A597" s="521"/>
      <c r="B597" s="522" t="s">
        <v>2257</v>
      </c>
      <c r="C597" s="528">
        <f t="shared" si="687"/>
        <v>1.2</v>
      </c>
      <c r="D597" s="523">
        <v>0</v>
      </c>
      <c r="E597" s="523">
        <v>0</v>
      </c>
      <c r="F597" s="523">
        <v>0</v>
      </c>
      <c r="G597" s="523">
        <v>1.2</v>
      </c>
      <c r="H597" s="523">
        <f>I597+L597</f>
        <v>0</v>
      </c>
      <c r="I597" s="523">
        <f>J597+K597</f>
        <v>0</v>
      </c>
      <c r="J597" s="523"/>
      <c r="K597" s="523"/>
      <c r="L597" s="523">
        <f>M597+N597</f>
        <v>0</v>
      </c>
      <c r="M597" s="523"/>
      <c r="N597" s="523"/>
      <c r="O597" s="523">
        <f t="shared" si="680"/>
        <v>0</v>
      </c>
      <c r="P597" s="543">
        <f t="shared" si="682"/>
        <v>0</v>
      </c>
      <c r="Q597" s="543">
        <f t="shared" si="683"/>
        <v>0</v>
      </c>
      <c r="R597" s="523"/>
      <c r="S597" s="523"/>
      <c r="T597" s="523"/>
      <c r="U597" s="523">
        <f t="shared" si="681"/>
        <v>0</v>
      </c>
      <c r="V597" s="523"/>
      <c r="W597" s="523"/>
      <c r="X597" s="523">
        <f t="shared" si="684"/>
        <v>1.2</v>
      </c>
      <c r="Y597" s="523"/>
      <c r="Z597" s="523"/>
      <c r="AA597" s="523"/>
      <c r="AB597" s="523">
        <f t="shared" si="686"/>
        <v>1.2</v>
      </c>
      <c r="AC597" s="523"/>
      <c r="AD597" s="523">
        <v>1.2</v>
      </c>
      <c r="AE597" s="523"/>
      <c r="AF597" s="523"/>
      <c r="AG597" s="523"/>
      <c r="AH597" s="523"/>
      <c r="AI597" s="523"/>
      <c r="AJ597" s="523"/>
      <c r="AK597" s="523">
        <f t="shared" si="676"/>
        <v>0</v>
      </c>
      <c r="AL597" s="523">
        <f t="shared" si="673"/>
        <v>0</v>
      </c>
      <c r="AM597" s="523">
        <f t="shared" si="673"/>
        <v>0</v>
      </c>
      <c r="AN597" s="523">
        <f t="shared" si="674"/>
        <v>0</v>
      </c>
      <c r="AO597" s="523">
        <f t="shared" si="674"/>
        <v>0</v>
      </c>
      <c r="AP597" s="523"/>
      <c r="AQ597" s="524"/>
      <c r="AR597" s="524"/>
    </row>
    <row r="598" spans="1:44" s="83" customFormat="1" hidden="1" outlineLevel="1">
      <c r="A598" s="521">
        <v>4</v>
      </c>
      <c r="B598" s="522" t="s">
        <v>485</v>
      </c>
      <c r="C598" s="528">
        <f t="shared" si="687"/>
        <v>168.76299999999992</v>
      </c>
      <c r="D598" s="523">
        <v>0</v>
      </c>
      <c r="E598" s="523">
        <v>168.76299999999992</v>
      </c>
      <c r="F598" s="523">
        <v>0</v>
      </c>
      <c r="G598" s="523">
        <v>0</v>
      </c>
      <c r="H598" s="523">
        <f t="shared" ref="H598:AR598" si="688">H599</f>
        <v>0</v>
      </c>
      <c r="I598" s="523">
        <f t="shared" si="688"/>
        <v>0</v>
      </c>
      <c r="J598" s="523">
        <f t="shared" si="688"/>
        <v>0</v>
      </c>
      <c r="K598" s="523">
        <f t="shared" si="688"/>
        <v>0</v>
      </c>
      <c r="L598" s="523">
        <f t="shared" si="688"/>
        <v>0</v>
      </c>
      <c r="M598" s="523">
        <f t="shared" si="688"/>
        <v>0</v>
      </c>
      <c r="N598" s="523">
        <f t="shared" si="688"/>
        <v>0</v>
      </c>
      <c r="O598" s="523">
        <f t="shared" si="688"/>
        <v>106.9404</v>
      </c>
      <c r="P598" s="543">
        <f t="shared" si="682"/>
        <v>0</v>
      </c>
      <c r="Q598" s="543">
        <f t="shared" si="683"/>
        <v>106.9404</v>
      </c>
      <c r="R598" s="523">
        <f t="shared" si="688"/>
        <v>106.9404</v>
      </c>
      <c r="S598" s="523">
        <f t="shared" si="688"/>
        <v>0</v>
      </c>
      <c r="T598" s="523">
        <f t="shared" si="688"/>
        <v>106.9404</v>
      </c>
      <c r="U598" s="523">
        <f t="shared" si="688"/>
        <v>0</v>
      </c>
      <c r="V598" s="523">
        <f t="shared" si="688"/>
        <v>0</v>
      </c>
      <c r="W598" s="523">
        <f t="shared" si="688"/>
        <v>0</v>
      </c>
      <c r="X598" s="523">
        <f t="shared" si="688"/>
        <v>0</v>
      </c>
      <c r="Y598" s="523">
        <f t="shared" si="688"/>
        <v>0</v>
      </c>
      <c r="Z598" s="523">
        <f t="shared" si="688"/>
        <v>0</v>
      </c>
      <c r="AA598" s="523">
        <f t="shared" si="688"/>
        <v>0</v>
      </c>
      <c r="AB598" s="523">
        <f t="shared" si="688"/>
        <v>0</v>
      </c>
      <c r="AC598" s="523">
        <f t="shared" si="688"/>
        <v>0</v>
      </c>
      <c r="AD598" s="523">
        <f t="shared" si="688"/>
        <v>0</v>
      </c>
      <c r="AE598" s="523">
        <f t="shared" si="688"/>
        <v>0</v>
      </c>
      <c r="AF598" s="523">
        <f t="shared" si="688"/>
        <v>0</v>
      </c>
      <c r="AG598" s="523">
        <f t="shared" si="688"/>
        <v>0</v>
      </c>
      <c r="AH598" s="523">
        <f t="shared" si="688"/>
        <v>0</v>
      </c>
      <c r="AI598" s="523">
        <f t="shared" si="688"/>
        <v>0</v>
      </c>
      <c r="AJ598" s="523">
        <f t="shared" si="688"/>
        <v>0</v>
      </c>
      <c r="AK598" s="523">
        <f t="shared" si="688"/>
        <v>61.822599999999923</v>
      </c>
      <c r="AL598" s="523">
        <f t="shared" si="688"/>
        <v>0</v>
      </c>
      <c r="AM598" s="523">
        <f t="shared" si="688"/>
        <v>61.822599999999923</v>
      </c>
      <c r="AN598" s="523">
        <f t="shared" si="688"/>
        <v>0</v>
      </c>
      <c r="AO598" s="523">
        <f t="shared" si="688"/>
        <v>0</v>
      </c>
      <c r="AP598" s="523"/>
      <c r="AQ598" s="524">
        <f t="shared" si="688"/>
        <v>0</v>
      </c>
      <c r="AR598" s="524">
        <f t="shared" si="688"/>
        <v>61.822599999999923</v>
      </c>
    </row>
    <row r="599" spans="1:44" s="83" customFormat="1" hidden="1" outlineLevel="1">
      <c r="A599" s="521"/>
      <c r="B599" s="522" t="s">
        <v>178</v>
      </c>
      <c r="C599" s="528">
        <f t="shared" si="687"/>
        <v>168.76299999999992</v>
      </c>
      <c r="D599" s="523">
        <v>0</v>
      </c>
      <c r="E599" s="523">
        <v>168.76299999999992</v>
      </c>
      <c r="F599" s="523">
        <v>0</v>
      </c>
      <c r="G599" s="523">
        <v>0</v>
      </c>
      <c r="H599" s="523">
        <f>I599+L599</f>
        <v>0</v>
      </c>
      <c r="I599" s="523">
        <f>J599+K599</f>
        <v>0</v>
      </c>
      <c r="J599" s="523"/>
      <c r="K599" s="523"/>
      <c r="L599" s="523"/>
      <c r="M599" s="523"/>
      <c r="N599" s="523"/>
      <c r="O599" s="523">
        <f>R599+U599</f>
        <v>106.9404</v>
      </c>
      <c r="P599" s="543">
        <f t="shared" si="682"/>
        <v>0</v>
      </c>
      <c r="Q599" s="543">
        <f t="shared" si="683"/>
        <v>106.9404</v>
      </c>
      <c r="R599" s="523">
        <f>S599+T599</f>
        <v>106.9404</v>
      </c>
      <c r="S599" s="523"/>
      <c r="T599" s="523">
        <v>106.9404</v>
      </c>
      <c r="U599" s="523"/>
      <c r="V599" s="523"/>
      <c r="W599" s="523"/>
      <c r="X599" s="523"/>
      <c r="Y599" s="523"/>
      <c r="Z599" s="523"/>
      <c r="AA599" s="523"/>
      <c r="AB599" s="523"/>
      <c r="AC599" s="523"/>
      <c r="AD599" s="523"/>
      <c r="AE599" s="523"/>
      <c r="AF599" s="523"/>
      <c r="AG599" s="523"/>
      <c r="AH599" s="523"/>
      <c r="AI599" s="523"/>
      <c r="AJ599" s="523"/>
      <c r="AK599" s="523">
        <f t="shared" si="676"/>
        <v>61.822599999999923</v>
      </c>
      <c r="AL599" s="523">
        <f t="shared" si="673"/>
        <v>0</v>
      </c>
      <c r="AM599" s="523">
        <f t="shared" si="673"/>
        <v>61.822599999999923</v>
      </c>
      <c r="AN599" s="523">
        <f t="shared" si="674"/>
        <v>0</v>
      </c>
      <c r="AO599" s="523">
        <f t="shared" si="674"/>
        <v>0</v>
      </c>
      <c r="AP599" s="523"/>
      <c r="AQ599" s="524"/>
      <c r="AR599" s="524">
        <v>61.822599999999923</v>
      </c>
    </row>
    <row r="600" spans="1:44" s="83" customFormat="1" ht="31.2" hidden="1" outlineLevel="1">
      <c r="A600" s="521">
        <v>5</v>
      </c>
      <c r="B600" s="522" t="s">
        <v>508</v>
      </c>
      <c r="C600" s="528">
        <f>C601</f>
        <v>1450</v>
      </c>
      <c r="D600" s="528">
        <f t="shared" ref="D600:AR600" si="689">D601</f>
        <v>0</v>
      </c>
      <c r="E600" s="528">
        <f t="shared" si="689"/>
        <v>1450</v>
      </c>
      <c r="F600" s="528">
        <f t="shared" si="689"/>
        <v>0</v>
      </c>
      <c r="G600" s="528">
        <f t="shared" si="689"/>
        <v>0</v>
      </c>
      <c r="H600" s="528">
        <f t="shared" si="689"/>
        <v>0</v>
      </c>
      <c r="I600" s="528">
        <f t="shared" si="689"/>
        <v>0</v>
      </c>
      <c r="J600" s="528">
        <f t="shared" si="689"/>
        <v>0</v>
      </c>
      <c r="K600" s="528">
        <f t="shared" si="689"/>
        <v>0</v>
      </c>
      <c r="L600" s="528">
        <f t="shared" si="689"/>
        <v>0</v>
      </c>
      <c r="M600" s="528">
        <f t="shared" si="689"/>
        <v>0</v>
      </c>
      <c r="N600" s="528">
        <f t="shared" si="689"/>
        <v>0</v>
      </c>
      <c r="O600" s="528">
        <f t="shared" si="689"/>
        <v>593.67999999999995</v>
      </c>
      <c r="P600" s="543">
        <f t="shared" si="682"/>
        <v>0</v>
      </c>
      <c r="Q600" s="543">
        <f t="shared" si="683"/>
        <v>593.67999999999995</v>
      </c>
      <c r="R600" s="528">
        <f t="shared" si="689"/>
        <v>593.67999999999995</v>
      </c>
      <c r="S600" s="528">
        <f t="shared" si="689"/>
        <v>0</v>
      </c>
      <c r="T600" s="528">
        <f t="shared" si="689"/>
        <v>593.67999999999995</v>
      </c>
      <c r="U600" s="528">
        <f t="shared" si="689"/>
        <v>0</v>
      </c>
      <c r="V600" s="528">
        <f t="shared" si="689"/>
        <v>0</v>
      </c>
      <c r="W600" s="528">
        <f t="shared" si="689"/>
        <v>0</v>
      </c>
      <c r="X600" s="528">
        <f t="shared" si="689"/>
        <v>0</v>
      </c>
      <c r="Y600" s="528">
        <f t="shared" si="689"/>
        <v>0</v>
      </c>
      <c r="Z600" s="528">
        <f t="shared" si="689"/>
        <v>0</v>
      </c>
      <c r="AA600" s="528">
        <f t="shared" si="689"/>
        <v>0</v>
      </c>
      <c r="AB600" s="528">
        <f t="shared" si="689"/>
        <v>0</v>
      </c>
      <c r="AC600" s="528">
        <f t="shared" si="689"/>
        <v>0</v>
      </c>
      <c r="AD600" s="528">
        <f t="shared" si="689"/>
        <v>0</v>
      </c>
      <c r="AE600" s="528">
        <f t="shared" si="689"/>
        <v>0</v>
      </c>
      <c r="AF600" s="528">
        <f t="shared" si="689"/>
        <v>0</v>
      </c>
      <c r="AG600" s="528">
        <f t="shared" si="689"/>
        <v>0</v>
      </c>
      <c r="AH600" s="528">
        <f t="shared" si="689"/>
        <v>0</v>
      </c>
      <c r="AI600" s="528">
        <f t="shared" si="689"/>
        <v>0</v>
      </c>
      <c r="AJ600" s="528">
        <f t="shared" si="689"/>
        <v>0</v>
      </c>
      <c r="AK600" s="528">
        <f t="shared" si="689"/>
        <v>856.32</v>
      </c>
      <c r="AL600" s="528">
        <f t="shared" si="689"/>
        <v>0</v>
      </c>
      <c r="AM600" s="528">
        <f t="shared" si="689"/>
        <v>856.32</v>
      </c>
      <c r="AN600" s="528">
        <f t="shared" si="689"/>
        <v>0</v>
      </c>
      <c r="AO600" s="528">
        <f t="shared" si="689"/>
        <v>0</v>
      </c>
      <c r="AP600" s="528"/>
      <c r="AQ600" s="529">
        <f t="shared" si="689"/>
        <v>856.32</v>
      </c>
      <c r="AR600" s="529">
        <f t="shared" si="689"/>
        <v>0</v>
      </c>
    </row>
    <row r="601" spans="1:44" s="83" customFormat="1" hidden="1" outlineLevel="1">
      <c r="A601" s="521"/>
      <c r="B601" s="522" t="s">
        <v>475</v>
      </c>
      <c r="C601" s="528">
        <f t="shared" ref="C601:C639" si="690">SUM(D601:G601)</f>
        <v>1450</v>
      </c>
      <c r="D601" s="523">
        <v>0</v>
      </c>
      <c r="E601" s="523">
        <f>600+850</f>
        <v>1450</v>
      </c>
      <c r="F601" s="523">
        <v>0</v>
      </c>
      <c r="G601" s="523">
        <v>0</v>
      </c>
      <c r="H601" s="523">
        <f>I601+L601</f>
        <v>0</v>
      </c>
      <c r="I601" s="523">
        <f>J601+K601</f>
        <v>0</v>
      </c>
      <c r="J601" s="523"/>
      <c r="K601" s="523"/>
      <c r="L601" s="523"/>
      <c r="M601" s="523"/>
      <c r="N601" s="523"/>
      <c r="O601" s="523">
        <f t="shared" ref="O601" si="691">R601+U601</f>
        <v>593.67999999999995</v>
      </c>
      <c r="P601" s="543">
        <f t="shared" si="682"/>
        <v>0</v>
      </c>
      <c r="Q601" s="543">
        <f t="shared" si="683"/>
        <v>593.67999999999995</v>
      </c>
      <c r="R601" s="523">
        <f t="shared" ref="R601" si="692">S601+T601</f>
        <v>593.67999999999995</v>
      </c>
      <c r="S601" s="523"/>
      <c r="T601" s="523">
        <v>593.67999999999995</v>
      </c>
      <c r="U601" s="523"/>
      <c r="V601" s="523"/>
      <c r="W601" s="523"/>
      <c r="X601" s="523"/>
      <c r="Y601" s="523"/>
      <c r="Z601" s="523"/>
      <c r="AA601" s="523"/>
      <c r="AB601" s="523"/>
      <c r="AC601" s="523"/>
      <c r="AD601" s="523"/>
      <c r="AE601" s="523"/>
      <c r="AF601" s="523"/>
      <c r="AG601" s="523"/>
      <c r="AH601" s="523"/>
      <c r="AI601" s="523"/>
      <c r="AJ601" s="523"/>
      <c r="AK601" s="523">
        <f t="shared" ref="AK601:AK630" si="693">SUM(AL601:AO601)</f>
        <v>856.32</v>
      </c>
      <c r="AL601" s="523">
        <f t="shared" ref="AL601:AM616" si="694">D601+J601-S601-Z601-AF601</f>
        <v>0</v>
      </c>
      <c r="AM601" s="523">
        <f t="shared" si="694"/>
        <v>856.32</v>
      </c>
      <c r="AN601" s="523">
        <f t="shared" ref="AN601:AO616" si="695">F601+M601-V601-AC601-AI601</f>
        <v>0</v>
      </c>
      <c r="AO601" s="523">
        <f t="shared" si="695"/>
        <v>0</v>
      </c>
      <c r="AP601" s="523"/>
      <c r="AQ601" s="524">
        <v>856.32</v>
      </c>
      <c r="AR601" s="524"/>
    </row>
    <row r="602" spans="1:44" s="83" customFormat="1" ht="31.2" hidden="1" outlineLevel="1">
      <c r="A602" s="521">
        <v>6</v>
      </c>
      <c r="B602" s="522" t="s">
        <v>510</v>
      </c>
      <c r="C602" s="528">
        <f t="shared" si="690"/>
        <v>19727</v>
      </c>
      <c r="D602" s="523">
        <v>0</v>
      </c>
      <c r="E602" s="523">
        <v>3500</v>
      </c>
      <c r="F602" s="523">
        <v>0</v>
      </c>
      <c r="G602" s="523">
        <v>16227</v>
      </c>
      <c r="H602" s="523">
        <f t="shared" ref="H602:AJ602" si="696">SUM(H603:H607)</f>
        <v>0</v>
      </c>
      <c r="I602" s="523">
        <f t="shared" si="696"/>
        <v>0</v>
      </c>
      <c r="J602" s="523">
        <f t="shared" si="696"/>
        <v>0</v>
      </c>
      <c r="K602" s="523">
        <f t="shared" si="696"/>
        <v>0</v>
      </c>
      <c r="L602" s="523">
        <f t="shared" si="696"/>
        <v>0</v>
      </c>
      <c r="M602" s="523">
        <f t="shared" si="696"/>
        <v>0</v>
      </c>
      <c r="N602" s="523">
        <f t="shared" si="696"/>
        <v>0</v>
      </c>
      <c r="O602" s="523">
        <f t="shared" si="696"/>
        <v>19652.23</v>
      </c>
      <c r="P602" s="543">
        <f t="shared" si="682"/>
        <v>0</v>
      </c>
      <c r="Q602" s="543">
        <f t="shared" si="683"/>
        <v>19652.23</v>
      </c>
      <c r="R602" s="523">
        <f t="shared" si="696"/>
        <v>3500</v>
      </c>
      <c r="S602" s="523">
        <f t="shared" si="696"/>
        <v>0</v>
      </c>
      <c r="T602" s="523">
        <f t="shared" si="696"/>
        <v>3500</v>
      </c>
      <c r="U602" s="523">
        <f t="shared" si="696"/>
        <v>16152.23</v>
      </c>
      <c r="V602" s="523">
        <f t="shared" si="696"/>
        <v>0</v>
      </c>
      <c r="W602" s="523">
        <f t="shared" si="696"/>
        <v>16152.23</v>
      </c>
      <c r="X602" s="523">
        <f t="shared" si="696"/>
        <v>0</v>
      </c>
      <c r="Y602" s="523">
        <f t="shared" si="696"/>
        <v>0</v>
      </c>
      <c r="Z602" s="523">
        <f t="shared" si="696"/>
        <v>0</v>
      </c>
      <c r="AA602" s="523">
        <f t="shared" si="696"/>
        <v>0</v>
      </c>
      <c r="AB602" s="523">
        <f t="shared" si="696"/>
        <v>0</v>
      </c>
      <c r="AC602" s="523">
        <f t="shared" si="696"/>
        <v>0</v>
      </c>
      <c r="AD602" s="523">
        <f t="shared" si="696"/>
        <v>0</v>
      </c>
      <c r="AE602" s="523">
        <f t="shared" si="696"/>
        <v>0</v>
      </c>
      <c r="AF602" s="523">
        <f t="shared" si="696"/>
        <v>0</v>
      </c>
      <c r="AG602" s="523">
        <f t="shared" si="696"/>
        <v>0</v>
      </c>
      <c r="AH602" s="523">
        <f t="shared" si="696"/>
        <v>0</v>
      </c>
      <c r="AI602" s="523">
        <f t="shared" si="696"/>
        <v>0</v>
      </c>
      <c r="AJ602" s="523">
        <f t="shared" si="696"/>
        <v>0</v>
      </c>
      <c r="AK602" s="523">
        <f t="shared" si="693"/>
        <v>74.770000000000437</v>
      </c>
      <c r="AL602" s="523">
        <f t="shared" si="694"/>
        <v>0</v>
      </c>
      <c r="AM602" s="523">
        <f t="shared" si="694"/>
        <v>0</v>
      </c>
      <c r="AN602" s="523">
        <f t="shared" si="695"/>
        <v>0</v>
      </c>
      <c r="AO602" s="523">
        <f t="shared" si="695"/>
        <v>74.770000000000437</v>
      </c>
      <c r="AP602" s="523"/>
      <c r="AQ602" s="524"/>
      <c r="AR602" s="524"/>
    </row>
    <row r="603" spans="1:44" s="83" customFormat="1" hidden="1" outlineLevel="1">
      <c r="A603" s="521"/>
      <c r="B603" s="522" t="s">
        <v>511</v>
      </c>
      <c r="C603" s="528">
        <f t="shared" si="690"/>
        <v>2000</v>
      </c>
      <c r="D603" s="523">
        <v>0</v>
      </c>
      <c r="E603" s="523">
        <v>2000</v>
      </c>
      <c r="F603" s="523">
        <v>0</v>
      </c>
      <c r="G603" s="523">
        <v>0</v>
      </c>
      <c r="H603" s="523">
        <f>I603+L603</f>
        <v>0</v>
      </c>
      <c r="I603" s="523">
        <f>J603+K603</f>
        <v>0</v>
      </c>
      <c r="J603" s="523"/>
      <c r="K603" s="523"/>
      <c r="L603" s="523">
        <f>M603+N603</f>
        <v>0</v>
      </c>
      <c r="M603" s="523"/>
      <c r="N603" s="523"/>
      <c r="O603" s="523">
        <f t="shared" ref="O603:O605" si="697">R603+U603</f>
        <v>2000</v>
      </c>
      <c r="P603" s="543">
        <f t="shared" si="682"/>
        <v>0</v>
      </c>
      <c r="Q603" s="543">
        <f t="shared" si="683"/>
        <v>2000</v>
      </c>
      <c r="R603" s="523">
        <f t="shared" ref="R603:R605" si="698">S603+T603</f>
        <v>2000</v>
      </c>
      <c r="S603" s="523"/>
      <c r="T603" s="523">
        <v>2000</v>
      </c>
      <c r="U603" s="523">
        <f t="shared" ref="U603:U605" si="699">V603+W603</f>
        <v>0</v>
      </c>
      <c r="V603" s="523"/>
      <c r="W603" s="523"/>
      <c r="X603" s="523"/>
      <c r="Y603" s="523"/>
      <c r="Z603" s="523"/>
      <c r="AA603" s="523"/>
      <c r="AB603" s="523"/>
      <c r="AC603" s="523"/>
      <c r="AD603" s="523"/>
      <c r="AE603" s="523"/>
      <c r="AF603" s="523"/>
      <c r="AG603" s="523"/>
      <c r="AH603" s="523"/>
      <c r="AI603" s="523"/>
      <c r="AJ603" s="523"/>
      <c r="AK603" s="523">
        <f t="shared" si="693"/>
        <v>0</v>
      </c>
      <c r="AL603" s="523">
        <f t="shared" si="694"/>
        <v>0</v>
      </c>
      <c r="AM603" s="523">
        <f t="shared" si="694"/>
        <v>0</v>
      </c>
      <c r="AN603" s="523">
        <f t="shared" si="695"/>
        <v>0</v>
      </c>
      <c r="AO603" s="523">
        <f t="shared" si="695"/>
        <v>0</v>
      </c>
      <c r="AP603" s="523"/>
      <c r="AQ603" s="524"/>
      <c r="AR603" s="524"/>
    </row>
    <row r="604" spans="1:44" s="83" customFormat="1" hidden="1" outlineLevel="1">
      <c r="A604" s="521"/>
      <c r="B604" s="522" t="s">
        <v>471</v>
      </c>
      <c r="C604" s="528">
        <f t="shared" si="690"/>
        <v>1500</v>
      </c>
      <c r="D604" s="523">
        <v>0</v>
      </c>
      <c r="E604" s="523">
        <v>1500</v>
      </c>
      <c r="F604" s="523">
        <v>0</v>
      </c>
      <c r="G604" s="523">
        <v>0</v>
      </c>
      <c r="H604" s="523">
        <f>I604+L604</f>
        <v>0</v>
      </c>
      <c r="I604" s="523">
        <f>J604+K604</f>
        <v>0</v>
      </c>
      <c r="J604" s="523"/>
      <c r="K604" s="523"/>
      <c r="L604" s="523">
        <f>M604+N604</f>
        <v>0</v>
      </c>
      <c r="M604" s="523"/>
      <c r="N604" s="523"/>
      <c r="O604" s="523">
        <f t="shared" si="697"/>
        <v>1500</v>
      </c>
      <c r="P604" s="543">
        <f t="shared" si="682"/>
        <v>0</v>
      </c>
      <c r="Q604" s="543">
        <f t="shared" si="683"/>
        <v>1500</v>
      </c>
      <c r="R604" s="523">
        <f t="shared" si="698"/>
        <v>1500</v>
      </c>
      <c r="S604" s="523"/>
      <c r="T604" s="523">
        <v>1500</v>
      </c>
      <c r="U604" s="523">
        <f t="shared" si="699"/>
        <v>0</v>
      </c>
      <c r="V604" s="523"/>
      <c r="W604" s="523"/>
      <c r="X604" s="523"/>
      <c r="Y604" s="523"/>
      <c r="Z604" s="523"/>
      <c r="AA604" s="523"/>
      <c r="AB604" s="523"/>
      <c r="AC604" s="523"/>
      <c r="AD604" s="523"/>
      <c r="AE604" s="523"/>
      <c r="AF604" s="523"/>
      <c r="AG604" s="523"/>
      <c r="AH604" s="523"/>
      <c r="AI604" s="523"/>
      <c r="AJ604" s="523"/>
      <c r="AK604" s="523">
        <f t="shared" si="693"/>
        <v>0</v>
      </c>
      <c r="AL604" s="523">
        <f t="shared" si="694"/>
        <v>0</v>
      </c>
      <c r="AM604" s="523">
        <f t="shared" si="694"/>
        <v>0</v>
      </c>
      <c r="AN604" s="523">
        <f t="shared" si="695"/>
        <v>0</v>
      </c>
      <c r="AO604" s="523">
        <f t="shared" si="695"/>
        <v>0</v>
      </c>
      <c r="AP604" s="523"/>
      <c r="AQ604" s="524"/>
      <c r="AR604" s="524"/>
    </row>
    <row r="605" spans="1:44" s="83" customFormat="1" hidden="1" outlineLevel="1">
      <c r="A605" s="521"/>
      <c r="B605" s="522" t="s">
        <v>2258</v>
      </c>
      <c r="C605" s="528">
        <f t="shared" si="690"/>
        <v>1500</v>
      </c>
      <c r="D605" s="523">
        <v>0</v>
      </c>
      <c r="E605" s="523">
        <v>0</v>
      </c>
      <c r="F605" s="523">
        <v>0</v>
      </c>
      <c r="G605" s="523">
        <v>1500</v>
      </c>
      <c r="H605" s="523">
        <f>I605+L605</f>
        <v>0</v>
      </c>
      <c r="I605" s="523">
        <f>J605+K605</f>
        <v>0</v>
      </c>
      <c r="J605" s="523"/>
      <c r="K605" s="523"/>
      <c r="L605" s="523">
        <f>M605+N605</f>
        <v>0</v>
      </c>
      <c r="M605" s="523"/>
      <c r="N605" s="523"/>
      <c r="O605" s="523">
        <f t="shared" si="697"/>
        <v>1500</v>
      </c>
      <c r="P605" s="543">
        <f t="shared" si="682"/>
        <v>0</v>
      </c>
      <c r="Q605" s="543">
        <f t="shared" si="683"/>
        <v>1500</v>
      </c>
      <c r="R605" s="523">
        <f t="shared" si="698"/>
        <v>0</v>
      </c>
      <c r="S605" s="523"/>
      <c r="T605" s="523"/>
      <c r="U605" s="523">
        <f t="shared" si="699"/>
        <v>1500</v>
      </c>
      <c r="V605" s="523"/>
      <c r="W605" s="523">
        <v>1500</v>
      </c>
      <c r="X605" s="523"/>
      <c r="Y605" s="523"/>
      <c r="Z605" s="523"/>
      <c r="AA605" s="523"/>
      <c r="AB605" s="523"/>
      <c r="AC605" s="523"/>
      <c r="AD605" s="523"/>
      <c r="AE605" s="523"/>
      <c r="AF605" s="523"/>
      <c r="AG605" s="523"/>
      <c r="AH605" s="523"/>
      <c r="AI605" s="523"/>
      <c r="AJ605" s="523"/>
      <c r="AK605" s="523">
        <f t="shared" si="693"/>
        <v>0</v>
      </c>
      <c r="AL605" s="523">
        <f t="shared" si="694"/>
        <v>0</v>
      </c>
      <c r="AM605" s="523">
        <f t="shared" si="694"/>
        <v>0</v>
      </c>
      <c r="AN605" s="523">
        <f t="shared" si="695"/>
        <v>0</v>
      </c>
      <c r="AO605" s="523">
        <f t="shared" si="695"/>
        <v>0</v>
      </c>
      <c r="AP605" s="523"/>
      <c r="AQ605" s="524"/>
      <c r="AR605" s="524"/>
    </row>
    <row r="606" spans="1:44" s="83" customFormat="1" hidden="1" outlineLevel="1">
      <c r="A606" s="521"/>
      <c r="B606" s="522" t="s">
        <v>193</v>
      </c>
      <c r="C606" s="528">
        <f t="shared" si="690"/>
        <v>13727</v>
      </c>
      <c r="D606" s="523">
        <v>0</v>
      </c>
      <c r="E606" s="523">
        <v>0</v>
      </c>
      <c r="F606" s="523">
        <v>0</v>
      </c>
      <c r="G606" s="523">
        <v>13727</v>
      </c>
      <c r="H606" s="523">
        <f>I606+L606</f>
        <v>0</v>
      </c>
      <c r="I606" s="523">
        <f>J606+K606</f>
        <v>0</v>
      </c>
      <c r="J606" s="523"/>
      <c r="K606" s="523"/>
      <c r="L606" s="523">
        <f>M606+N606</f>
        <v>0</v>
      </c>
      <c r="M606" s="523"/>
      <c r="N606" s="523"/>
      <c r="O606" s="523">
        <f>R606+U606</f>
        <v>13652.23</v>
      </c>
      <c r="P606" s="543">
        <f t="shared" si="682"/>
        <v>0</v>
      </c>
      <c r="Q606" s="543">
        <f t="shared" si="683"/>
        <v>13652.23</v>
      </c>
      <c r="R606" s="523">
        <f>S606+T606</f>
        <v>0</v>
      </c>
      <c r="S606" s="523"/>
      <c r="T606" s="523"/>
      <c r="U606" s="523">
        <f>V606+W606</f>
        <v>13652.23</v>
      </c>
      <c r="V606" s="523"/>
      <c r="W606" s="523">
        <v>13652.23</v>
      </c>
      <c r="X606" s="523"/>
      <c r="Y606" s="523"/>
      <c r="Z606" s="523"/>
      <c r="AA606" s="523"/>
      <c r="AB606" s="523"/>
      <c r="AC606" s="523"/>
      <c r="AD606" s="523"/>
      <c r="AE606" s="523"/>
      <c r="AF606" s="523"/>
      <c r="AG606" s="523"/>
      <c r="AH606" s="523"/>
      <c r="AI606" s="523"/>
      <c r="AJ606" s="523"/>
      <c r="AK606" s="523">
        <f t="shared" si="693"/>
        <v>74.770000000000437</v>
      </c>
      <c r="AL606" s="523">
        <f t="shared" si="694"/>
        <v>0</v>
      </c>
      <c r="AM606" s="523">
        <f t="shared" si="694"/>
        <v>0</v>
      </c>
      <c r="AN606" s="523">
        <f t="shared" si="695"/>
        <v>0</v>
      </c>
      <c r="AO606" s="523">
        <f t="shared" si="695"/>
        <v>74.770000000000437</v>
      </c>
      <c r="AP606" s="523"/>
      <c r="AQ606" s="524"/>
      <c r="AR606" s="524"/>
    </row>
    <row r="607" spans="1:44" s="83" customFormat="1" hidden="1" outlineLevel="1">
      <c r="A607" s="521"/>
      <c r="B607" s="522" t="s">
        <v>394</v>
      </c>
      <c r="C607" s="528">
        <f t="shared" si="690"/>
        <v>1000</v>
      </c>
      <c r="D607" s="523">
        <v>0</v>
      </c>
      <c r="E607" s="523">
        <v>0</v>
      </c>
      <c r="F607" s="523">
        <v>0</v>
      </c>
      <c r="G607" s="523">
        <v>1000</v>
      </c>
      <c r="H607" s="523">
        <f>I607+L607</f>
        <v>0</v>
      </c>
      <c r="I607" s="523">
        <f>J607+K607</f>
        <v>0</v>
      </c>
      <c r="J607" s="523"/>
      <c r="K607" s="523"/>
      <c r="L607" s="523">
        <f>M607+N607</f>
        <v>0</v>
      </c>
      <c r="M607" s="523"/>
      <c r="N607" s="523"/>
      <c r="O607" s="523">
        <f>R607+U607</f>
        <v>1000</v>
      </c>
      <c r="P607" s="543">
        <f t="shared" si="682"/>
        <v>0</v>
      </c>
      <c r="Q607" s="543">
        <f t="shared" si="683"/>
        <v>1000</v>
      </c>
      <c r="R607" s="523">
        <f>S607+T607</f>
        <v>0</v>
      </c>
      <c r="S607" s="523"/>
      <c r="T607" s="523"/>
      <c r="U607" s="523">
        <f>V607+W607</f>
        <v>1000</v>
      </c>
      <c r="V607" s="523"/>
      <c r="W607" s="523">
        <v>1000</v>
      </c>
      <c r="X607" s="523"/>
      <c r="Y607" s="523"/>
      <c r="Z607" s="523"/>
      <c r="AA607" s="523"/>
      <c r="AB607" s="523"/>
      <c r="AC607" s="523"/>
      <c r="AD607" s="523"/>
      <c r="AE607" s="523"/>
      <c r="AF607" s="523"/>
      <c r="AG607" s="523"/>
      <c r="AH607" s="523"/>
      <c r="AI607" s="523"/>
      <c r="AJ607" s="523"/>
      <c r="AK607" s="523">
        <f t="shared" si="693"/>
        <v>0</v>
      </c>
      <c r="AL607" s="523">
        <f t="shared" si="694"/>
        <v>0</v>
      </c>
      <c r="AM607" s="523">
        <f t="shared" si="694"/>
        <v>0</v>
      </c>
      <c r="AN607" s="523">
        <f t="shared" si="695"/>
        <v>0</v>
      </c>
      <c r="AO607" s="523">
        <f t="shared" si="695"/>
        <v>0</v>
      </c>
      <c r="AP607" s="523"/>
      <c r="AQ607" s="524"/>
      <c r="AR607" s="524"/>
    </row>
    <row r="608" spans="1:44" s="83" customFormat="1" hidden="1" outlineLevel="1">
      <c r="A608" s="521">
        <v>7</v>
      </c>
      <c r="B608" s="522" t="s">
        <v>517</v>
      </c>
      <c r="C608" s="528">
        <f t="shared" si="690"/>
        <v>1225</v>
      </c>
      <c r="D608" s="523">
        <v>0</v>
      </c>
      <c r="E608" s="523">
        <v>1225</v>
      </c>
      <c r="F608" s="523">
        <v>0</v>
      </c>
      <c r="G608" s="523">
        <v>0</v>
      </c>
      <c r="H608" s="523">
        <f t="shared" ref="H608:J608" si="700">H609</f>
        <v>0</v>
      </c>
      <c r="I608" s="523">
        <f t="shared" si="700"/>
        <v>0</v>
      </c>
      <c r="J608" s="523">
        <f t="shared" si="700"/>
        <v>0</v>
      </c>
      <c r="K608" s="523">
        <f>K609</f>
        <v>0</v>
      </c>
      <c r="L608" s="523">
        <f t="shared" ref="L608:AJ608" si="701">L609</f>
        <v>0</v>
      </c>
      <c r="M608" s="523">
        <f t="shared" si="701"/>
        <v>0</v>
      </c>
      <c r="N608" s="523">
        <f t="shared" si="701"/>
        <v>0</v>
      </c>
      <c r="O608" s="523">
        <f t="shared" si="701"/>
        <v>1225</v>
      </c>
      <c r="P608" s="543">
        <f t="shared" si="682"/>
        <v>0</v>
      </c>
      <c r="Q608" s="543">
        <f t="shared" si="683"/>
        <v>1225</v>
      </c>
      <c r="R608" s="523">
        <f t="shared" si="701"/>
        <v>1225</v>
      </c>
      <c r="S608" s="523">
        <f t="shared" si="701"/>
        <v>0</v>
      </c>
      <c r="T608" s="523">
        <f t="shared" si="701"/>
        <v>1225</v>
      </c>
      <c r="U608" s="523">
        <f t="shared" si="701"/>
        <v>0</v>
      </c>
      <c r="V608" s="523">
        <f t="shared" si="701"/>
        <v>0</v>
      </c>
      <c r="W608" s="523">
        <f t="shared" si="701"/>
        <v>0</v>
      </c>
      <c r="X608" s="523">
        <f t="shared" si="701"/>
        <v>0</v>
      </c>
      <c r="Y608" s="523">
        <f t="shared" si="701"/>
        <v>0</v>
      </c>
      <c r="Z608" s="523">
        <f t="shared" si="701"/>
        <v>0</v>
      </c>
      <c r="AA608" s="523">
        <f t="shared" si="701"/>
        <v>0</v>
      </c>
      <c r="AB608" s="523">
        <f t="shared" si="701"/>
        <v>0</v>
      </c>
      <c r="AC608" s="523">
        <f t="shared" si="701"/>
        <v>0</v>
      </c>
      <c r="AD608" s="523">
        <f t="shared" si="701"/>
        <v>0</v>
      </c>
      <c r="AE608" s="523">
        <f t="shared" si="701"/>
        <v>0</v>
      </c>
      <c r="AF608" s="523">
        <f t="shared" si="701"/>
        <v>0</v>
      </c>
      <c r="AG608" s="523">
        <f t="shared" si="701"/>
        <v>0</v>
      </c>
      <c r="AH608" s="523">
        <f t="shared" si="701"/>
        <v>0</v>
      </c>
      <c r="AI608" s="523">
        <f t="shared" si="701"/>
        <v>0</v>
      </c>
      <c r="AJ608" s="523">
        <f t="shared" si="701"/>
        <v>0</v>
      </c>
      <c r="AK608" s="523">
        <f t="shared" si="693"/>
        <v>0</v>
      </c>
      <c r="AL608" s="523">
        <f t="shared" si="694"/>
        <v>0</v>
      </c>
      <c r="AM608" s="523">
        <f t="shared" si="694"/>
        <v>0</v>
      </c>
      <c r="AN608" s="523">
        <f t="shared" si="695"/>
        <v>0</v>
      </c>
      <c r="AO608" s="523">
        <f t="shared" si="695"/>
        <v>0</v>
      </c>
      <c r="AP608" s="523"/>
      <c r="AQ608" s="524"/>
      <c r="AR608" s="524"/>
    </row>
    <row r="609" spans="1:44" s="83" customFormat="1" hidden="1" outlineLevel="1">
      <c r="A609" s="521"/>
      <c r="B609" s="522" t="s">
        <v>518</v>
      </c>
      <c r="C609" s="528">
        <f t="shared" si="690"/>
        <v>1225</v>
      </c>
      <c r="D609" s="523">
        <v>0</v>
      </c>
      <c r="E609" s="523">
        <v>1225</v>
      </c>
      <c r="F609" s="523">
        <v>0</v>
      </c>
      <c r="G609" s="523">
        <v>0</v>
      </c>
      <c r="H609" s="523">
        <f>I609+L609</f>
        <v>0</v>
      </c>
      <c r="I609" s="523">
        <f>J609+K609</f>
        <v>0</v>
      </c>
      <c r="J609" s="523"/>
      <c r="K609" s="523"/>
      <c r="L609" s="523"/>
      <c r="M609" s="523"/>
      <c r="N609" s="523"/>
      <c r="O609" s="523">
        <f>R609+U609</f>
        <v>1225</v>
      </c>
      <c r="P609" s="543">
        <f t="shared" si="682"/>
        <v>0</v>
      </c>
      <c r="Q609" s="543">
        <f t="shared" si="683"/>
        <v>1225</v>
      </c>
      <c r="R609" s="523">
        <f>S609+T609</f>
        <v>1225</v>
      </c>
      <c r="S609" s="523"/>
      <c r="T609" s="523">
        <v>1225</v>
      </c>
      <c r="U609" s="523"/>
      <c r="V609" s="523"/>
      <c r="W609" s="523"/>
      <c r="X609" s="523"/>
      <c r="Y609" s="523"/>
      <c r="Z609" s="523"/>
      <c r="AA609" s="523"/>
      <c r="AB609" s="523"/>
      <c r="AC609" s="523"/>
      <c r="AD609" s="523"/>
      <c r="AE609" s="523"/>
      <c r="AF609" s="523"/>
      <c r="AG609" s="523"/>
      <c r="AH609" s="523"/>
      <c r="AI609" s="523"/>
      <c r="AJ609" s="523"/>
      <c r="AK609" s="523">
        <f t="shared" si="693"/>
        <v>0</v>
      </c>
      <c r="AL609" s="523">
        <f t="shared" si="694"/>
        <v>0</v>
      </c>
      <c r="AM609" s="523">
        <f t="shared" si="694"/>
        <v>0</v>
      </c>
      <c r="AN609" s="523">
        <f t="shared" si="695"/>
        <v>0</v>
      </c>
      <c r="AO609" s="523">
        <f t="shared" si="695"/>
        <v>0</v>
      </c>
      <c r="AP609" s="523"/>
      <c r="AQ609" s="524"/>
      <c r="AR609" s="524"/>
    </row>
    <row r="610" spans="1:44" s="83" customFormat="1" hidden="1" outlineLevel="1">
      <c r="A610" s="567">
        <v>8</v>
      </c>
      <c r="B610" s="522" t="s">
        <v>533</v>
      </c>
      <c r="C610" s="528">
        <f t="shared" si="690"/>
        <v>285.55700000000002</v>
      </c>
      <c r="D610" s="523">
        <v>0</v>
      </c>
      <c r="E610" s="523">
        <v>0</v>
      </c>
      <c r="F610" s="523">
        <v>0</v>
      </c>
      <c r="G610" s="523">
        <v>285.55700000000002</v>
      </c>
      <c r="H610" s="523">
        <f t="shared" ref="H610:AJ610" si="702">SUM(H611:H611)</f>
        <v>0</v>
      </c>
      <c r="I610" s="523">
        <f t="shared" si="702"/>
        <v>0</v>
      </c>
      <c r="J610" s="523">
        <f t="shared" si="702"/>
        <v>0</v>
      </c>
      <c r="K610" s="523">
        <f t="shared" si="702"/>
        <v>0</v>
      </c>
      <c r="L610" s="523">
        <f t="shared" si="702"/>
        <v>0</v>
      </c>
      <c r="M610" s="523">
        <f t="shared" si="702"/>
        <v>0</v>
      </c>
      <c r="N610" s="523">
        <f t="shared" si="702"/>
        <v>0</v>
      </c>
      <c r="O610" s="523">
        <f t="shared" si="702"/>
        <v>0</v>
      </c>
      <c r="P610" s="543">
        <f t="shared" si="682"/>
        <v>0</v>
      </c>
      <c r="Q610" s="543">
        <f t="shared" si="683"/>
        <v>0</v>
      </c>
      <c r="R610" s="523">
        <f t="shared" si="702"/>
        <v>0</v>
      </c>
      <c r="S610" s="523">
        <f t="shared" si="702"/>
        <v>0</v>
      </c>
      <c r="T610" s="523">
        <f t="shared" si="702"/>
        <v>0</v>
      </c>
      <c r="U610" s="523">
        <f t="shared" si="702"/>
        <v>0</v>
      </c>
      <c r="V610" s="523">
        <f t="shared" si="702"/>
        <v>0</v>
      </c>
      <c r="W610" s="523">
        <f t="shared" si="702"/>
        <v>0</v>
      </c>
      <c r="X610" s="523">
        <f t="shared" si="702"/>
        <v>285.55700000000002</v>
      </c>
      <c r="Y610" s="523">
        <f t="shared" si="702"/>
        <v>0</v>
      </c>
      <c r="Z610" s="523">
        <f t="shared" si="702"/>
        <v>0</v>
      </c>
      <c r="AA610" s="523">
        <f t="shared" si="702"/>
        <v>0</v>
      </c>
      <c r="AB610" s="523">
        <f t="shared" si="702"/>
        <v>285.55700000000002</v>
      </c>
      <c r="AC610" s="523">
        <f t="shared" si="702"/>
        <v>0</v>
      </c>
      <c r="AD610" s="523">
        <f t="shared" si="702"/>
        <v>285.55700000000002</v>
      </c>
      <c r="AE610" s="523">
        <f t="shared" si="702"/>
        <v>0</v>
      </c>
      <c r="AF610" s="523">
        <f t="shared" si="702"/>
        <v>0</v>
      </c>
      <c r="AG610" s="523">
        <f t="shared" si="702"/>
        <v>0</v>
      </c>
      <c r="AH610" s="523">
        <f t="shared" si="702"/>
        <v>0</v>
      </c>
      <c r="AI610" s="523">
        <f t="shared" si="702"/>
        <v>0</v>
      </c>
      <c r="AJ610" s="523">
        <f t="shared" si="702"/>
        <v>0</v>
      </c>
      <c r="AK610" s="523">
        <f t="shared" si="693"/>
        <v>0</v>
      </c>
      <c r="AL610" s="523">
        <f t="shared" si="694"/>
        <v>0</v>
      </c>
      <c r="AM610" s="523">
        <f t="shared" si="694"/>
        <v>0</v>
      </c>
      <c r="AN610" s="523">
        <f t="shared" si="695"/>
        <v>0</v>
      </c>
      <c r="AO610" s="523">
        <f t="shared" si="695"/>
        <v>0</v>
      </c>
      <c r="AP610" s="523"/>
      <c r="AQ610" s="524"/>
      <c r="AR610" s="524"/>
    </row>
    <row r="611" spans="1:44" s="83" customFormat="1" hidden="1" outlineLevel="1">
      <c r="A611" s="521"/>
      <c r="B611" s="522" t="s">
        <v>199</v>
      </c>
      <c r="C611" s="528">
        <f t="shared" si="690"/>
        <v>285.55700000000002</v>
      </c>
      <c r="D611" s="523">
        <v>0</v>
      </c>
      <c r="E611" s="523">
        <v>0</v>
      </c>
      <c r="F611" s="523">
        <v>0</v>
      </c>
      <c r="G611" s="523">
        <v>285.55700000000002</v>
      </c>
      <c r="H611" s="523">
        <f>I611+L611</f>
        <v>0</v>
      </c>
      <c r="I611" s="523">
        <f>J611+K611</f>
        <v>0</v>
      </c>
      <c r="J611" s="523"/>
      <c r="K611" s="523"/>
      <c r="L611" s="523">
        <f>M611+N611</f>
        <v>0</v>
      </c>
      <c r="M611" s="523"/>
      <c r="N611" s="523"/>
      <c r="O611" s="523">
        <f>R611+U611</f>
        <v>0</v>
      </c>
      <c r="P611" s="543">
        <f t="shared" si="682"/>
        <v>0</v>
      </c>
      <c r="Q611" s="543">
        <f t="shared" si="683"/>
        <v>0</v>
      </c>
      <c r="R611" s="523">
        <f>S611+T611</f>
        <v>0</v>
      </c>
      <c r="S611" s="523"/>
      <c r="T611" s="523"/>
      <c r="U611" s="523">
        <f>V611+W611</f>
        <v>0</v>
      </c>
      <c r="V611" s="523"/>
      <c r="W611" s="523"/>
      <c r="X611" s="523">
        <f>Y611+AB611+AE611+AH611</f>
        <v>285.55700000000002</v>
      </c>
      <c r="Y611" s="523">
        <f>Z611+AA611</f>
        <v>0</v>
      </c>
      <c r="Z611" s="523"/>
      <c r="AA611" s="523"/>
      <c r="AB611" s="523">
        <f>AC611+AD611</f>
        <v>285.55700000000002</v>
      </c>
      <c r="AC611" s="523"/>
      <c r="AD611" s="523">
        <v>285.55700000000002</v>
      </c>
      <c r="AE611" s="523">
        <f>AF611+AG611</f>
        <v>0</v>
      </c>
      <c r="AF611" s="523"/>
      <c r="AG611" s="523"/>
      <c r="AH611" s="523">
        <f>AI611+AJ611</f>
        <v>0</v>
      </c>
      <c r="AI611" s="523"/>
      <c r="AJ611" s="523"/>
      <c r="AK611" s="523">
        <f t="shared" si="693"/>
        <v>0</v>
      </c>
      <c r="AL611" s="523">
        <f t="shared" si="694"/>
        <v>0</v>
      </c>
      <c r="AM611" s="523">
        <f t="shared" si="694"/>
        <v>0</v>
      </c>
      <c r="AN611" s="523">
        <f t="shared" si="695"/>
        <v>0</v>
      </c>
      <c r="AO611" s="523">
        <f t="shared" si="695"/>
        <v>0</v>
      </c>
      <c r="AP611" s="523"/>
      <c r="AQ611" s="524"/>
      <c r="AR611" s="524"/>
    </row>
    <row r="612" spans="1:44" s="83" customFormat="1" hidden="1" outlineLevel="1">
      <c r="A612" s="567">
        <v>9</v>
      </c>
      <c r="B612" s="554" t="s">
        <v>534</v>
      </c>
      <c r="C612" s="528">
        <f t="shared" si="690"/>
        <v>52.998866000000135</v>
      </c>
      <c r="D612" s="546">
        <v>0</v>
      </c>
      <c r="E612" s="546">
        <v>0</v>
      </c>
      <c r="F612" s="546">
        <v>0</v>
      </c>
      <c r="G612" s="546">
        <v>52.998866000000135</v>
      </c>
      <c r="H612" s="546">
        <f t="shared" ref="H612:AJ612" si="703">SUM(H613:H613)</f>
        <v>0</v>
      </c>
      <c r="I612" s="546">
        <f t="shared" si="703"/>
        <v>0</v>
      </c>
      <c r="J612" s="546">
        <f t="shared" si="703"/>
        <v>0</v>
      </c>
      <c r="K612" s="546">
        <f t="shared" si="703"/>
        <v>0</v>
      </c>
      <c r="L612" s="546">
        <f t="shared" si="703"/>
        <v>0</v>
      </c>
      <c r="M612" s="546">
        <f t="shared" si="703"/>
        <v>0</v>
      </c>
      <c r="N612" s="546">
        <f t="shared" si="703"/>
        <v>0</v>
      </c>
      <c r="O612" s="546">
        <f t="shared" si="703"/>
        <v>0</v>
      </c>
      <c r="P612" s="543">
        <f t="shared" si="682"/>
        <v>0</v>
      </c>
      <c r="Q612" s="543">
        <f t="shared" si="683"/>
        <v>0</v>
      </c>
      <c r="R612" s="546">
        <f t="shared" si="703"/>
        <v>0</v>
      </c>
      <c r="S612" s="546">
        <f t="shared" si="703"/>
        <v>0</v>
      </c>
      <c r="T612" s="546">
        <f t="shared" si="703"/>
        <v>0</v>
      </c>
      <c r="U612" s="546">
        <f t="shared" si="703"/>
        <v>0</v>
      </c>
      <c r="V612" s="546">
        <f t="shared" si="703"/>
        <v>0</v>
      </c>
      <c r="W612" s="546">
        <f t="shared" si="703"/>
        <v>0</v>
      </c>
      <c r="X612" s="546">
        <f t="shared" si="703"/>
        <v>52.99900000000008</v>
      </c>
      <c r="Y612" s="546">
        <f t="shared" si="703"/>
        <v>0</v>
      </c>
      <c r="Z612" s="546">
        <f t="shared" si="703"/>
        <v>0</v>
      </c>
      <c r="AA612" s="546">
        <f t="shared" si="703"/>
        <v>0</v>
      </c>
      <c r="AB612" s="546">
        <f t="shared" si="703"/>
        <v>52.99900000000008</v>
      </c>
      <c r="AC612" s="546">
        <f t="shared" si="703"/>
        <v>0</v>
      </c>
      <c r="AD612" s="546">
        <f t="shared" si="703"/>
        <v>52.99900000000008</v>
      </c>
      <c r="AE612" s="546">
        <f t="shared" si="703"/>
        <v>0</v>
      </c>
      <c r="AF612" s="546">
        <f t="shared" si="703"/>
        <v>0</v>
      </c>
      <c r="AG612" s="546">
        <f t="shared" si="703"/>
        <v>0</v>
      </c>
      <c r="AH612" s="546">
        <f t="shared" si="703"/>
        <v>0</v>
      </c>
      <c r="AI612" s="546">
        <f t="shared" si="703"/>
        <v>0</v>
      </c>
      <c r="AJ612" s="546">
        <f t="shared" si="703"/>
        <v>0</v>
      </c>
      <c r="AK612" s="546">
        <f t="shared" si="693"/>
        <v>-1.3399999994589962E-4</v>
      </c>
      <c r="AL612" s="546">
        <f t="shared" si="694"/>
        <v>0</v>
      </c>
      <c r="AM612" s="546">
        <f t="shared" si="694"/>
        <v>0</v>
      </c>
      <c r="AN612" s="546">
        <f t="shared" si="695"/>
        <v>0</v>
      </c>
      <c r="AO612" s="546">
        <f t="shared" si="695"/>
        <v>-1.3399999994589962E-4</v>
      </c>
      <c r="AP612" s="546"/>
      <c r="AQ612" s="547"/>
      <c r="AR612" s="547"/>
    </row>
    <row r="613" spans="1:44" s="83" customFormat="1" hidden="1" outlineLevel="1">
      <c r="A613" s="521"/>
      <c r="B613" s="522" t="s">
        <v>188</v>
      </c>
      <c r="C613" s="528">
        <f t="shared" si="690"/>
        <v>52.99900000000008</v>
      </c>
      <c r="D613" s="523">
        <v>0</v>
      </c>
      <c r="E613" s="523">
        <v>0</v>
      </c>
      <c r="F613" s="523">
        <v>0</v>
      </c>
      <c r="G613" s="523">
        <v>52.99900000000008</v>
      </c>
      <c r="H613" s="523">
        <f t="shared" ref="H613" si="704">I613+L613</f>
        <v>0</v>
      </c>
      <c r="I613" s="523">
        <f t="shared" ref="I613" si="705">J613+K613</f>
        <v>0</v>
      </c>
      <c r="J613" s="523"/>
      <c r="K613" s="523">
        <v>0</v>
      </c>
      <c r="L613" s="523">
        <f t="shared" ref="L613" si="706">M613+N613</f>
        <v>0</v>
      </c>
      <c r="M613" s="523"/>
      <c r="N613" s="523"/>
      <c r="O613" s="523">
        <f t="shared" ref="O613:O617" si="707">R613+U613</f>
        <v>0</v>
      </c>
      <c r="P613" s="543">
        <f t="shared" si="682"/>
        <v>0</v>
      </c>
      <c r="Q613" s="543">
        <f t="shared" si="683"/>
        <v>0</v>
      </c>
      <c r="R613" s="523">
        <f t="shared" ref="R613:R617" si="708">S613+T613</f>
        <v>0</v>
      </c>
      <c r="S613" s="523"/>
      <c r="T613" s="523"/>
      <c r="U613" s="523">
        <f t="shared" ref="U613:U617" si="709">V613+W613</f>
        <v>0</v>
      </c>
      <c r="V613" s="523"/>
      <c r="W613" s="523"/>
      <c r="X613" s="523">
        <f t="shared" ref="X613" si="710">Y613+AB613+AE613+AH613</f>
        <v>52.99900000000008</v>
      </c>
      <c r="Y613" s="523">
        <f t="shared" ref="Y613" si="711">Z613+AA613</f>
        <v>0</v>
      </c>
      <c r="Z613" s="523"/>
      <c r="AA613" s="523"/>
      <c r="AB613" s="523">
        <f t="shared" ref="AB613" si="712">AC613+AD613</f>
        <v>52.99900000000008</v>
      </c>
      <c r="AC613" s="523"/>
      <c r="AD613" s="523">
        <v>52.99900000000008</v>
      </c>
      <c r="AE613" s="523">
        <f t="shared" ref="AE613" si="713">AF613+AG613</f>
        <v>0</v>
      </c>
      <c r="AF613" s="523"/>
      <c r="AG613" s="523"/>
      <c r="AH613" s="523">
        <f t="shared" ref="AH613" si="714">AI613+AJ613</f>
        <v>0</v>
      </c>
      <c r="AI613" s="523"/>
      <c r="AJ613" s="523"/>
      <c r="AK613" s="523">
        <f t="shared" si="693"/>
        <v>0</v>
      </c>
      <c r="AL613" s="523">
        <f t="shared" si="694"/>
        <v>0</v>
      </c>
      <c r="AM613" s="523">
        <f t="shared" si="694"/>
        <v>0</v>
      </c>
      <c r="AN613" s="523">
        <f t="shared" si="695"/>
        <v>0</v>
      </c>
      <c r="AO613" s="523">
        <f t="shared" si="695"/>
        <v>0</v>
      </c>
      <c r="AP613" s="523"/>
      <c r="AQ613" s="524"/>
      <c r="AR613" s="524"/>
    </row>
    <row r="614" spans="1:44" s="83" customFormat="1" hidden="1" outlineLevel="1">
      <c r="A614" s="567">
        <v>10</v>
      </c>
      <c r="B614" s="554" t="s">
        <v>536</v>
      </c>
      <c r="C614" s="546">
        <f t="shared" ref="C614:AJ614" si="715">SUM(C615:C617)</f>
        <v>169.71900000000002</v>
      </c>
      <c r="D614" s="546">
        <f t="shared" si="715"/>
        <v>0</v>
      </c>
      <c r="E614" s="546">
        <f t="shared" si="715"/>
        <v>0</v>
      </c>
      <c r="F614" s="546">
        <f t="shared" si="715"/>
        <v>0</v>
      </c>
      <c r="G614" s="546">
        <f t="shared" si="715"/>
        <v>169.71900000000002</v>
      </c>
      <c r="H614" s="546">
        <f t="shared" si="715"/>
        <v>0</v>
      </c>
      <c r="I614" s="546">
        <f t="shared" si="715"/>
        <v>0</v>
      </c>
      <c r="J614" s="546">
        <f t="shared" si="715"/>
        <v>0</v>
      </c>
      <c r="K614" s="546">
        <f t="shared" si="715"/>
        <v>0</v>
      </c>
      <c r="L614" s="546">
        <f t="shared" si="715"/>
        <v>0</v>
      </c>
      <c r="M614" s="546">
        <f t="shared" si="715"/>
        <v>0</v>
      </c>
      <c r="N614" s="546">
        <f t="shared" si="715"/>
        <v>0</v>
      </c>
      <c r="O614" s="546">
        <f t="shared" si="715"/>
        <v>0</v>
      </c>
      <c r="P614" s="543">
        <f t="shared" si="682"/>
        <v>0</v>
      </c>
      <c r="Q614" s="543">
        <f t="shared" si="683"/>
        <v>0</v>
      </c>
      <c r="R614" s="546">
        <f t="shared" si="715"/>
        <v>0</v>
      </c>
      <c r="S614" s="546">
        <f t="shared" si="715"/>
        <v>0</v>
      </c>
      <c r="T614" s="546">
        <f t="shared" si="715"/>
        <v>0</v>
      </c>
      <c r="U614" s="546">
        <f t="shared" si="715"/>
        <v>0</v>
      </c>
      <c r="V614" s="546">
        <f t="shared" si="715"/>
        <v>0</v>
      </c>
      <c r="W614" s="546">
        <f t="shared" si="715"/>
        <v>0</v>
      </c>
      <c r="X614" s="546">
        <f t="shared" si="715"/>
        <v>156.97900000000001</v>
      </c>
      <c r="Y614" s="546">
        <f t="shared" si="715"/>
        <v>0</v>
      </c>
      <c r="Z614" s="546">
        <f t="shared" si="715"/>
        <v>0</v>
      </c>
      <c r="AA614" s="546">
        <f t="shared" si="715"/>
        <v>0</v>
      </c>
      <c r="AB614" s="546">
        <f t="shared" si="715"/>
        <v>156.97900000000001</v>
      </c>
      <c r="AC614" s="546">
        <f t="shared" si="715"/>
        <v>0</v>
      </c>
      <c r="AD614" s="546">
        <f t="shared" si="715"/>
        <v>156.97900000000001</v>
      </c>
      <c r="AE614" s="546">
        <f t="shared" si="715"/>
        <v>0</v>
      </c>
      <c r="AF614" s="546">
        <f t="shared" si="715"/>
        <v>0</v>
      </c>
      <c r="AG614" s="546">
        <f t="shared" si="715"/>
        <v>0</v>
      </c>
      <c r="AH614" s="546">
        <f t="shared" si="715"/>
        <v>0</v>
      </c>
      <c r="AI614" s="546">
        <f t="shared" si="715"/>
        <v>0</v>
      </c>
      <c r="AJ614" s="546">
        <f t="shared" si="715"/>
        <v>0</v>
      </c>
      <c r="AK614" s="546">
        <f t="shared" si="693"/>
        <v>12.740000000000009</v>
      </c>
      <c r="AL614" s="546">
        <f t="shared" si="694"/>
        <v>0</v>
      </c>
      <c r="AM614" s="546">
        <f t="shared" si="694"/>
        <v>0</v>
      </c>
      <c r="AN614" s="546">
        <f t="shared" si="695"/>
        <v>0</v>
      </c>
      <c r="AO614" s="546">
        <f t="shared" si="695"/>
        <v>12.740000000000009</v>
      </c>
      <c r="AP614" s="546"/>
      <c r="AQ614" s="547"/>
      <c r="AR614" s="547"/>
    </row>
    <row r="615" spans="1:44" s="83" customFormat="1" hidden="1" outlineLevel="1">
      <c r="A615" s="521"/>
      <c r="B615" s="522" t="s">
        <v>2259</v>
      </c>
      <c r="C615" s="528">
        <f t="shared" si="690"/>
        <v>12.740000000000002</v>
      </c>
      <c r="D615" s="523">
        <v>0</v>
      </c>
      <c r="E615" s="523">
        <v>0</v>
      </c>
      <c r="F615" s="523">
        <v>0</v>
      </c>
      <c r="G615" s="523">
        <v>12.740000000000002</v>
      </c>
      <c r="H615" s="523">
        <f t="shared" ref="H615:H617" si="716">I615+L615</f>
        <v>0</v>
      </c>
      <c r="I615" s="523">
        <f t="shared" ref="I615:I617" si="717">J615+K615</f>
        <v>0</v>
      </c>
      <c r="J615" s="523"/>
      <c r="K615" s="523">
        <v>0</v>
      </c>
      <c r="L615" s="523">
        <f t="shared" ref="L615:L617" si="718">M615+N615</f>
        <v>0</v>
      </c>
      <c r="M615" s="523"/>
      <c r="N615" s="523"/>
      <c r="O615" s="523">
        <f t="shared" si="707"/>
        <v>0</v>
      </c>
      <c r="P615" s="543">
        <f t="shared" si="682"/>
        <v>0</v>
      </c>
      <c r="Q615" s="543">
        <f t="shared" si="683"/>
        <v>0</v>
      </c>
      <c r="R615" s="523">
        <f t="shared" si="708"/>
        <v>0</v>
      </c>
      <c r="S615" s="523"/>
      <c r="T615" s="523"/>
      <c r="U615" s="523">
        <f t="shared" si="709"/>
        <v>0</v>
      </c>
      <c r="V615" s="523"/>
      <c r="W615" s="523"/>
      <c r="X615" s="523">
        <f t="shared" ref="X615:X617" si="719">Y615+AB615+AE615+AH615</f>
        <v>0</v>
      </c>
      <c r="Y615" s="523">
        <f t="shared" ref="Y615:Y617" si="720">Z615+AA615</f>
        <v>0</v>
      </c>
      <c r="Z615" s="523"/>
      <c r="AA615" s="523"/>
      <c r="AB615" s="523">
        <f t="shared" ref="AB615:AB617" si="721">AC615+AD615</f>
        <v>0</v>
      </c>
      <c r="AC615" s="523"/>
      <c r="AD615" s="523"/>
      <c r="AE615" s="523">
        <f t="shared" ref="AE615:AE617" si="722">AF615+AG615</f>
        <v>0</v>
      </c>
      <c r="AF615" s="523"/>
      <c r="AG615" s="523"/>
      <c r="AH615" s="523">
        <f t="shared" ref="AH615:AH617" si="723">AI615+AJ615</f>
        <v>0</v>
      </c>
      <c r="AI615" s="523"/>
      <c r="AJ615" s="523"/>
      <c r="AK615" s="523">
        <f t="shared" si="693"/>
        <v>12.740000000000002</v>
      </c>
      <c r="AL615" s="523">
        <f t="shared" si="694"/>
        <v>0</v>
      </c>
      <c r="AM615" s="523">
        <f t="shared" si="694"/>
        <v>0</v>
      </c>
      <c r="AN615" s="523">
        <f t="shared" si="695"/>
        <v>0</v>
      </c>
      <c r="AO615" s="523">
        <f t="shared" si="695"/>
        <v>12.740000000000002</v>
      </c>
      <c r="AP615" s="523"/>
      <c r="AQ615" s="524"/>
      <c r="AR615" s="524"/>
    </row>
    <row r="616" spans="1:44" s="83" customFormat="1" hidden="1" outlineLevel="1">
      <c r="A616" s="521"/>
      <c r="B616" s="522" t="s">
        <v>194</v>
      </c>
      <c r="C616" s="528">
        <f t="shared" si="690"/>
        <v>4.7800000000000011</v>
      </c>
      <c r="D616" s="523">
        <v>0</v>
      </c>
      <c r="E616" s="523">
        <v>0</v>
      </c>
      <c r="F616" s="523">
        <v>0</v>
      </c>
      <c r="G616" s="548">
        <v>4.7800000000000011</v>
      </c>
      <c r="H616" s="523">
        <f t="shared" si="716"/>
        <v>0</v>
      </c>
      <c r="I616" s="523">
        <f t="shared" si="717"/>
        <v>0</v>
      </c>
      <c r="J616" s="523"/>
      <c r="K616" s="523">
        <v>0</v>
      </c>
      <c r="L616" s="523">
        <f t="shared" si="718"/>
        <v>0</v>
      </c>
      <c r="M616" s="523"/>
      <c r="N616" s="523"/>
      <c r="O616" s="523">
        <f t="shared" si="707"/>
        <v>0</v>
      </c>
      <c r="P616" s="543">
        <f t="shared" si="682"/>
        <v>0</v>
      </c>
      <c r="Q616" s="543">
        <f t="shared" si="683"/>
        <v>0</v>
      </c>
      <c r="R616" s="523">
        <f t="shared" si="708"/>
        <v>0</v>
      </c>
      <c r="S616" s="523"/>
      <c r="T616" s="523"/>
      <c r="U616" s="523">
        <f t="shared" si="709"/>
        <v>0</v>
      </c>
      <c r="V616" s="523"/>
      <c r="W616" s="523"/>
      <c r="X616" s="523">
        <f t="shared" si="719"/>
        <v>4.7800000000000011</v>
      </c>
      <c r="Y616" s="523">
        <f t="shared" si="720"/>
        <v>0</v>
      </c>
      <c r="Z616" s="523"/>
      <c r="AA616" s="523"/>
      <c r="AB616" s="523">
        <f t="shared" si="721"/>
        <v>4.7800000000000011</v>
      </c>
      <c r="AC616" s="523"/>
      <c r="AD616" s="523">
        <v>4.7800000000000011</v>
      </c>
      <c r="AE616" s="523">
        <f t="shared" si="722"/>
        <v>0</v>
      </c>
      <c r="AF616" s="523"/>
      <c r="AG616" s="523"/>
      <c r="AH616" s="523">
        <f t="shared" si="723"/>
        <v>0</v>
      </c>
      <c r="AI616" s="523"/>
      <c r="AJ616" s="523"/>
      <c r="AK616" s="523">
        <f t="shared" si="693"/>
        <v>0</v>
      </c>
      <c r="AL616" s="523">
        <f t="shared" si="694"/>
        <v>0</v>
      </c>
      <c r="AM616" s="523">
        <f t="shared" si="694"/>
        <v>0</v>
      </c>
      <c r="AN616" s="523">
        <f t="shared" si="695"/>
        <v>0</v>
      </c>
      <c r="AO616" s="523">
        <f t="shared" si="695"/>
        <v>0</v>
      </c>
      <c r="AP616" s="523"/>
      <c r="AQ616" s="524"/>
      <c r="AR616" s="524"/>
    </row>
    <row r="617" spans="1:44" s="83" customFormat="1" hidden="1" outlineLevel="1">
      <c r="A617" s="521"/>
      <c r="B617" s="522" t="s">
        <v>192</v>
      </c>
      <c r="C617" s="528">
        <f t="shared" si="690"/>
        <v>152.19900000000001</v>
      </c>
      <c r="D617" s="523">
        <v>0</v>
      </c>
      <c r="E617" s="523">
        <v>0</v>
      </c>
      <c r="F617" s="523">
        <v>0</v>
      </c>
      <c r="G617" s="523">
        <v>152.19900000000001</v>
      </c>
      <c r="H617" s="523">
        <f t="shared" si="716"/>
        <v>0</v>
      </c>
      <c r="I617" s="523">
        <f t="shared" si="717"/>
        <v>0</v>
      </c>
      <c r="J617" s="523"/>
      <c r="K617" s="523">
        <v>0</v>
      </c>
      <c r="L617" s="523">
        <f t="shared" si="718"/>
        <v>0</v>
      </c>
      <c r="M617" s="523"/>
      <c r="N617" s="523"/>
      <c r="O617" s="523">
        <f t="shared" si="707"/>
        <v>0</v>
      </c>
      <c r="P617" s="543">
        <f t="shared" si="682"/>
        <v>0</v>
      </c>
      <c r="Q617" s="543">
        <f t="shared" si="683"/>
        <v>0</v>
      </c>
      <c r="R617" s="523">
        <f t="shared" si="708"/>
        <v>0</v>
      </c>
      <c r="S617" s="523"/>
      <c r="T617" s="523"/>
      <c r="U617" s="523">
        <f t="shared" si="709"/>
        <v>0</v>
      </c>
      <c r="V617" s="523"/>
      <c r="W617" s="523"/>
      <c r="X617" s="523">
        <f t="shared" si="719"/>
        <v>152.19900000000001</v>
      </c>
      <c r="Y617" s="523">
        <f t="shared" si="720"/>
        <v>0</v>
      </c>
      <c r="Z617" s="523"/>
      <c r="AA617" s="523"/>
      <c r="AB617" s="523">
        <f t="shared" si="721"/>
        <v>152.19900000000001</v>
      </c>
      <c r="AC617" s="523"/>
      <c r="AD617" s="523">
        <v>152.19900000000001</v>
      </c>
      <c r="AE617" s="523">
        <f t="shared" si="722"/>
        <v>0</v>
      </c>
      <c r="AF617" s="523"/>
      <c r="AG617" s="523"/>
      <c r="AH617" s="523">
        <f t="shared" si="723"/>
        <v>0</v>
      </c>
      <c r="AI617" s="523"/>
      <c r="AJ617" s="523"/>
      <c r="AK617" s="523">
        <f t="shared" si="693"/>
        <v>0</v>
      </c>
      <c r="AL617" s="523">
        <f t="shared" ref="AL617:AM619" si="724">D617+J617-S617-Z617-AF617</f>
        <v>0</v>
      </c>
      <c r="AM617" s="523">
        <f t="shared" si="724"/>
        <v>0</v>
      </c>
      <c r="AN617" s="523">
        <f t="shared" ref="AN617:AO619" si="725">F617+M617-V617-AC617-AI617</f>
        <v>0</v>
      </c>
      <c r="AO617" s="523">
        <f t="shared" si="725"/>
        <v>0</v>
      </c>
      <c r="AP617" s="523"/>
      <c r="AQ617" s="524"/>
      <c r="AR617" s="524"/>
    </row>
    <row r="618" spans="1:44" s="83" customFormat="1" ht="31.2" hidden="1" outlineLevel="1">
      <c r="A618" s="541">
        <v>11</v>
      </c>
      <c r="B618" s="560" t="s">
        <v>538</v>
      </c>
      <c r="C618" s="528">
        <f t="shared" si="690"/>
        <v>13</v>
      </c>
      <c r="D618" s="561">
        <v>0</v>
      </c>
      <c r="E618" s="561">
        <v>0</v>
      </c>
      <c r="F618" s="561">
        <v>0</v>
      </c>
      <c r="G618" s="561">
        <v>13</v>
      </c>
      <c r="H618" s="561">
        <f t="shared" ref="H618:AJ618" si="726">SUM(H619:H619)</f>
        <v>0</v>
      </c>
      <c r="I618" s="561">
        <f t="shared" si="726"/>
        <v>0</v>
      </c>
      <c r="J618" s="561">
        <f t="shared" si="726"/>
        <v>0</v>
      </c>
      <c r="K618" s="561">
        <f t="shared" si="726"/>
        <v>0</v>
      </c>
      <c r="L618" s="561">
        <f t="shared" si="726"/>
        <v>0</v>
      </c>
      <c r="M618" s="561">
        <f t="shared" si="726"/>
        <v>0</v>
      </c>
      <c r="N618" s="561">
        <f t="shared" si="726"/>
        <v>0</v>
      </c>
      <c r="O618" s="561">
        <f t="shared" si="726"/>
        <v>0</v>
      </c>
      <c r="P618" s="543">
        <f t="shared" si="682"/>
        <v>0</v>
      </c>
      <c r="Q618" s="543">
        <f t="shared" si="683"/>
        <v>0</v>
      </c>
      <c r="R618" s="561">
        <f t="shared" si="726"/>
        <v>0</v>
      </c>
      <c r="S618" s="561">
        <f t="shared" si="726"/>
        <v>0</v>
      </c>
      <c r="T618" s="561">
        <f t="shared" si="726"/>
        <v>0</v>
      </c>
      <c r="U618" s="561">
        <f t="shared" si="726"/>
        <v>0</v>
      </c>
      <c r="V618" s="561">
        <f t="shared" si="726"/>
        <v>0</v>
      </c>
      <c r="W618" s="561">
        <f t="shared" si="726"/>
        <v>0</v>
      </c>
      <c r="X618" s="561">
        <f t="shared" si="726"/>
        <v>13</v>
      </c>
      <c r="Y618" s="561">
        <f t="shared" si="726"/>
        <v>0</v>
      </c>
      <c r="Z618" s="561">
        <f t="shared" si="726"/>
        <v>0</v>
      </c>
      <c r="AA618" s="561">
        <f t="shared" si="726"/>
        <v>0</v>
      </c>
      <c r="AB618" s="561">
        <f t="shared" si="726"/>
        <v>13</v>
      </c>
      <c r="AC618" s="561">
        <f t="shared" si="726"/>
        <v>0</v>
      </c>
      <c r="AD618" s="561">
        <f t="shared" si="726"/>
        <v>13</v>
      </c>
      <c r="AE618" s="561">
        <f t="shared" si="726"/>
        <v>0</v>
      </c>
      <c r="AF618" s="561">
        <f t="shared" si="726"/>
        <v>0</v>
      </c>
      <c r="AG618" s="561">
        <f t="shared" si="726"/>
        <v>0</v>
      </c>
      <c r="AH618" s="561">
        <f t="shared" si="726"/>
        <v>0</v>
      </c>
      <c r="AI618" s="561">
        <f t="shared" si="726"/>
        <v>0</v>
      </c>
      <c r="AJ618" s="561">
        <f t="shared" si="726"/>
        <v>0</v>
      </c>
      <c r="AK618" s="561">
        <f t="shared" si="693"/>
        <v>0</v>
      </c>
      <c r="AL618" s="561">
        <f t="shared" si="724"/>
        <v>0</v>
      </c>
      <c r="AM618" s="561">
        <f t="shared" si="724"/>
        <v>0</v>
      </c>
      <c r="AN618" s="561">
        <f t="shared" si="725"/>
        <v>0</v>
      </c>
      <c r="AO618" s="561">
        <f t="shared" si="725"/>
        <v>0</v>
      </c>
      <c r="AP618" s="561"/>
      <c r="AQ618" s="562"/>
      <c r="AR618" s="562"/>
    </row>
    <row r="619" spans="1:44" s="83" customFormat="1" hidden="1" outlineLevel="1">
      <c r="A619" s="526"/>
      <c r="B619" s="565" t="s">
        <v>2260</v>
      </c>
      <c r="C619" s="528">
        <f t="shared" si="690"/>
        <v>13</v>
      </c>
      <c r="D619" s="563">
        <v>0</v>
      </c>
      <c r="E619" s="563">
        <v>0</v>
      </c>
      <c r="F619" s="563">
        <v>0</v>
      </c>
      <c r="G619" s="563">
        <v>13</v>
      </c>
      <c r="H619" s="563">
        <f>I619+L619</f>
        <v>0</v>
      </c>
      <c r="I619" s="563">
        <f>J619+K619</f>
        <v>0</v>
      </c>
      <c r="J619" s="563"/>
      <c r="K619" s="563"/>
      <c r="L619" s="563">
        <f>M619+N619</f>
        <v>0</v>
      </c>
      <c r="M619" s="563"/>
      <c r="N619" s="563"/>
      <c r="O619" s="563">
        <f>R619+U619</f>
        <v>0</v>
      </c>
      <c r="P619" s="543">
        <f t="shared" si="682"/>
        <v>0</v>
      </c>
      <c r="Q619" s="543">
        <f t="shared" si="683"/>
        <v>0</v>
      </c>
      <c r="R619" s="563"/>
      <c r="S619" s="563"/>
      <c r="T619" s="563"/>
      <c r="U619" s="563">
        <f>V619+W619</f>
        <v>0</v>
      </c>
      <c r="V619" s="563"/>
      <c r="W619" s="563"/>
      <c r="X619" s="563">
        <f>Y619+AB619+AE619+AH619</f>
        <v>13</v>
      </c>
      <c r="Y619" s="563">
        <f>Z619+AA619</f>
        <v>0</v>
      </c>
      <c r="Z619" s="563"/>
      <c r="AA619" s="563"/>
      <c r="AB619" s="563">
        <f>AC619+AD619</f>
        <v>13</v>
      </c>
      <c r="AC619" s="563"/>
      <c r="AD619" s="563">
        <v>13</v>
      </c>
      <c r="AE619" s="523">
        <f>AF619+AG619</f>
        <v>0</v>
      </c>
      <c r="AF619" s="523"/>
      <c r="AG619" s="523"/>
      <c r="AH619" s="523">
        <f>AI619+AJ619</f>
        <v>0</v>
      </c>
      <c r="AI619" s="563"/>
      <c r="AJ619" s="563"/>
      <c r="AK619" s="523">
        <f t="shared" si="693"/>
        <v>0</v>
      </c>
      <c r="AL619" s="523">
        <f t="shared" si="724"/>
        <v>0</v>
      </c>
      <c r="AM619" s="523">
        <f t="shared" si="724"/>
        <v>0</v>
      </c>
      <c r="AN619" s="523">
        <f t="shared" si="725"/>
        <v>0</v>
      </c>
      <c r="AO619" s="523">
        <f t="shared" si="725"/>
        <v>0</v>
      </c>
      <c r="AP619" s="523"/>
      <c r="AQ619" s="524"/>
      <c r="AR619" s="524"/>
    </row>
    <row r="620" spans="1:44" s="83" customFormat="1" ht="31.2" hidden="1" outlineLevel="1">
      <c r="A620" s="549">
        <v>12</v>
      </c>
      <c r="B620" s="522" t="s">
        <v>539</v>
      </c>
      <c r="C620" s="528">
        <f t="shared" si="690"/>
        <v>42.32</v>
      </c>
      <c r="D620" s="523">
        <v>0</v>
      </c>
      <c r="E620" s="523"/>
      <c r="F620" s="523">
        <v>0</v>
      </c>
      <c r="G620" s="523">
        <v>42.32</v>
      </c>
      <c r="H620" s="523">
        <f t="shared" ref="H620:AO620" si="727">SUM(H621:H621)</f>
        <v>0</v>
      </c>
      <c r="I620" s="523">
        <f t="shared" si="727"/>
        <v>0</v>
      </c>
      <c r="J620" s="523">
        <f t="shared" si="727"/>
        <v>0</v>
      </c>
      <c r="K620" s="523">
        <f t="shared" si="727"/>
        <v>0</v>
      </c>
      <c r="L620" s="523">
        <f t="shared" si="727"/>
        <v>0</v>
      </c>
      <c r="M620" s="523">
        <f t="shared" si="727"/>
        <v>0</v>
      </c>
      <c r="N620" s="523">
        <f t="shared" si="727"/>
        <v>0</v>
      </c>
      <c r="O620" s="523">
        <f t="shared" si="727"/>
        <v>0</v>
      </c>
      <c r="P620" s="543">
        <f t="shared" si="682"/>
        <v>0</v>
      </c>
      <c r="Q620" s="543">
        <f t="shared" si="683"/>
        <v>0</v>
      </c>
      <c r="R620" s="523">
        <f t="shared" si="727"/>
        <v>0</v>
      </c>
      <c r="S620" s="523">
        <f t="shared" si="727"/>
        <v>0</v>
      </c>
      <c r="T620" s="523">
        <f t="shared" si="727"/>
        <v>0</v>
      </c>
      <c r="U620" s="523">
        <f t="shared" si="727"/>
        <v>0</v>
      </c>
      <c r="V620" s="523">
        <f t="shared" si="727"/>
        <v>0</v>
      </c>
      <c r="W620" s="523">
        <f t="shared" si="727"/>
        <v>0</v>
      </c>
      <c r="X620" s="523">
        <f t="shared" si="727"/>
        <v>42.32</v>
      </c>
      <c r="Y620" s="523">
        <f t="shared" si="727"/>
        <v>0</v>
      </c>
      <c r="Z620" s="523">
        <f t="shared" si="727"/>
        <v>0</v>
      </c>
      <c r="AA620" s="523">
        <f t="shared" si="727"/>
        <v>0</v>
      </c>
      <c r="AB620" s="523">
        <f t="shared" si="727"/>
        <v>42.32</v>
      </c>
      <c r="AC620" s="523">
        <f t="shared" si="727"/>
        <v>0</v>
      </c>
      <c r="AD620" s="523">
        <f t="shared" si="727"/>
        <v>42.32</v>
      </c>
      <c r="AE620" s="523">
        <f t="shared" si="727"/>
        <v>0</v>
      </c>
      <c r="AF620" s="523">
        <f t="shared" si="727"/>
        <v>0</v>
      </c>
      <c r="AG620" s="523">
        <f t="shared" si="727"/>
        <v>0</v>
      </c>
      <c r="AH620" s="523">
        <f t="shared" si="727"/>
        <v>0</v>
      </c>
      <c r="AI620" s="523">
        <f t="shared" si="727"/>
        <v>0</v>
      </c>
      <c r="AJ620" s="523">
        <f t="shared" si="727"/>
        <v>0</v>
      </c>
      <c r="AK620" s="523">
        <f t="shared" si="727"/>
        <v>0</v>
      </c>
      <c r="AL620" s="523">
        <f t="shared" si="727"/>
        <v>0</v>
      </c>
      <c r="AM620" s="523">
        <f t="shared" si="727"/>
        <v>0</v>
      </c>
      <c r="AN620" s="523">
        <f t="shared" si="727"/>
        <v>0</v>
      </c>
      <c r="AO620" s="523">
        <f t="shared" si="727"/>
        <v>0</v>
      </c>
      <c r="AP620" s="523"/>
      <c r="AQ620" s="524"/>
      <c r="AR620" s="524"/>
    </row>
    <row r="621" spans="1:44" s="83" customFormat="1" hidden="1" outlineLevel="1">
      <c r="A621" s="549"/>
      <c r="B621" s="522" t="s">
        <v>199</v>
      </c>
      <c r="C621" s="528">
        <f t="shared" si="690"/>
        <v>42.32</v>
      </c>
      <c r="D621" s="523">
        <v>0</v>
      </c>
      <c r="E621" s="523">
        <v>0</v>
      </c>
      <c r="F621" s="523">
        <v>0</v>
      </c>
      <c r="G621" s="523">
        <v>42.32</v>
      </c>
      <c r="H621" s="523"/>
      <c r="I621" s="523"/>
      <c r="J621" s="523"/>
      <c r="K621" s="523"/>
      <c r="L621" s="523"/>
      <c r="M621" s="523"/>
      <c r="N621" s="523"/>
      <c r="O621" s="523">
        <f>R621+U621</f>
        <v>0</v>
      </c>
      <c r="P621" s="543">
        <f t="shared" si="682"/>
        <v>0</v>
      </c>
      <c r="Q621" s="543">
        <f t="shared" si="683"/>
        <v>0</v>
      </c>
      <c r="R621" s="523">
        <f>S621+T621</f>
        <v>0</v>
      </c>
      <c r="S621" s="523"/>
      <c r="T621" s="523"/>
      <c r="U621" s="523">
        <f>V621+W621</f>
        <v>0</v>
      </c>
      <c r="V621" s="523"/>
      <c r="W621" s="523"/>
      <c r="X621" s="563">
        <f>Y621+AB621+AE621+AH621</f>
        <v>42.32</v>
      </c>
      <c r="Y621" s="563">
        <f>Z621+AA621</f>
        <v>0</v>
      </c>
      <c r="Z621" s="563"/>
      <c r="AA621" s="563"/>
      <c r="AB621" s="563">
        <f>AC621+AD621</f>
        <v>42.32</v>
      </c>
      <c r="AC621" s="563"/>
      <c r="AD621" s="523">
        <v>42.32</v>
      </c>
      <c r="AE621" s="523"/>
      <c r="AF621" s="523"/>
      <c r="AG621" s="523"/>
      <c r="AH621" s="523"/>
      <c r="AI621" s="523"/>
      <c r="AJ621" s="523"/>
      <c r="AK621" s="523">
        <f>SUM(AL621:AO621)</f>
        <v>0</v>
      </c>
      <c r="AL621" s="523">
        <f>D621+J621-S621-Z621-AF621</f>
        <v>0</v>
      </c>
      <c r="AM621" s="523">
        <f>E621+K621-T621-AA621-AG621</f>
        <v>0</v>
      </c>
      <c r="AN621" s="523">
        <f>F621+M621-V621-AC621-AI621</f>
        <v>0</v>
      </c>
      <c r="AO621" s="523">
        <f>G621+N621-W621-AD621-AJ621</f>
        <v>0</v>
      </c>
      <c r="AP621" s="523"/>
      <c r="AQ621" s="524"/>
      <c r="AR621" s="524"/>
    </row>
    <row r="622" spans="1:44" s="83" customFormat="1" hidden="1" outlineLevel="1">
      <c r="A622" s="521">
        <v>13</v>
      </c>
      <c r="B622" s="522" t="s">
        <v>544</v>
      </c>
      <c r="C622" s="528">
        <f t="shared" si="690"/>
        <v>5179.1899999999996</v>
      </c>
      <c r="D622" s="523">
        <v>0</v>
      </c>
      <c r="E622" s="523">
        <v>0</v>
      </c>
      <c r="F622" s="523">
        <v>0</v>
      </c>
      <c r="G622" s="523">
        <v>5179.1899999999996</v>
      </c>
      <c r="H622" s="523">
        <f>H623</f>
        <v>0</v>
      </c>
      <c r="I622" s="523">
        <f t="shared" ref="I622:AJ622" si="728">I623</f>
        <v>0</v>
      </c>
      <c r="J622" s="523">
        <f t="shared" si="728"/>
        <v>0</v>
      </c>
      <c r="K622" s="523">
        <f t="shared" si="728"/>
        <v>0</v>
      </c>
      <c r="L622" s="523">
        <f t="shared" si="728"/>
        <v>0</v>
      </c>
      <c r="M622" s="523">
        <f t="shared" si="728"/>
        <v>0</v>
      </c>
      <c r="N622" s="523">
        <f t="shared" si="728"/>
        <v>0</v>
      </c>
      <c r="O622" s="523">
        <f t="shared" si="728"/>
        <v>0</v>
      </c>
      <c r="P622" s="543">
        <f t="shared" si="682"/>
        <v>0</v>
      </c>
      <c r="Q622" s="543">
        <f t="shared" si="683"/>
        <v>0</v>
      </c>
      <c r="R622" s="523">
        <f t="shared" si="728"/>
        <v>0</v>
      </c>
      <c r="S622" s="523">
        <f t="shared" si="728"/>
        <v>0</v>
      </c>
      <c r="T622" s="523">
        <f t="shared" si="728"/>
        <v>0</v>
      </c>
      <c r="U622" s="523">
        <f t="shared" si="728"/>
        <v>0</v>
      </c>
      <c r="V622" s="523">
        <f t="shared" si="728"/>
        <v>0</v>
      </c>
      <c r="W622" s="523">
        <f t="shared" si="728"/>
        <v>0</v>
      </c>
      <c r="X622" s="523">
        <f t="shared" si="728"/>
        <v>0</v>
      </c>
      <c r="Y622" s="523">
        <f t="shared" si="728"/>
        <v>0</v>
      </c>
      <c r="Z622" s="523">
        <f t="shared" si="728"/>
        <v>0</v>
      </c>
      <c r="AA622" s="523">
        <f t="shared" si="728"/>
        <v>0</v>
      </c>
      <c r="AB622" s="523">
        <f t="shared" si="728"/>
        <v>0</v>
      </c>
      <c r="AC622" s="523">
        <f t="shared" si="728"/>
        <v>0</v>
      </c>
      <c r="AD622" s="523">
        <f t="shared" si="728"/>
        <v>0</v>
      </c>
      <c r="AE622" s="523">
        <f t="shared" si="728"/>
        <v>0</v>
      </c>
      <c r="AF622" s="523">
        <f t="shared" si="728"/>
        <v>0</v>
      </c>
      <c r="AG622" s="523">
        <f t="shared" si="728"/>
        <v>0</v>
      </c>
      <c r="AH622" s="523">
        <f t="shared" si="728"/>
        <v>0</v>
      </c>
      <c r="AI622" s="523">
        <f t="shared" si="728"/>
        <v>0</v>
      </c>
      <c r="AJ622" s="523">
        <f t="shared" si="728"/>
        <v>0</v>
      </c>
      <c r="AK622" s="523">
        <f t="shared" si="693"/>
        <v>5179.1899999999996</v>
      </c>
      <c r="AL622" s="523">
        <f t="shared" ref="AL622:AM635" si="729">D622+J622-S622-Z622-AF622</f>
        <v>0</v>
      </c>
      <c r="AM622" s="523">
        <f t="shared" si="729"/>
        <v>0</v>
      </c>
      <c r="AN622" s="523">
        <f t="shared" ref="AN622:AO635" si="730">F622+M622-V622-AC622-AI622</f>
        <v>0</v>
      </c>
      <c r="AO622" s="523">
        <f t="shared" si="730"/>
        <v>5179.1899999999996</v>
      </c>
      <c r="AP622" s="523"/>
      <c r="AQ622" s="524"/>
      <c r="AR622" s="524"/>
    </row>
    <row r="623" spans="1:44" s="83" customFormat="1" ht="31.2" hidden="1" outlineLevel="1">
      <c r="A623" s="521"/>
      <c r="B623" s="522" t="s">
        <v>2261</v>
      </c>
      <c r="C623" s="528">
        <f t="shared" si="690"/>
        <v>5179.1899999999996</v>
      </c>
      <c r="D623" s="523">
        <v>0</v>
      </c>
      <c r="E623" s="523">
        <v>0</v>
      </c>
      <c r="F623" s="523">
        <v>0</v>
      </c>
      <c r="G623" s="523">
        <v>5179.1899999999996</v>
      </c>
      <c r="H623" s="523">
        <f>I623+L623</f>
        <v>0</v>
      </c>
      <c r="I623" s="523">
        <f>J623+K623</f>
        <v>0</v>
      </c>
      <c r="J623" s="523"/>
      <c r="K623" s="523"/>
      <c r="L623" s="523"/>
      <c r="M623" s="523"/>
      <c r="N623" s="523"/>
      <c r="O623" s="523">
        <f t="shared" ref="O623:O625" si="731">R623+U623</f>
        <v>0</v>
      </c>
      <c r="P623" s="543">
        <f t="shared" si="682"/>
        <v>0</v>
      </c>
      <c r="Q623" s="543">
        <f t="shared" si="683"/>
        <v>0</v>
      </c>
      <c r="R623" s="523">
        <f t="shared" ref="R623:R625" si="732">S623+T623</f>
        <v>0</v>
      </c>
      <c r="S623" s="523"/>
      <c r="T623" s="523"/>
      <c r="U623" s="523">
        <f t="shared" ref="U623:U625" si="733">V623+W623</f>
        <v>0</v>
      </c>
      <c r="V623" s="523"/>
      <c r="W623" s="523"/>
      <c r="X623" s="523">
        <f>Y623+AB623+AE623+AH623</f>
        <v>0</v>
      </c>
      <c r="Y623" s="523"/>
      <c r="Z623" s="523"/>
      <c r="AA623" s="523"/>
      <c r="AB623" s="523"/>
      <c r="AC623" s="523"/>
      <c r="AD623" s="523"/>
      <c r="AE623" s="523">
        <f t="shared" ref="AE623:AE629" si="734">AF623+AG623</f>
        <v>0</v>
      </c>
      <c r="AF623" s="523"/>
      <c r="AG623" s="523"/>
      <c r="AH623" s="523">
        <f t="shared" ref="AH623:AH629" si="735">AI623+AJ623</f>
        <v>0</v>
      </c>
      <c r="AI623" s="523"/>
      <c r="AJ623" s="523"/>
      <c r="AK623" s="523">
        <f t="shared" si="693"/>
        <v>5179.1899999999996</v>
      </c>
      <c r="AL623" s="523">
        <f t="shared" si="729"/>
        <v>0</v>
      </c>
      <c r="AM623" s="523">
        <f t="shared" si="729"/>
        <v>0</v>
      </c>
      <c r="AN623" s="523">
        <f t="shared" si="730"/>
        <v>0</v>
      </c>
      <c r="AO623" s="523">
        <f t="shared" si="730"/>
        <v>5179.1899999999996</v>
      </c>
      <c r="AP623" s="523"/>
      <c r="AQ623" s="524"/>
      <c r="AR623" s="524"/>
    </row>
    <row r="624" spans="1:44" s="83" customFormat="1" hidden="1" outlineLevel="1">
      <c r="A624" s="549">
        <v>14</v>
      </c>
      <c r="B624" s="571" t="s">
        <v>545</v>
      </c>
      <c r="C624" s="528">
        <f t="shared" si="690"/>
        <v>1.8390000000000102</v>
      </c>
      <c r="D624" s="523">
        <v>0</v>
      </c>
      <c r="E624" s="523">
        <v>0</v>
      </c>
      <c r="F624" s="523">
        <v>0</v>
      </c>
      <c r="G624" s="523">
        <v>1.8390000000000102</v>
      </c>
      <c r="H624" s="523">
        <f t="shared" ref="H624:AJ624" si="736">H625</f>
        <v>0</v>
      </c>
      <c r="I624" s="523">
        <f t="shared" si="736"/>
        <v>0</v>
      </c>
      <c r="J624" s="523">
        <f t="shared" si="736"/>
        <v>0</v>
      </c>
      <c r="K624" s="523">
        <f t="shared" si="736"/>
        <v>0</v>
      </c>
      <c r="L624" s="523">
        <f t="shared" si="736"/>
        <v>0</v>
      </c>
      <c r="M624" s="523">
        <f t="shared" si="736"/>
        <v>0</v>
      </c>
      <c r="N624" s="523">
        <f t="shared" si="736"/>
        <v>0</v>
      </c>
      <c r="O624" s="523">
        <f t="shared" si="736"/>
        <v>0</v>
      </c>
      <c r="P624" s="543">
        <f t="shared" si="682"/>
        <v>0</v>
      </c>
      <c r="Q624" s="543">
        <f t="shared" si="683"/>
        <v>0</v>
      </c>
      <c r="R624" s="523">
        <f t="shared" si="736"/>
        <v>0</v>
      </c>
      <c r="S624" s="523">
        <f t="shared" si="736"/>
        <v>0</v>
      </c>
      <c r="T624" s="523">
        <f t="shared" si="736"/>
        <v>0</v>
      </c>
      <c r="U624" s="523">
        <f t="shared" si="736"/>
        <v>0</v>
      </c>
      <c r="V624" s="523">
        <f t="shared" si="736"/>
        <v>0</v>
      </c>
      <c r="W624" s="523">
        <f t="shared" si="736"/>
        <v>0</v>
      </c>
      <c r="X624" s="523">
        <f t="shared" si="736"/>
        <v>1.8390000000000102</v>
      </c>
      <c r="Y624" s="523">
        <f t="shared" si="736"/>
        <v>0</v>
      </c>
      <c r="Z624" s="523">
        <f t="shared" si="736"/>
        <v>0</v>
      </c>
      <c r="AA624" s="523">
        <f t="shared" si="736"/>
        <v>0</v>
      </c>
      <c r="AB624" s="523">
        <f t="shared" si="736"/>
        <v>1.8390000000000102</v>
      </c>
      <c r="AC624" s="523">
        <f t="shared" si="736"/>
        <v>0</v>
      </c>
      <c r="AD624" s="523">
        <f t="shared" si="736"/>
        <v>1.8390000000000102</v>
      </c>
      <c r="AE624" s="523">
        <f t="shared" si="736"/>
        <v>0</v>
      </c>
      <c r="AF624" s="523">
        <f t="shared" si="736"/>
        <v>0</v>
      </c>
      <c r="AG624" s="523">
        <f t="shared" si="736"/>
        <v>0</v>
      </c>
      <c r="AH624" s="523">
        <f t="shared" si="736"/>
        <v>0</v>
      </c>
      <c r="AI624" s="523">
        <f t="shared" si="736"/>
        <v>0</v>
      </c>
      <c r="AJ624" s="523">
        <f t="shared" si="736"/>
        <v>0</v>
      </c>
      <c r="AK624" s="523">
        <f t="shared" si="693"/>
        <v>0</v>
      </c>
      <c r="AL624" s="523">
        <f t="shared" si="729"/>
        <v>0</v>
      </c>
      <c r="AM624" s="523">
        <f t="shared" si="729"/>
        <v>0</v>
      </c>
      <c r="AN624" s="523">
        <f t="shared" si="730"/>
        <v>0</v>
      </c>
      <c r="AO624" s="523">
        <f t="shared" si="730"/>
        <v>0</v>
      </c>
      <c r="AP624" s="523"/>
      <c r="AQ624" s="524"/>
      <c r="AR624" s="524"/>
    </row>
    <row r="625" spans="1:44" s="83" customFormat="1" hidden="1" outlineLevel="1">
      <c r="A625" s="521"/>
      <c r="B625" s="522" t="s">
        <v>188</v>
      </c>
      <c r="C625" s="528">
        <f t="shared" si="690"/>
        <v>1.8390000000000102</v>
      </c>
      <c r="D625" s="523">
        <v>0</v>
      </c>
      <c r="E625" s="523">
        <v>0</v>
      </c>
      <c r="F625" s="523">
        <v>0</v>
      </c>
      <c r="G625" s="523">
        <v>1.8390000000000102</v>
      </c>
      <c r="H625" s="523">
        <f>I625+L625</f>
        <v>0</v>
      </c>
      <c r="I625" s="523"/>
      <c r="J625" s="523"/>
      <c r="K625" s="523"/>
      <c r="L625" s="523">
        <f>M625+N625</f>
        <v>0</v>
      </c>
      <c r="M625" s="523"/>
      <c r="N625" s="523"/>
      <c r="O625" s="523">
        <f t="shared" si="731"/>
        <v>0</v>
      </c>
      <c r="P625" s="543">
        <f t="shared" si="682"/>
        <v>0</v>
      </c>
      <c r="Q625" s="543">
        <f t="shared" si="683"/>
        <v>0</v>
      </c>
      <c r="R625" s="523">
        <f t="shared" si="732"/>
        <v>0</v>
      </c>
      <c r="S625" s="523"/>
      <c r="T625" s="523"/>
      <c r="U625" s="523">
        <f t="shared" si="733"/>
        <v>0</v>
      </c>
      <c r="V625" s="523"/>
      <c r="W625" s="523"/>
      <c r="X625" s="563">
        <f>Y625+AB625+AE625+AH625</f>
        <v>1.8390000000000102</v>
      </c>
      <c r="Y625" s="563">
        <f>Z625+AA625</f>
        <v>0</v>
      </c>
      <c r="Z625" s="563"/>
      <c r="AA625" s="563"/>
      <c r="AB625" s="563">
        <f>AC625+AD625</f>
        <v>1.8390000000000102</v>
      </c>
      <c r="AC625" s="523"/>
      <c r="AD625" s="523">
        <v>1.8390000000000102</v>
      </c>
      <c r="AE625" s="523">
        <f t="shared" si="734"/>
        <v>0</v>
      </c>
      <c r="AF625" s="523"/>
      <c r="AG625" s="523"/>
      <c r="AH625" s="523">
        <f t="shared" si="735"/>
        <v>0</v>
      </c>
      <c r="AI625" s="523"/>
      <c r="AJ625" s="523"/>
      <c r="AK625" s="523">
        <f t="shared" si="693"/>
        <v>0</v>
      </c>
      <c r="AL625" s="523">
        <f t="shared" si="729"/>
        <v>0</v>
      </c>
      <c r="AM625" s="523">
        <f t="shared" si="729"/>
        <v>0</v>
      </c>
      <c r="AN625" s="523">
        <f t="shared" si="730"/>
        <v>0</v>
      </c>
      <c r="AO625" s="523">
        <f t="shared" si="730"/>
        <v>0</v>
      </c>
      <c r="AP625" s="523"/>
      <c r="AQ625" s="524"/>
      <c r="AR625" s="524"/>
    </row>
    <row r="626" spans="1:44" s="83" customFormat="1" hidden="1" outlineLevel="1">
      <c r="A626" s="545">
        <v>15</v>
      </c>
      <c r="B626" s="572" t="s">
        <v>546</v>
      </c>
      <c r="C626" s="528">
        <f t="shared" si="690"/>
        <v>10.822000000000003</v>
      </c>
      <c r="D626" s="573">
        <v>0</v>
      </c>
      <c r="E626" s="573">
        <v>0</v>
      </c>
      <c r="F626" s="573">
        <v>0</v>
      </c>
      <c r="G626" s="573">
        <v>10.822000000000003</v>
      </c>
      <c r="H626" s="573">
        <f t="shared" ref="H626:AJ626" si="737">SUM(H627:H627)</f>
        <v>0</v>
      </c>
      <c r="I626" s="573">
        <f t="shared" si="737"/>
        <v>0</v>
      </c>
      <c r="J626" s="573">
        <f t="shared" si="737"/>
        <v>0</v>
      </c>
      <c r="K626" s="573">
        <f t="shared" si="737"/>
        <v>0</v>
      </c>
      <c r="L626" s="573">
        <f t="shared" si="737"/>
        <v>0</v>
      </c>
      <c r="M626" s="573">
        <f t="shared" si="737"/>
        <v>0</v>
      </c>
      <c r="N626" s="573">
        <f t="shared" si="737"/>
        <v>0</v>
      </c>
      <c r="O626" s="573">
        <f t="shared" si="737"/>
        <v>0</v>
      </c>
      <c r="P626" s="543">
        <f t="shared" si="682"/>
        <v>0</v>
      </c>
      <c r="Q626" s="543">
        <f t="shared" si="683"/>
        <v>0</v>
      </c>
      <c r="R626" s="573">
        <f t="shared" si="737"/>
        <v>0</v>
      </c>
      <c r="S626" s="573">
        <f t="shared" si="737"/>
        <v>0</v>
      </c>
      <c r="T626" s="573">
        <f t="shared" si="737"/>
        <v>0</v>
      </c>
      <c r="U626" s="573">
        <f t="shared" si="737"/>
        <v>0</v>
      </c>
      <c r="V626" s="573">
        <f t="shared" si="737"/>
        <v>0</v>
      </c>
      <c r="W626" s="573">
        <f t="shared" si="737"/>
        <v>0</v>
      </c>
      <c r="X626" s="573">
        <f t="shared" si="737"/>
        <v>10.822000000000003</v>
      </c>
      <c r="Y626" s="573">
        <f t="shared" si="737"/>
        <v>0</v>
      </c>
      <c r="Z626" s="573">
        <f t="shared" si="737"/>
        <v>0</v>
      </c>
      <c r="AA626" s="573">
        <f t="shared" si="737"/>
        <v>0</v>
      </c>
      <c r="AB626" s="573">
        <f t="shared" si="737"/>
        <v>10.822000000000003</v>
      </c>
      <c r="AC626" s="573">
        <f t="shared" si="737"/>
        <v>0</v>
      </c>
      <c r="AD626" s="573">
        <f t="shared" si="737"/>
        <v>10.822000000000003</v>
      </c>
      <c r="AE626" s="573">
        <f t="shared" si="737"/>
        <v>0</v>
      </c>
      <c r="AF626" s="573">
        <f t="shared" si="737"/>
        <v>0</v>
      </c>
      <c r="AG626" s="573">
        <f t="shared" si="737"/>
        <v>0</v>
      </c>
      <c r="AH626" s="573">
        <f t="shared" si="737"/>
        <v>0</v>
      </c>
      <c r="AI626" s="573">
        <f t="shared" si="737"/>
        <v>0</v>
      </c>
      <c r="AJ626" s="573">
        <f t="shared" si="737"/>
        <v>0</v>
      </c>
      <c r="AK626" s="573">
        <f t="shared" si="693"/>
        <v>0</v>
      </c>
      <c r="AL626" s="573">
        <f t="shared" si="729"/>
        <v>0</v>
      </c>
      <c r="AM626" s="573">
        <f t="shared" si="729"/>
        <v>0</v>
      </c>
      <c r="AN626" s="573">
        <f t="shared" si="730"/>
        <v>0</v>
      </c>
      <c r="AO626" s="573">
        <f t="shared" si="730"/>
        <v>0</v>
      </c>
      <c r="AP626" s="573"/>
      <c r="AQ626" s="574"/>
      <c r="AR626" s="574"/>
    </row>
    <row r="627" spans="1:44" s="83" customFormat="1" hidden="1" outlineLevel="1">
      <c r="A627" s="521"/>
      <c r="B627" s="522" t="s">
        <v>198</v>
      </c>
      <c r="C627" s="528">
        <f t="shared" si="690"/>
        <v>10.822000000000003</v>
      </c>
      <c r="D627" s="523">
        <v>0</v>
      </c>
      <c r="E627" s="523">
        <v>0</v>
      </c>
      <c r="F627" s="523">
        <v>0</v>
      </c>
      <c r="G627" s="523">
        <v>10.822000000000003</v>
      </c>
      <c r="H627" s="523">
        <f>I627+L627</f>
        <v>0</v>
      </c>
      <c r="I627" s="523">
        <f>J627+K627</f>
        <v>0</v>
      </c>
      <c r="J627" s="523"/>
      <c r="K627" s="523">
        <v>0</v>
      </c>
      <c r="L627" s="523">
        <f>M627+N627</f>
        <v>0</v>
      </c>
      <c r="M627" s="523"/>
      <c r="N627" s="523"/>
      <c r="O627" s="523">
        <f>R627+U627</f>
        <v>0</v>
      </c>
      <c r="P627" s="543">
        <f t="shared" si="682"/>
        <v>0</v>
      </c>
      <c r="Q627" s="543">
        <f t="shared" si="683"/>
        <v>0</v>
      </c>
      <c r="R627" s="523"/>
      <c r="S627" s="523"/>
      <c r="T627" s="523"/>
      <c r="U627" s="523">
        <f>V627+W627</f>
        <v>0</v>
      </c>
      <c r="V627" s="523"/>
      <c r="W627" s="523"/>
      <c r="X627" s="523">
        <f>Y627+AB627+AE627+AH627</f>
        <v>10.822000000000003</v>
      </c>
      <c r="Y627" s="523">
        <f>Z627+AA627</f>
        <v>0</v>
      </c>
      <c r="Z627" s="523"/>
      <c r="AA627" s="523"/>
      <c r="AB627" s="523">
        <f>AC627+AD627</f>
        <v>10.822000000000003</v>
      </c>
      <c r="AC627" s="523"/>
      <c r="AD627" s="523">
        <v>10.822000000000003</v>
      </c>
      <c r="AE627" s="523">
        <f t="shared" si="734"/>
        <v>0</v>
      </c>
      <c r="AF627" s="523"/>
      <c r="AG627" s="523"/>
      <c r="AH627" s="523">
        <f t="shared" si="735"/>
        <v>0</v>
      </c>
      <c r="AI627" s="523"/>
      <c r="AJ627" s="523"/>
      <c r="AK627" s="523">
        <f t="shared" si="693"/>
        <v>0</v>
      </c>
      <c r="AL627" s="523">
        <f t="shared" si="729"/>
        <v>0</v>
      </c>
      <c r="AM627" s="523">
        <f t="shared" si="729"/>
        <v>0</v>
      </c>
      <c r="AN627" s="523">
        <f t="shared" si="730"/>
        <v>0</v>
      </c>
      <c r="AO627" s="523">
        <f t="shared" si="730"/>
        <v>0</v>
      </c>
      <c r="AP627" s="523"/>
      <c r="AQ627" s="524"/>
      <c r="AR627" s="524"/>
    </row>
    <row r="628" spans="1:44" s="83" customFormat="1" hidden="1" outlineLevel="1">
      <c r="A628" s="549">
        <v>16</v>
      </c>
      <c r="B628" s="522" t="s">
        <v>547</v>
      </c>
      <c r="C628" s="528">
        <f t="shared" si="690"/>
        <v>272</v>
      </c>
      <c r="D628" s="523">
        <v>0</v>
      </c>
      <c r="E628" s="523">
        <f>E629</f>
        <v>272</v>
      </c>
      <c r="F628" s="523">
        <v>0</v>
      </c>
      <c r="G628" s="523">
        <v>0</v>
      </c>
      <c r="H628" s="523">
        <f t="shared" ref="H628:AR628" si="738">H629</f>
        <v>0</v>
      </c>
      <c r="I628" s="523">
        <f t="shared" si="738"/>
        <v>0</v>
      </c>
      <c r="J628" s="523">
        <f t="shared" si="738"/>
        <v>0</v>
      </c>
      <c r="K628" s="523">
        <f t="shared" si="738"/>
        <v>0</v>
      </c>
      <c r="L628" s="523">
        <f t="shared" si="738"/>
        <v>0</v>
      </c>
      <c r="M628" s="523">
        <f t="shared" si="738"/>
        <v>0</v>
      </c>
      <c r="N628" s="523">
        <f t="shared" si="738"/>
        <v>0</v>
      </c>
      <c r="O628" s="523">
        <f t="shared" si="738"/>
        <v>0</v>
      </c>
      <c r="P628" s="543">
        <f t="shared" si="682"/>
        <v>0</v>
      </c>
      <c r="Q628" s="543">
        <f t="shared" si="683"/>
        <v>0</v>
      </c>
      <c r="R628" s="523">
        <f t="shared" si="738"/>
        <v>0</v>
      </c>
      <c r="S628" s="523">
        <f t="shared" si="738"/>
        <v>0</v>
      </c>
      <c r="T628" s="523">
        <f t="shared" si="738"/>
        <v>0</v>
      </c>
      <c r="U628" s="523">
        <f t="shared" si="738"/>
        <v>0</v>
      </c>
      <c r="V628" s="523">
        <f t="shared" si="738"/>
        <v>0</v>
      </c>
      <c r="W628" s="523">
        <f t="shared" si="738"/>
        <v>0</v>
      </c>
      <c r="X628" s="523">
        <f t="shared" si="738"/>
        <v>0</v>
      </c>
      <c r="Y628" s="523">
        <f t="shared" si="738"/>
        <v>0</v>
      </c>
      <c r="Z628" s="523">
        <f t="shared" si="738"/>
        <v>0</v>
      </c>
      <c r="AA628" s="523">
        <f t="shared" si="738"/>
        <v>0</v>
      </c>
      <c r="AB628" s="523">
        <f t="shared" si="738"/>
        <v>0</v>
      </c>
      <c r="AC628" s="523">
        <f t="shared" si="738"/>
        <v>0</v>
      </c>
      <c r="AD628" s="523">
        <f t="shared" si="738"/>
        <v>0</v>
      </c>
      <c r="AE628" s="523">
        <f t="shared" si="738"/>
        <v>0</v>
      </c>
      <c r="AF628" s="523">
        <f t="shared" si="738"/>
        <v>0</v>
      </c>
      <c r="AG628" s="523">
        <f t="shared" si="738"/>
        <v>0</v>
      </c>
      <c r="AH628" s="523">
        <f t="shared" si="738"/>
        <v>0</v>
      </c>
      <c r="AI628" s="523">
        <f t="shared" si="738"/>
        <v>0</v>
      </c>
      <c r="AJ628" s="523">
        <f t="shared" si="738"/>
        <v>0</v>
      </c>
      <c r="AK628" s="523">
        <f t="shared" si="738"/>
        <v>272</v>
      </c>
      <c r="AL628" s="523">
        <f t="shared" si="738"/>
        <v>0</v>
      </c>
      <c r="AM628" s="523">
        <f t="shared" si="738"/>
        <v>272</v>
      </c>
      <c r="AN628" s="523">
        <f t="shared" si="738"/>
        <v>0</v>
      </c>
      <c r="AO628" s="523">
        <f t="shared" si="738"/>
        <v>0</v>
      </c>
      <c r="AP628" s="523"/>
      <c r="AQ628" s="524">
        <f t="shared" si="738"/>
        <v>0</v>
      </c>
      <c r="AR628" s="524">
        <f t="shared" si="738"/>
        <v>272</v>
      </c>
    </row>
    <row r="629" spans="1:44" s="83" customFormat="1" ht="31.2" hidden="1" outlineLevel="1">
      <c r="A629" s="521"/>
      <c r="B629" s="522" t="s">
        <v>2262</v>
      </c>
      <c r="C629" s="528">
        <f t="shared" si="690"/>
        <v>272</v>
      </c>
      <c r="D629" s="523">
        <v>0</v>
      </c>
      <c r="E629" s="523">
        <v>272</v>
      </c>
      <c r="F629" s="523">
        <v>0</v>
      </c>
      <c r="G629" s="523">
        <v>0</v>
      </c>
      <c r="H629" s="523">
        <f>I629+L629</f>
        <v>0</v>
      </c>
      <c r="I629" s="523">
        <f>J629+K629</f>
        <v>0</v>
      </c>
      <c r="J629" s="523"/>
      <c r="K629" s="523"/>
      <c r="L629" s="523"/>
      <c r="M629" s="523"/>
      <c r="N629" s="523"/>
      <c r="O629" s="523">
        <f>R629+U629</f>
        <v>0</v>
      </c>
      <c r="P629" s="543">
        <f t="shared" si="682"/>
        <v>0</v>
      </c>
      <c r="Q629" s="543">
        <f t="shared" si="683"/>
        <v>0</v>
      </c>
      <c r="R629" s="523">
        <f>S629+T629</f>
        <v>0</v>
      </c>
      <c r="S629" s="523"/>
      <c r="T629" s="523"/>
      <c r="U629" s="523">
        <f>V629+W629</f>
        <v>0</v>
      </c>
      <c r="V629" s="523">
        <v>0</v>
      </c>
      <c r="W629" s="523"/>
      <c r="X629" s="523">
        <f>Y629+AB629+AE629+AH629</f>
        <v>0</v>
      </c>
      <c r="Y629" s="523">
        <f>Z629+AA629</f>
        <v>0</v>
      </c>
      <c r="Z629" s="523"/>
      <c r="AA629" s="523"/>
      <c r="AB629" s="523">
        <f>AC629+AD629</f>
        <v>0</v>
      </c>
      <c r="AC629" s="523"/>
      <c r="AD629" s="523"/>
      <c r="AE629" s="523">
        <f t="shared" si="734"/>
        <v>0</v>
      </c>
      <c r="AF629" s="523"/>
      <c r="AG629" s="523"/>
      <c r="AH629" s="523">
        <f t="shared" si="735"/>
        <v>0</v>
      </c>
      <c r="AI629" s="523"/>
      <c r="AJ629" s="523"/>
      <c r="AK629" s="523">
        <f t="shared" si="693"/>
        <v>272</v>
      </c>
      <c r="AL629" s="523">
        <f t="shared" si="729"/>
        <v>0</v>
      </c>
      <c r="AM629" s="523">
        <f t="shared" si="729"/>
        <v>272</v>
      </c>
      <c r="AN629" s="523">
        <f t="shared" si="730"/>
        <v>0</v>
      </c>
      <c r="AO629" s="523">
        <f t="shared" si="730"/>
        <v>0</v>
      </c>
      <c r="AP629" s="523"/>
      <c r="AQ629" s="524"/>
      <c r="AR629" s="524">
        <v>272</v>
      </c>
    </row>
    <row r="630" spans="1:44" s="83" customFormat="1" hidden="1" outlineLevel="1">
      <c r="A630" s="545">
        <v>17</v>
      </c>
      <c r="B630" s="554" t="s">
        <v>548</v>
      </c>
      <c r="C630" s="528">
        <f t="shared" si="690"/>
        <v>210.94300000000004</v>
      </c>
      <c r="D630" s="523">
        <v>0</v>
      </c>
      <c r="E630" s="523">
        <v>0</v>
      </c>
      <c r="F630" s="523">
        <v>0</v>
      </c>
      <c r="G630" s="523">
        <v>210.94300000000004</v>
      </c>
      <c r="H630" s="523">
        <f t="shared" ref="H630:AJ630" si="739">SUM(H631:H631)</f>
        <v>0</v>
      </c>
      <c r="I630" s="523">
        <f t="shared" si="739"/>
        <v>0</v>
      </c>
      <c r="J630" s="523">
        <f t="shared" si="739"/>
        <v>0</v>
      </c>
      <c r="K630" s="523">
        <f t="shared" si="739"/>
        <v>0</v>
      </c>
      <c r="L630" s="523">
        <f t="shared" si="739"/>
        <v>0</v>
      </c>
      <c r="M630" s="523">
        <f t="shared" si="739"/>
        <v>0</v>
      </c>
      <c r="N630" s="523">
        <f t="shared" si="739"/>
        <v>0</v>
      </c>
      <c r="O630" s="523">
        <f t="shared" si="739"/>
        <v>0</v>
      </c>
      <c r="P630" s="543">
        <f t="shared" si="682"/>
        <v>0</v>
      </c>
      <c r="Q630" s="543">
        <f t="shared" si="683"/>
        <v>0</v>
      </c>
      <c r="R630" s="523">
        <f t="shared" si="739"/>
        <v>0</v>
      </c>
      <c r="S630" s="523">
        <f t="shared" si="739"/>
        <v>0</v>
      </c>
      <c r="T630" s="523">
        <f t="shared" si="739"/>
        <v>0</v>
      </c>
      <c r="U630" s="523">
        <f t="shared" si="739"/>
        <v>0</v>
      </c>
      <c r="V630" s="523">
        <f t="shared" si="739"/>
        <v>0</v>
      </c>
      <c r="W630" s="523">
        <f t="shared" si="739"/>
        <v>0</v>
      </c>
      <c r="X630" s="523">
        <f t="shared" si="739"/>
        <v>210.94300000000001</v>
      </c>
      <c r="Y630" s="523">
        <f t="shared" si="739"/>
        <v>0</v>
      </c>
      <c r="Z630" s="523">
        <f t="shared" si="739"/>
        <v>0</v>
      </c>
      <c r="AA630" s="523">
        <f t="shared" si="739"/>
        <v>0</v>
      </c>
      <c r="AB630" s="523">
        <f t="shared" si="739"/>
        <v>210.94300000000001</v>
      </c>
      <c r="AC630" s="523">
        <f t="shared" si="739"/>
        <v>0</v>
      </c>
      <c r="AD630" s="523">
        <f t="shared" si="739"/>
        <v>210.94300000000001</v>
      </c>
      <c r="AE630" s="523">
        <f t="shared" si="739"/>
        <v>0</v>
      </c>
      <c r="AF630" s="523">
        <f t="shared" si="739"/>
        <v>0</v>
      </c>
      <c r="AG630" s="523">
        <f t="shared" si="739"/>
        <v>0</v>
      </c>
      <c r="AH630" s="523">
        <f t="shared" si="739"/>
        <v>0</v>
      </c>
      <c r="AI630" s="523">
        <f t="shared" si="739"/>
        <v>0</v>
      </c>
      <c r="AJ630" s="523">
        <f t="shared" si="739"/>
        <v>0</v>
      </c>
      <c r="AK630" s="523">
        <f t="shared" si="693"/>
        <v>2.8421709430404007E-14</v>
      </c>
      <c r="AL630" s="523">
        <f t="shared" si="729"/>
        <v>0</v>
      </c>
      <c r="AM630" s="523">
        <f t="shared" si="729"/>
        <v>0</v>
      </c>
      <c r="AN630" s="523">
        <f t="shared" si="730"/>
        <v>0</v>
      </c>
      <c r="AO630" s="523">
        <f t="shared" si="730"/>
        <v>2.8421709430404007E-14</v>
      </c>
      <c r="AP630" s="523"/>
      <c r="AQ630" s="524"/>
      <c r="AR630" s="524"/>
    </row>
    <row r="631" spans="1:44" s="83" customFormat="1" hidden="1" outlineLevel="1">
      <c r="A631" s="521"/>
      <c r="B631" s="522" t="s">
        <v>192</v>
      </c>
      <c r="C631" s="528">
        <f t="shared" si="690"/>
        <v>210.94300000000001</v>
      </c>
      <c r="D631" s="523">
        <v>0</v>
      </c>
      <c r="E631" s="523">
        <v>0</v>
      </c>
      <c r="F631" s="523">
        <v>0</v>
      </c>
      <c r="G631" s="523">
        <v>210.94300000000001</v>
      </c>
      <c r="H631" s="523">
        <f>I631+L631</f>
        <v>0</v>
      </c>
      <c r="I631" s="523">
        <f>J631+K631</f>
        <v>0</v>
      </c>
      <c r="J631" s="523"/>
      <c r="K631" s="523">
        <v>0</v>
      </c>
      <c r="L631" s="523">
        <f>M631+N631</f>
        <v>0</v>
      </c>
      <c r="M631" s="523"/>
      <c r="N631" s="523"/>
      <c r="O631" s="523">
        <f>R631+U631</f>
        <v>0</v>
      </c>
      <c r="P631" s="543">
        <f t="shared" si="682"/>
        <v>0</v>
      </c>
      <c r="Q631" s="543">
        <f t="shared" si="683"/>
        <v>0</v>
      </c>
      <c r="R631" s="523">
        <f>S631+T631</f>
        <v>0</v>
      </c>
      <c r="S631" s="523"/>
      <c r="T631" s="523"/>
      <c r="U631" s="523">
        <f>V631+W631</f>
        <v>0</v>
      </c>
      <c r="V631" s="523"/>
      <c r="W631" s="523"/>
      <c r="X631" s="523">
        <f>Y631+AB631+AE631+AH631</f>
        <v>210.94300000000001</v>
      </c>
      <c r="Y631" s="523">
        <f>Z631+AA631</f>
        <v>0</v>
      </c>
      <c r="Z631" s="523"/>
      <c r="AA631" s="523"/>
      <c r="AB631" s="523">
        <f>AC631+AD631</f>
        <v>210.94300000000001</v>
      </c>
      <c r="AC631" s="523"/>
      <c r="AD631" s="523">
        <v>210.94300000000001</v>
      </c>
      <c r="AE631" s="523">
        <f t="shared" ref="AE631:AE637" si="740">AF631+AG631</f>
        <v>0</v>
      </c>
      <c r="AF631" s="523"/>
      <c r="AG631" s="523"/>
      <c r="AH631" s="523">
        <f t="shared" ref="AH631:AH637" si="741">AI631+AJ631</f>
        <v>0</v>
      </c>
      <c r="AI631" s="523"/>
      <c r="AJ631" s="523"/>
      <c r="AK631" s="523">
        <f t="shared" ref="AK631:AK639" si="742">SUM(AL631:AO631)</f>
        <v>0</v>
      </c>
      <c r="AL631" s="523">
        <f t="shared" si="729"/>
        <v>0</v>
      </c>
      <c r="AM631" s="523">
        <f t="shared" si="729"/>
        <v>0</v>
      </c>
      <c r="AN631" s="523">
        <f t="shared" si="730"/>
        <v>0</v>
      </c>
      <c r="AO631" s="523">
        <f t="shared" si="730"/>
        <v>0</v>
      </c>
      <c r="AP631" s="523"/>
      <c r="AQ631" s="524"/>
      <c r="AR631" s="524"/>
    </row>
    <row r="632" spans="1:44" s="83" customFormat="1" hidden="1" outlineLevel="1">
      <c r="A632" s="549">
        <v>18</v>
      </c>
      <c r="B632" s="522" t="s">
        <v>549</v>
      </c>
      <c r="C632" s="528">
        <f t="shared" si="690"/>
        <v>1258</v>
      </c>
      <c r="D632" s="523">
        <v>0</v>
      </c>
      <c r="E632" s="523">
        <v>1258</v>
      </c>
      <c r="F632" s="523">
        <v>0</v>
      </c>
      <c r="G632" s="523">
        <v>0</v>
      </c>
      <c r="H632" s="523">
        <f t="shared" ref="H632:AJ632" si="743">SUM(H633:H633)</f>
        <v>0</v>
      </c>
      <c r="I632" s="523">
        <f t="shared" si="743"/>
        <v>0</v>
      </c>
      <c r="J632" s="523">
        <f t="shared" si="743"/>
        <v>0</v>
      </c>
      <c r="K632" s="523">
        <f t="shared" si="743"/>
        <v>0</v>
      </c>
      <c r="L632" s="523">
        <f t="shared" si="743"/>
        <v>0</v>
      </c>
      <c r="M632" s="523">
        <f t="shared" si="743"/>
        <v>0</v>
      </c>
      <c r="N632" s="523">
        <f t="shared" si="743"/>
        <v>0</v>
      </c>
      <c r="O632" s="523">
        <f t="shared" si="743"/>
        <v>0</v>
      </c>
      <c r="P632" s="543">
        <f t="shared" si="682"/>
        <v>0</v>
      </c>
      <c r="Q632" s="543">
        <f t="shared" si="683"/>
        <v>0</v>
      </c>
      <c r="R632" s="523">
        <f t="shared" si="743"/>
        <v>0</v>
      </c>
      <c r="S632" s="523">
        <f t="shared" si="743"/>
        <v>0</v>
      </c>
      <c r="T632" s="523">
        <f t="shared" si="743"/>
        <v>0</v>
      </c>
      <c r="U632" s="523">
        <f t="shared" si="743"/>
        <v>0</v>
      </c>
      <c r="V632" s="523">
        <f t="shared" si="743"/>
        <v>0</v>
      </c>
      <c r="W632" s="523">
        <f t="shared" si="743"/>
        <v>0</v>
      </c>
      <c r="X632" s="523">
        <f t="shared" si="743"/>
        <v>1258</v>
      </c>
      <c r="Y632" s="523">
        <f t="shared" si="743"/>
        <v>1258</v>
      </c>
      <c r="Z632" s="523">
        <f t="shared" si="743"/>
        <v>0</v>
      </c>
      <c r="AA632" s="523">
        <f t="shared" si="743"/>
        <v>1258</v>
      </c>
      <c r="AB632" s="523">
        <f t="shared" si="743"/>
        <v>0</v>
      </c>
      <c r="AC632" s="523">
        <f t="shared" si="743"/>
        <v>0</v>
      </c>
      <c r="AD632" s="523">
        <f t="shared" si="743"/>
        <v>0</v>
      </c>
      <c r="AE632" s="523">
        <f t="shared" si="743"/>
        <v>0</v>
      </c>
      <c r="AF632" s="523">
        <f t="shared" si="743"/>
        <v>0</v>
      </c>
      <c r="AG632" s="523">
        <f t="shared" si="743"/>
        <v>0</v>
      </c>
      <c r="AH632" s="523">
        <f t="shared" si="743"/>
        <v>0</v>
      </c>
      <c r="AI632" s="523">
        <f t="shared" si="743"/>
        <v>0</v>
      </c>
      <c r="AJ632" s="523">
        <f t="shared" si="743"/>
        <v>0</v>
      </c>
      <c r="AK632" s="523">
        <f t="shared" si="742"/>
        <v>0</v>
      </c>
      <c r="AL632" s="523">
        <f t="shared" si="729"/>
        <v>0</v>
      </c>
      <c r="AM632" s="523">
        <f t="shared" si="729"/>
        <v>0</v>
      </c>
      <c r="AN632" s="523">
        <f t="shared" si="730"/>
        <v>0</v>
      </c>
      <c r="AO632" s="523">
        <f t="shared" si="730"/>
        <v>0</v>
      </c>
      <c r="AP632" s="523"/>
      <c r="AQ632" s="524"/>
      <c r="AR632" s="524"/>
    </row>
    <row r="633" spans="1:44" s="83" customFormat="1" hidden="1" outlineLevel="1">
      <c r="A633" s="521"/>
      <c r="B633" s="522" t="s">
        <v>550</v>
      </c>
      <c r="C633" s="528">
        <f t="shared" si="690"/>
        <v>1258</v>
      </c>
      <c r="D633" s="523">
        <v>0</v>
      </c>
      <c r="E633" s="523">
        <v>1258</v>
      </c>
      <c r="F633" s="523">
        <v>0</v>
      </c>
      <c r="G633" s="523">
        <v>0</v>
      </c>
      <c r="H633" s="523">
        <f>I633+L633</f>
        <v>0</v>
      </c>
      <c r="I633" s="523">
        <f>J633+K633</f>
        <v>0</v>
      </c>
      <c r="J633" s="523"/>
      <c r="K633" s="523"/>
      <c r="L633" s="523"/>
      <c r="M633" s="523"/>
      <c r="N633" s="523"/>
      <c r="O633" s="523">
        <f>R633+U633</f>
        <v>0</v>
      </c>
      <c r="P633" s="543">
        <f t="shared" si="682"/>
        <v>0</v>
      </c>
      <c r="Q633" s="543">
        <f t="shared" si="683"/>
        <v>0</v>
      </c>
      <c r="R633" s="523">
        <f>S633+T633</f>
        <v>0</v>
      </c>
      <c r="S633" s="523"/>
      <c r="T633" s="523"/>
      <c r="U633" s="523"/>
      <c r="V633" s="523"/>
      <c r="W633" s="523"/>
      <c r="X633" s="563">
        <f>Y633+AB633+AE633+AH633</f>
        <v>1258</v>
      </c>
      <c r="Y633" s="563">
        <f>Z633+AA633</f>
        <v>1258</v>
      </c>
      <c r="Z633" s="523"/>
      <c r="AA633" s="523">
        <v>1258</v>
      </c>
      <c r="AB633" s="523"/>
      <c r="AC633" s="523"/>
      <c r="AD633" s="523"/>
      <c r="AE633" s="523">
        <f t="shared" si="740"/>
        <v>0</v>
      </c>
      <c r="AF633" s="523"/>
      <c r="AG633" s="523"/>
      <c r="AH633" s="523">
        <f t="shared" si="741"/>
        <v>0</v>
      </c>
      <c r="AI633" s="523"/>
      <c r="AJ633" s="523"/>
      <c r="AK633" s="523">
        <f t="shared" si="742"/>
        <v>0</v>
      </c>
      <c r="AL633" s="523">
        <f t="shared" si="729"/>
        <v>0</v>
      </c>
      <c r="AM633" s="523">
        <f t="shared" si="729"/>
        <v>0</v>
      </c>
      <c r="AN633" s="523">
        <f t="shared" si="730"/>
        <v>0</v>
      </c>
      <c r="AO633" s="523">
        <f t="shared" si="730"/>
        <v>0</v>
      </c>
      <c r="AP633" s="523"/>
      <c r="AQ633" s="524"/>
      <c r="AR633" s="524"/>
    </row>
    <row r="634" spans="1:44" s="83" customFormat="1" hidden="1" outlineLevel="1">
      <c r="A634" s="541">
        <v>19</v>
      </c>
      <c r="B634" s="560" t="s">
        <v>551</v>
      </c>
      <c r="C634" s="528">
        <f t="shared" si="690"/>
        <v>1242</v>
      </c>
      <c r="D634" s="561">
        <v>0</v>
      </c>
      <c r="E634" s="561">
        <v>1242</v>
      </c>
      <c r="F634" s="561">
        <v>0</v>
      </c>
      <c r="G634" s="561">
        <v>0</v>
      </c>
      <c r="H634" s="561">
        <f t="shared" ref="H634:AJ634" si="744">H635</f>
        <v>0</v>
      </c>
      <c r="I634" s="561">
        <f t="shared" si="744"/>
        <v>0</v>
      </c>
      <c r="J634" s="561">
        <f t="shared" si="744"/>
        <v>0</v>
      </c>
      <c r="K634" s="561">
        <f t="shared" si="744"/>
        <v>0</v>
      </c>
      <c r="L634" s="561">
        <f t="shared" si="744"/>
        <v>0</v>
      </c>
      <c r="M634" s="561">
        <f t="shared" si="744"/>
        <v>0</v>
      </c>
      <c r="N634" s="561">
        <f t="shared" si="744"/>
        <v>0</v>
      </c>
      <c r="O634" s="561">
        <f t="shared" si="744"/>
        <v>0</v>
      </c>
      <c r="P634" s="543">
        <f t="shared" si="682"/>
        <v>0</v>
      </c>
      <c r="Q634" s="543">
        <f t="shared" si="683"/>
        <v>0</v>
      </c>
      <c r="R634" s="561">
        <f t="shared" si="744"/>
        <v>0</v>
      </c>
      <c r="S634" s="561">
        <f t="shared" si="744"/>
        <v>0</v>
      </c>
      <c r="T634" s="561">
        <f t="shared" si="744"/>
        <v>0</v>
      </c>
      <c r="U634" s="561">
        <f t="shared" si="744"/>
        <v>0</v>
      </c>
      <c r="V634" s="561">
        <f t="shared" si="744"/>
        <v>0</v>
      </c>
      <c r="W634" s="561">
        <f t="shared" si="744"/>
        <v>0</v>
      </c>
      <c r="X634" s="561">
        <f t="shared" si="744"/>
        <v>1242</v>
      </c>
      <c r="Y634" s="561">
        <f t="shared" si="744"/>
        <v>1242</v>
      </c>
      <c r="Z634" s="561">
        <f t="shared" si="744"/>
        <v>0</v>
      </c>
      <c r="AA634" s="561">
        <f t="shared" si="744"/>
        <v>1242</v>
      </c>
      <c r="AB634" s="561">
        <f t="shared" si="744"/>
        <v>0</v>
      </c>
      <c r="AC634" s="561">
        <f t="shared" si="744"/>
        <v>0</v>
      </c>
      <c r="AD634" s="561">
        <f t="shared" si="744"/>
        <v>0</v>
      </c>
      <c r="AE634" s="561">
        <f t="shared" si="744"/>
        <v>0</v>
      </c>
      <c r="AF634" s="561">
        <f t="shared" si="744"/>
        <v>0</v>
      </c>
      <c r="AG634" s="561">
        <f t="shared" si="744"/>
        <v>0</v>
      </c>
      <c r="AH634" s="561">
        <f t="shared" si="744"/>
        <v>0</v>
      </c>
      <c r="AI634" s="561">
        <f t="shared" si="744"/>
        <v>0</v>
      </c>
      <c r="AJ634" s="561">
        <f t="shared" si="744"/>
        <v>0</v>
      </c>
      <c r="AK634" s="561">
        <f>AK635</f>
        <v>0</v>
      </c>
      <c r="AL634" s="561">
        <f t="shared" ref="AL634:AO634" si="745">AL635</f>
        <v>0</v>
      </c>
      <c r="AM634" s="561">
        <f t="shared" si="745"/>
        <v>0</v>
      </c>
      <c r="AN634" s="561">
        <f t="shared" si="745"/>
        <v>0</v>
      </c>
      <c r="AO634" s="561">
        <f t="shared" si="745"/>
        <v>0</v>
      </c>
      <c r="AP634" s="561"/>
      <c r="AQ634" s="562"/>
      <c r="AR634" s="562"/>
    </row>
    <row r="635" spans="1:44" s="83" customFormat="1" hidden="1" outlineLevel="1">
      <c r="A635" s="526"/>
      <c r="B635" s="565" t="s">
        <v>484</v>
      </c>
      <c r="C635" s="528">
        <f t="shared" si="690"/>
        <v>1242</v>
      </c>
      <c r="D635" s="563">
        <v>0</v>
      </c>
      <c r="E635" s="563">
        <v>1242</v>
      </c>
      <c r="F635" s="563">
        <v>0</v>
      </c>
      <c r="G635" s="563">
        <v>0</v>
      </c>
      <c r="H635" s="563">
        <f>I635+L635</f>
        <v>0</v>
      </c>
      <c r="I635" s="563">
        <f>J635+K635</f>
        <v>0</v>
      </c>
      <c r="J635" s="563"/>
      <c r="K635" s="563"/>
      <c r="L635" s="563">
        <f>M635+N635</f>
        <v>0</v>
      </c>
      <c r="M635" s="563"/>
      <c r="N635" s="563">
        <v>0</v>
      </c>
      <c r="O635" s="563">
        <f>R635+U635</f>
        <v>0</v>
      </c>
      <c r="P635" s="543">
        <f t="shared" si="682"/>
        <v>0</v>
      </c>
      <c r="Q635" s="543">
        <f t="shared" si="683"/>
        <v>0</v>
      </c>
      <c r="R635" s="563"/>
      <c r="S635" s="563"/>
      <c r="T635" s="563"/>
      <c r="U635" s="563"/>
      <c r="V635" s="563"/>
      <c r="W635" s="563"/>
      <c r="X635" s="563">
        <f>Y635+AB635+AE635+AH635</f>
        <v>1242</v>
      </c>
      <c r="Y635" s="563">
        <f>Z635+AA635</f>
        <v>1242</v>
      </c>
      <c r="Z635" s="563"/>
      <c r="AA635" s="563">
        <v>1242</v>
      </c>
      <c r="AB635" s="563">
        <f>AC635+AD635</f>
        <v>0</v>
      </c>
      <c r="AC635" s="563"/>
      <c r="AD635" s="563"/>
      <c r="AE635" s="523">
        <f t="shared" si="740"/>
        <v>0</v>
      </c>
      <c r="AF635" s="523"/>
      <c r="AG635" s="523"/>
      <c r="AH635" s="523">
        <f t="shared" si="741"/>
        <v>0</v>
      </c>
      <c r="AI635" s="563"/>
      <c r="AJ635" s="563"/>
      <c r="AK635" s="523">
        <f t="shared" ref="AK635" si="746">SUM(AL635:AO635)</f>
        <v>0</v>
      </c>
      <c r="AL635" s="523">
        <f t="shared" si="729"/>
        <v>0</v>
      </c>
      <c r="AM635" s="523">
        <f t="shared" si="729"/>
        <v>0</v>
      </c>
      <c r="AN635" s="523">
        <f t="shared" si="730"/>
        <v>0</v>
      </c>
      <c r="AO635" s="523">
        <f t="shared" si="730"/>
        <v>0</v>
      </c>
      <c r="AP635" s="523"/>
      <c r="AQ635" s="524"/>
      <c r="AR635" s="524"/>
    </row>
    <row r="636" spans="1:44" s="83" customFormat="1" hidden="1" outlineLevel="1">
      <c r="A636" s="541">
        <v>20</v>
      </c>
      <c r="B636" s="560" t="s">
        <v>552</v>
      </c>
      <c r="C636" s="528">
        <f t="shared" si="690"/>
        <v>1295.396476999998</v>
      </c>
      <c r="D636" s="561">
        <v>0</v>
      </c>
      <c r="E636" s="561"/>
      <c r="F636" s="561">
        <v>0</v>
      </c>
      <c r="G636" s="561">
        <v>1295.396476999998</v>
      </c>
      <c r="H636" s="561">
        <v>0</v>
      </c>
      <c r="I636" s="561">
        <v>0</v>
      </c>
      <c r="J636" s="561">
        <v>0</v>
      </c>
      <c r="K636" s="561">
        <v>0</v>
      </c>
      <c r="L636" s="561">
        <v>0</v>
      </c>
      <c r="M636" s="561">
        <v>0</v>
      </c>
      <c r="N636" s="561">
        <v>0</v>
      </c>
      <c r="O636" s="561">
        <v>0</v>
      </c>
      <c r="P636" s="543">
        <v>0</v>
      </c>
      <c r="Q636" s="543">
        <v>0</v>
      </c>
      <c r="R636" s="561">
        <v>0</v>
      </c>
      <c r="S636" s="561">
        <v>0</v>
      </c>
      <c r="T636" s="561">
        <v>0</v>
      </c>
      <c r="U636" s="561">
        <v>0</v>
      </c>
      <c r="V636" s="561">
        <v>0</v>
      </c>
      <c r="W636" s="561">
        <v>0</v>
      </c>
      <c r="X636" s="561">
        <f t="shared" ref="X636:AO636" si="747">SUM(X637:X637)</f>
        <v>1295.396476999998</v>
      </c>
      <c r="Y636" s="561">
        <f t="shared" si="747"/>
        <v>0</v>
      </c>
      <c r="Z636" s="561">
        <f t="shared" si="747"/>
        <v>0</v>
      </c>
      <c r="AA636" s="561">
        <f t="shared" si="747"/>
        <v>0</v>
      </c>
      <c r="AB636" s="561">
        <f t="shared" si="747"/>
        <v>1295.396476999998</v>
      </c>
      <c r="AC636" s="561">
        <f t="shared" si="747"/>
        <v>0</v>
      </c>
      <c r="AD636" s="561">
        <f t="shared" si="747"/>
        <v>1295.396476999998</v>
      </c>
      <c r="AE636" s="561">
        <f t="shared" si="747"/>
        <v>0</v>
      </c>
      <c r="AF636" s="561">
        <f t="shared" si="747"/>
        <v>0</v>
      </c>
      <c r="AG636" s="561">
        <f t="shared" si="747"/>
        <v>0</v>
      </c>
      <c r="AH636" s="561">
        <f t="shared" si="747"/>
        <v>0</v>
      </c>
      <c r="AI636" s="561">
        <f t="shared" si="747"/>
        <v>0</v>
      </c>
      <c r="AJ636" s="561">
        <f t="shared" si="747"/>
        <v>0</v>
      </c>
      <c r="AK636" s="561">
        <f t="shared" si="747"/>
        <v>0</v>
      </c>
      <c r="AL636" s="561">
        <f t="shared" si="747"/>
        <v>0</v>
      </c>
      <c r="AM636" s="561">
        <f t="shared" si="747"/>
        <v>0</v>
      </c>
      <c r="AN636" s="561">
        <f t="shared" si="747"/>
        <v>0</v>
      </c>
      <c r="AO636" s="561">
        <f t="shared" si="747"/>
        <v>0</v>
      </c>
      <c r="AP636" s="561"/>
      <c r="AQ636" s="562"/>
      <c r="AR636" s="562"/>
    </row>
    <row r="637" spans="1:44" s="83" customFormat="1" hidden="1" outlineLevel="1">
      <c r="A637" s="526"/>
      <c r="B637" s="565" t="s">
        <v>553</v>
      </c>
      <c r="C637" s="528">
        <f t="shared" si="690"/>
        <v>1295.396476999998</v>
      </c>
      <c r="D637" s="563">
        <v>0</v>
      </c>
      <c r="E637" s="563"/>
      <c r="F637" s="563">
        <v>0</v>
      </c>
      <c r="G637" s="563">
        <v>1295.396476999998</v>
      </c>
      <c r="H637" s="563">
        <f t="shared" ref="H637" si="748">I637+L637</f>
        <v>0</v>
      </c>
      <c r="I637" s="563">
        <f>J637+K637</f>
        <v>0</v>
      </c>
      <c r="J637" s="563"/>
      <c r="K637" s="563"/>
      <c r="L637" s="563">
        <f>M637+N637</f>
        <v>0</v>
      </c>
      <c r="M637" s="563"/>
      <c r="N637" s="563"/>
      <c r="O637" s="563">
        <f>R637+U637</f>
        <v>0</v>
      </c>
      <c r="P637" s="543">
        <f t="shared" si="682"/>
        <v>0</v>
      </c>
      <c r="Q637" s="543">
        <f t="shared" si="683"/>
        <v>0</v>
      </c>
      <c r="R637" s="563">
        <f>S637+T637</f>
        <v>0</v>
      </c>
      <c r="S637" s="563"/>
      <c r="T637" s="563"/>
      <c r="U637" s="563">
        <f>V637+W637</f>
        <v>0</v>
      </c>
      <c r="V637" s="563"/>
      <c r="W637" s="563"/>
      <c r="X637" s="563">
        <f>Y637+AB637+AE637+AH637</f>
        <v>1295.396476999998</v>
      </c>
      <c r="Y637" s="563">
        <f>Z637+AA637</f>
        <v>0</v>
      </c>
      <c r="Z637" s="563"/>
      <c r="AA637" s="563"/>
      <c r="AB637" s="563">
        <f>AC637+AD637</f>
        <v>1295.396476999998</v>
      </c>
      <c r="AC637" s="563"/>
      <c r="AD637" s="563">
        <v>1295.396476999998</v>
      </c>
      <c r="AE637" s="523">
        <f t="shared" si="740"/>
        <v>0</v>
      </c>
      <c r="AF637" s="523"/>
      <c r="AG637" s="523"/>
      <c r="AH637" s="523">
        <f t="shared" si="741"/>
        <v>0</v>
      </c>
      <c r="AI637" s="563"/>
      <c r="AJ637" s="563"/>
      <c r="AK637" s="563">
        <f t="shared" si="742"/>
        <v>0</v>
      </c>
      <c r="AL637" s="563">
        <f>D637+J637-S637-Z637-AF637</f>
        <v>0</v>
      </c>
      <c r="AM637" s="563">
        <f>E637+K637-T637-AA637-AG637</f>
        <v>0</v>
      </c>
      <c r="AN637" s="563">
        <f>F637+M637-V637-AC637-AI637</f>
        <v>0</v>
      </c>
      <c r="AO637" s="563">
        <f>G637+N637-W637-AD637-AJ637</f>
        <v>0</v>
      </c>
      <c r="AP637" s="563"/>
      <c r="AQ637" s="564"/>
      <c r="AR637" s="564"/>
    </row>
    <row r="638" spans="1:44" s="83" customFormat="1" ht="31.2" hidden="1" outlineLevel="1">
      <c r="A638" s="541">
        <v>21</v>
      </c>
      <c r="B638" s="571" t="s">
        <v>555</v>
      </c>
      <c r="C638" s="528">
        <f t="shared" si="690"/>
        <v>179</v>
      </c>
      <c r="D638" s="561">
        <v>0</v>
      </c>
      <c r="E638" s="561">
        <v>0</v>
      </c>
      <c r="F638" s="561">
        <v>0</v>
      </c>
      <c r="G638" s="561">
        <v>179</v>
      </c>
      <c r="H638" s="561">
        <f t="shared" ref="H638:AJ638" si="749">SUM(H639:H639)</f>
        <v>0</v>
      </c>
      <c r="I638" s="561">
        <f t="shared" si="749"/>
        <v>0</v>
      </c>
      <c r="J638" s="561">
        <f t="shared" si="749"/>
        <v>0</v>
      </c>
      <c r="K638" s="561">
        <f t="shared" si="749"/>
        <v>0</v>
      </c>
      <c r="L638" s="561">
        <f t="shared" si="749"/>
        <v>0</v>
      </c>
      <c r="M638" s="561">
        <f t="shared" si="749"/>
        <v>0</v>
      </c>
      <c r="N638" s="561">
        <f t="shared" si="749"/>
        <v>0</v>
      </c>
      <c r="O638" s="561">
        <f t="shared" si="749"/>
        <v>0</v>
      </c>
      <c r="P638" s="543">
        <f t="shared" si="682"/>
        <v>0</v>
      </c>
      <c r="Q638" s="543">
        <f t="shared" si="683"/>
        <v>0</v>
      </c>
      <c r="R638" s="561">
        <f t="shared" si="749"/>
        <v>0</v>
      </c>
      <c r="S638" s="561">
        <f t="shared" si="749"/>
        <v>0</v>
      </c>
      <c r="T638" s="561">
        <f t="shared" si="749"/>
        <v>0</v>
      </c>
      <c r="U638" s="561">
        <f t="shared" si="749"/>
        <v>0</v>
      </c>
      <c r="V638" s="561">
        <f t="shared" si="749"/>
        <v>0</v>
      </c>
      <c r="W638" s="561">
        <f t="shared" si="749"/>
        <v>0</v>
      </c>
      <c r="X638" s="561">
        <f t="shared" si="749"/>
        <v>179</v>
      </c>
      <c r="Y638" s="561">
        <f t="shared" si="749"/>
        <v>0</v>
      </c>
      <c r="Z638" s="561">
        <f t="shared" si="749"/>
        <v>0</v>
      </c>
      <c r="AA638" s="561">
        <f t="shared" si="749"/>
        <v>0</v>
      </c>
      <c r="AB638" s="561">
        <f t="shared" si="749"/>
        <v>179</v>
      </c>
      <c r="AC638" s="561">
        <f t="shared" si="749"/>
        <v>0</v>
      </c>
      <c r="AD638" s="561">
        <f t="shared" si="749"/>
        <v>179</v>
      </c>
      <c r="AE638" s="561">
        <f t="shared" si="749"/>
        <v>0</v>
      </c>
      <c r="AF638" s="561">
        <f t="shared" si="749"/>
        <v>0</v>
      </c>
      <c r="AG638" s="561">
        <f t="shared" si="749"/>
        <v>0</v>
      </c>
      <c r="AH638" s="561">
        <f t="shared" si="749"/>
        <v>0</v>
      </c>
      <c r="AI638" s="561">
        <f t="shared" si="749"/>
        <v>0</v>
      </c>
      <c r="AJ638" s="561">
        <f t="shared" si="749"/>
        <v>0</v>
      </c>
      <c r="AK638" s="561">
        <f t="shared" si="742"/>
        <v>0</v>
      </c>
      <c r="AL638" s="561">
        <f t="shared" ref="AL638:AM639" si="750">D638+J638-S638-Z638-AF638</f>
        <v>0</v>
      </c>
      <c r="AM638" s="561">
        <f t="shared" si="750"/>
        <v>0</v>
      </c>
      <c r="AN638" s="561">
        <f t="shared" ref="AN638:AO639" si="751">F638+M638-V638-AC638-AI638</f>
        <v>0</v>
      </c>
      <c r="AO638" s="561">
        <f t="shared" si="751"/>
        <v>0</v>
      </c>
      <c r="AP638" s="561"/>
      <c r="AQ638" s="562"/>
      <c r="AR638" s="562"/>
    </row>
    <row r="639" spans="1:44" s="83" customFormat="1" hidden="1" outlineLevel="1">
      <c r="A639" s="575"/>
      <c r="B639" s="576" t="s">
        <v>407</v>
      </c>
      <c r="C639" s="577">
        <f t="shared" si="690"/>
        <v>179</v>
      </c>
      <c r="D639" s="578">
        <v>0</v>
      </c>
      <c r="E639" s="578">
        <v>0</v>
      </c>
      <c r="F639" s="578">
        <v>0</v>
      </c>
      <c r="G639" s="578">
        <v>179</v>
      </c>
      <c r="H639" s="578">
        <f>I639+L639</f>
        <v>0</v>
      </c>
      <c r="I639" s="578">
        <f>J639+K639</f>
        <v>0</v>
      </c>
      <c r="J639" s="578"/>
      <c r="K639" s="578"/>
      <c r="L639" s="578"/>
      <c r="M639" s="578"/>
      <c r="N639" s="578"/>
      <c r="O639" s="578">
        <f>R639+U639</f>
        <v>0</v>
      </c>
      <c r="P639" s="543">
        <f t="shared" si="682"/>
        <v>0</v>
      </c>
      <c r="Q639" s="543">
        <f t="shared" si="683"/>
        <v>0</v>
      </c>
      <c r="R639" s="578">
        <f>S639+T639</f>
        <v>0</v>
      </c>
      <c r="S639" s="578"/>
      <c r="T639" s="578"/>
      <c r="U639" s="578"/>
      <c r="V639" s="578"/>
      <c r="W639" s="578"/>
      <c r="X639" s="578">
        <f>Y639+AB639+AE639+AH639</f>
        <v>179</v>
      </c>
      <c r="Y639" s="578">
        <f>Z639+AA639</f>
        <v>0</v>
      </c>
      <c r="Z639" s="578"/>
      <c r="AA639" s="578"/>
      <c r="AB639" s="578">
        <f>AC639+AD639</f>
        <v>179</v>
      </c>
      <c r="AC639" s="578"/>
      <c r="AD639" s="578">
        <v>179</v>
      </c>
      <c r="AE639" s="579">
        <f>AF639+AG639</f>
        <v>0</v>
      </c>
      <c r="AF639" s="579"/>
      <c r="AG639" s="579"/>
      <c r="AH639" s="579">
        <f>AI639+AJ639</f>
        <v>0</v>
      </c>
      <c r="AI639" s="578"/>
      <c r="AJ639" s="578"/>
      <c r="AK639" s="578">
        <f t="shared" si="742"/>
        <v>0</v>
      </c>
      <c r="AL639" s="578">
        <f t="shared" si="750"/>
        <v>0</v>
      </c>
      <c r="AM639" s="578">
        <f t="shared" si="750"/>
        <v>0</v>
      </c>
      <c r="AN639" s="578">
        <f t="shared" si="751"/>
        <v>0</v>
      </c>
      <c r="AO639" s="578">
        <f t="shared" si="751"/>
        <v>0</v>
      </c>
      <c r="AP639" s="578"/>
      <c r="AQ639" s="562"/>
      <c r="AR639" s="562"/>
    </row>
    <row r="640" spans="1:44" s="83" customFormat="1" ht="13.8" collapsed="1">
      <c r="A640" s="87"/>
      <c r="C640" s="99"/>
      <c r="D640" s="99"/>
      <c r="E640" s="99"/>
      <c r="F640" s="99"/>
      <c r="G640" s="99"/>
      <c r="H640" s="99">
        <f>H184+H235+H583</f>
        <v>1581135</v>
      </c>
      <c r="I640" s="99">
        <f t="shared" ref="I640:N640" si="752">I184+I235+I583</f>
        <v>1473995</v>
      </c>
      <c r="J640" s="99">
        <f t="shared" si="752"/>
        <v>1235755</v>
      </c>
      <c r="K640" s="99">
        <f t="shared" si="752"/>
        <v>238240</v>
      </c>
      <c r="L640" s="99">
        <f t="shared" si="752"/>
        <v>107140</v>
      </c>
      <c r="M640" s="99">
        <f t="shared" si="752"/>
        <v>26733</v>
      </c>
      <c r="N640" s="99">
        <f t="shared" si="752"/>
        <v>80407</v>
      </c>
      <c r="O640" s="99">
        <f>O583+O234+O183</f>
        <v>1020625.6326349999</v>
      </c>
      <c r="P640" s="639"/>
      <c r="Q640" s="639"/>
      <c r="R640" s="639"/>
      <c r="S640" s="639"/>
      <c r="T640" s="639"/>
      <c r="U640" s="639"/>
      <c r="V640" s="639"/>
      <c r="W640" s="99"/>
      <c r="X640" s="99"/>
      <c r="Y640" s="99"/>
      <c r="Z640" s="99"/>
      <c r="AA640" s="99"/>
      <c r="AB640" s="99"/>
      <c r="AC640" s="99"/>
      <c r="AD640" s="99"/>
      <c r="AE640" s="99"/>
      <c r="AF640" s="99"/>
      <c r="AG640" s="99"/>
      <c r="AH640" s="99"/>
      <c r="AI640" s="99"/>
      <c r="AJ640" s="99"/>
      <c r="AK640" s="99"/>
      <c r="AL640" s="99"/>
      <c r="AM640" s="99"/>
      <c r="AN640" s="99"/>
      <c r="AO640" s="99"/>
      <c r="AP640" s="99"/>
      <c r="AQ640" s="85"/>
      <c r="AR640" s="85"/>
    </row>
    <row r="641" spans="1:44" s="96" customFormat="1" ht="13.8">
      <c r="A641" s="87"/>
      <c r="B641" s="753"/>
      <c r="C641" s="99"/>
      <c r="D641" s="753"/>
      <c r="E641" s="753"/>
      <c r="F641" s="83"/>
      <c r="G641" s="92"/>
      <c r="H641" s="97">
        <f>I640+L640</f>
        <v>1581135</v>
      </c>
      <c r="I641" s="91"/>
      <c r="J641" s="91"/>
      <c r="K641" s="91"/>
      <c r="L641" s="98"/>
      <c r="M641" s="91"/>
      <c r="N641" s="84"/>
      <c r="O641" s="84"/>
      <c r="P641" s="84"/>
      <c r="Q641" s="84"/>
      <c r="R641" s="84"/>
      <c r="S641" s="869"/>
      <c r="T641" s="869"/>
      <c r="U641" s="869"/>
      <c r="V641" s="869"/>
      <c r="W641" s="84"/>
      <c r="X641" s="84"/>
      <c r="Y641" s="84"/>
      <c r="Z641" s="84"/>
      <c r="AA641" s="84"/>
      <c r="AB641" s="84"/>
      <c r="AC641" s="84"/>
      <c r="AD641" s="84"/>
      <c r="AE641" s="84"/>
      <c r="AF641" s="84"/>
      <c r="AG641" s="84"/>
      <c r="AH641" s="84"/>
      <c r="AI641" s="84"/>
      <c r="AJ641" s="84"/>
      <c r="AK641" s="870" t="s">
        <v>2263</v>
      </c>
      <c r="AL641" s="870"/>
      <c r="AM641" s="870"/>
      <c r="AN641" s="870"/>
      <c r="AO641" s="870"/>
      <c r="AP641" s="95"/>
      <c r="AQ641" s="580"/>
      <c r="AR641" s="580"/>
    </row>
    <row r="642" spans="1:44" s="96" customFormat="1">
      <c r="A642" s="87"/>
      <c r="B642" s="587" t="s">
        <v>32</v>
      </c>
      <c r="C642" s="588"/>
      <c r="D642" s="589"/>
      <c r="E642" s="589"/>
      <c r="F642" s="590"/>
      <c r="G642" s="591"/>
      <c r="H642" s="592"/>
      <c r="I642" s="592"/>
      <c r="J642" s="592"/>
      <c r="K642" s="593"/>
      <c r="L642" s="593"/>
      <c r="M642" s="593"/>
      <c r="N642" s="593"/>
      <c r="O642" s="594"/>
      <c r="P642" s="594">
        <f>P183+P234+P583</f>
        <v>649068.96748400002</v>
      </c>
      <c r="Q642" s="594">
        <f>Q183+Q234+Q583</f>
        <v>371556.66515099996</v>
      </c>
      <c r="R642" s="594"/>
      <c r="S642" s="594">
        <f>S183+S234+S583</f>
        <v>622498.96748400002</v>
      </c>
      <c r="T642" s="594">
        <f>T183+T234+T583</f>
        <v>239659.51815099997</v>
      </c>
      <c r="U642" s="581"/>
      <c r="V642" s="594">
        <f>V183+V234+V583</f>
        <v>26570</v>
      </c>
      <c r="W642" s="594">
        <f>W183+W234+W583</f>
        <v>131897.147</v>
      </c>
      <c r="X642" s="581"/>
      <c r="Y642" s="581"/>
      <c r="Z642" s="581"/>
      <c r="AA642" s="581"/>
      <c r="AB642" s="581"/>
      <c r="AC642" s="581"/>
      <c r="AD642" s="581"/>
      <c r="AE642" s="581"/>
      <c r="AF642" s="581"/>
      <c r="AG642" s="581"/>
      <c r="AH642" s="581"/>
      <c r="AI642" s="581"/>
      <c r="AJ642" s="581"/>
      <c r="AK642" s="581"/>
      <c r="AL642" s="581"/>
      <c r="AM642" s="581"/>
      <c r="AN642" s="581"/>
      <c r="AO642" s="581"/>
      <c r="AP642" s="581"/>
      <c r="AQ642" s="580"/>
      <c r="AR642" s="580"/>
    </row>
    <row r="643" spans="1:44" s="96" customFormat="1" ht="13.8">
      <c r="A643" s="87"/>
      <c r="B643" s="753"/>
      <c r="C643" s="89"/>
      <c r="D643" s="753"/>
      <c r="E643" s="753"/>
      <c r="F643" s="83"/>
      <c r="G643" s="92"/>
      <c r="H643" s="89"/>
      <c r="I643" s="98"/>
      <c r="J643" s="98"/>
      <c r="K643" s="91"/>
      <c r="L643" s="91"/>
      <c r="M643" s="91"/>
      <c r="N643" s="91"/>
      <c r="O643" s="89"/>
      <c r="P643" s="89"/>
      <c r="Q643" s="89"/>
      <c r="R643" s="581"/>
      <c r="S643" s="581"/>
      <c r="T643" s="581"/>
      <c r="U643" s="581"/>
      <c r="V643" s="581"/>
      <c r="W643" s="581"/>
      <c r="X643" s="89"/>
      <c r="Y643" s="581"/>
      <c r="Z643" s="581"/>
      <c r="AA643" s="581"/>
      <c r="AB643" s="581"/>
      <c r="AC643" s="581"/>
      <c r="AD643" s="581"/>
      <c r="AE643" s="581"/>
      <c r="AF643" s="581"/>
      <c r="AG643" s="581"/>
      <c r="AH643" s="581"/>
      <c r="AI643" s="581"/>
      <c r="AJ643" s="581"/>
      <c r="AK643" s="89"/>
      <c r="AL643" s="581"/>
      <c r="AM643" s="581"/>
      <c r="AN643" s="581"/>
      <c r="AO643" s="581"/>
      <c r="AP643" s="581"/>
      <c r="AQ643" s="580"/>
      <c r="AR643" s="580"/>
    </row>
    <row r="644" spans="1:44" s="96" customFormat="1" ht="13.8">
      <c r="A644" s="87"/>
      <c r="B644" s="753"/>
      <c r="C644" s="89"/>
      <c r="D644" s="90"/>
      <c r="E644" s="83"/>
      <c r="F644" s="90"/>
      <c r="G644" s="83"/>
      <c r="H644" s="89"/>
      <c r="I644" s="752"/>
      <c r="J644" s="752"/>
      <c r="K644" s="91"/>
      <c r="L644" s="91"/>
      <c r="M644" s="91"/>
      <c r="N644" s="91"/>
      <c r="O644" s="89"/>
      <c r="P644" s="89">
        <f>P642+P11</f>
        <v>947824.37070700002</v>
      </c>
      <c r="Q644" s="89">
        <f>Q642+Q11</f>
        <v>477131.38657799998</v>
      </c>
      <c r="R644" s="83"/>
      <c r="S644" s="92"/>
      <c r="T644" s="83"/>
      <c r="U644" s="83"/>
      <c r="V644" s="771"/>
      <c r="W644" s="93"/>
      <c r="X644" s="89"/>
      <c r="Y644" s="93"/>
      <c r="Z644" s="93"/>
      <c r="AA644" s="93"/>
      <c r="AB644" s="93"/>
      <c r="AC644" s="93"/>
      <c r="AD644" s="93"/>
      <c r="AE644" s="93"/>
      <c r="AF644" s="93"/>
      <c r="AG644" s="93"/>
      <c r="AH644" s="93"/>
      <c r="AI644" s="93"/>
      <c r="AJ644" s="93"/>
      <c r="AK644" s="89"/>
      <c r="AL644" s="89"/>
      <c r="AM644" s="95"/>
      <c r="AN644" s="89"/>
      <c r="AO644" s="95"/>
      <c r="AP644" s="95"/>
      <c r="AQ644" s="580"/>
      <c r="AR644" s="580"/>
    </row>
    <row r="645" spans="1:44" s="96" customFormat="1" ht="13.8">
      <c r="A645" s="87"/>
      <c r="B645" s="753"/>
      <c r="C645" s="89"/>
      <c r="D645" s="89"/>
      <c r="E645" s="89"/>
      <c r="F645" s="89"/>
      <c r="G645" s="89"/>
      <c r="H645" s="89"/>
      <c r="I645" s="89"/>
      <c r="J645" s="89"/>
      <c r="K645" s="89"/>
      <c r="L645" s="89"/>
      <c r="M645" s="89"/>
      <c r="N645" s="89"/>
      <c r="O645" s="89"/>
      <c r="P645" s="89">
        <f>P644-P10</f>
        <v>0</v>
      </c>
      <c r="Q645" s="89">
        <f>Q644-Q10</f>
        <v>0</v>
      </c>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95"/>
      <c r="AP645" s="95"/>
      <c r="AQ645" s="580"/>
      <c r="AR645" s="580"/>
    </row>
    <row r="646" spans="1:44" s="96" customFormat="1" ht="13.8">
      <c r="A646" s="87"/>
      <c r="B646" s="753"/>
      <c r="C646" s="89"/>
      <c r="D646" s="753"/>
      <c r="E646" s="753"/>
      <c r="F646" s="83"/>
      <c r="G646" s="83"/>
      <c r="H646" s="98"/>
      <c r="I646" s="91"/>
      <c r="J646" s="91"/>
      <c r="K646" s="91"/>
      <c r="L646" s="91"/>
      <c r="M646" s="91"/>
      <c r="N646" s="91"/>
      <c r="O646" s="83"/>
      <c r="P646" s="83"/>
      <c r="Q646" s="83"/>
      <c r="R646" s="83"/>
      <c r="S646" s="83"/>
      <c r="T646" s="83"/>
      <c r="U646" s="83"/>
      <c r="V646" s="83"/>
      <c r="W646" s="751"/>
      <c r="X646" s="750"/>
      <c r="Y646" s="750"/>
      <c r="Z646" s="750"/>
      <c r="AA646" s="750"/>
      <c r="AB646" s="750"/>
      <c r="AC646" s="750"/>
      <c r="AD646" s="750"/>
      <c r="AE646" s="750"/>
      <c r="AF646" s="750"/>
      <c r="AG646" s="750"/>
      <c r="AH646" s="750"/>
      <c r="AI646" s="750"/>
      <c r="AJ646" s="750"/>
      <c r="AK646" s="751"/>
      <c r="AL646" s="751"/>
      <c r="AM646" s="751"/>
      <c r="AN646" s="751"/>
      <c r="AO646" s="95"/>
      <c r="AP646" s="95"/>
      <c r="AQ646" s="580"/>
      <c r="AR646" s="580"/>
    </row>
    <row r="647" spans="1:44" s="96" customFormat="1" ht="13.8">
      <c r="A647" s="87"/>
      <c r="B647" s="753"/>
      <c r="C647" s="89"/>
      <c r="D647" s="753"/>
      <c r="E647" s="753"/>
      <c r="F647" s="83"/>
      <c r="G647" s="83"/>
      <c r="H647" s="98"/>
      <c r="I647" s="91"/>
      <c r="J647" s="91"/>
      <c r="K647" s="91"/>
      <c r="L647" s="91"/>
      <c r="M647" s="91"/>
      <c r="N647" s="91"/>
      <c r="O647" s="83"/>
      <c r="P647" s="83"/>
      <c r="Q647" s="83"/>
      <c r="R647" s="83"/>
      <c r="S647" s="83"/>
      <c r="T647" s="83"/>
      <c r="U647" s="581"/>
      <c r="V647" s="581"/>
      <c r="W647" s="772"/>
      <c r="X647" s="750"/>
      <c r="Y647" s="750"/>
      <c r="Z647" s="750"/>
      <c r="AA647" s="750"/>
      <c r="AB647" s="750"/>
      <c r="AC647" s="750"/>
      <c r="AD647" s="750"/>
      <c r="AE647" s="750"/>
      <c r="AF647" s="750"/>
      <c r="AG647" s="750"/>
      <c r="AH647" s="750"/>
      <c r="AI647" s="750"/>
      <c r="AJ647" s="750"/>
      <c r="AK647" s="751"/>
      <c r="AL647" s="751"/>
      <c r="AM647" s="751"/>
      <c r="AN647" s="751"/>
      <c r="AO647" s="95"/>
      <c r="AP647" s="95"/>
      <c r="AQ647" s="580"/>
      <c r="AR647" s="580"/>
    </row>
    <row r="648" spans="1:44" s="96" customFormat="1" ht="13.8">
      <c r="A648" s="87"/>
      <c r="B648" s="753"/>
      <c r="C648" s="89"/>
      <c r="D648" s="753"/>
      <c r="E648" s="753"/>
      <c r="F648" s="83"/>
      <c r="G648" s="83"/>
      <c r="H648" s="98"/>
      <c r="I648" s="91"/>
      <c r="J648" s="91"/>
      <c r="K648" s="91"/>
      <c r="L648" s="91"/>
      <c r="M648" s="91"/>
      <c r="N648" s="91"/>
      <c r="O648" s="83"/>
      <c r="P648" s="83"/>
      <c r="Q648" s="83"/>
      <c r="R648" s="83"/>
      <c r="S648" s="83"/>
      <c r="T648" s="83"/>
      <c r="U648" s="773"/>
      <c r="V648" s="773"/>
      <c r="W648" s="773"/>
      <c r="X648" s="750"/>
      <c r="Y648" s="750"/>
      <c r="Z648" s="750"/>
      <c r="AA648" s="750"/>
      <c r="AB648" s="750"/>
      <c r="AC648" s="750"/>
      <c r="AD648" s="750"/>
      <c r="AE648" s="750"/>
      <c r="AF648" s="750"/>
      <c r="AG648" s="750"/>
      <c r="AH648" s="750"/>
      <c r="AI648" s="750"/>
      <c r="AJ648" s="750"/>
      <c r="AK648" s="751"/>
      <c r="AL648" s="751"/>
      <c r="AM648" s="751"/>
      <c r="AN648" s="751"/>
      <c r="AO648" s="95"/>
      <c r="AP648" s="95"/>
      <c r="AQ648" s="580"/>
      <c r="AR648" s="580"/>
    </row>
    <row r="649" spans="1:44" s="96" customFormat="1" ht="13.8">
      <c r="A649" s="87"/>
      <c r="B649" s="753"/>
      <c r="C649" s="89"/>
      <c r="D649" s="753"/>
      <c r="E649" s="753"/>
      <c r="F649" s="83"/>
      <c r="G649" s="83"/>
      <c r="H649" s="91"/>
      <c r="I649" s="91"/>
      <c r="J649" s="91"/>
      <c r="K649" s="91"/>
      <c r="L649" s="91"/>
      <c r="M649" s="91"/>
      <c r="N649" s="91"/>
      <c r="O649" s="83"/>
      <c r="P649" s="83"/>
      <c r="Q649" s="83"/>
      <c r="R649" s="83"/>
      <c r="S649" s="83"/>
      <c r="T649" s="83"/>
      <c r="U649" s="83"/>
      <c r="V649" s="83"/>
      <c r="W649" s="750"/>
      <c r="X649" s="750"/>
      <c r="Y649" s="750"/>
      <c r="Z649" s="750"/>
      <c r="AA649" s="750"/>
      <c r="AB649" s="750"/>
      <c r="AC649" s="750"/>
      <c r="AD649" s="750"/>
      <c r="AE649" s="750"/>
      <c r="AF649" s="750"/>
      <c r="AG649" s="750"/>
      <c r="AH649" s="750"/>
      <c r="AI649" s="750"/>
      <c r="AJ649" s="750"/>
      <c r="AK649" s="751"/>
      <c r="AL649" s="751"/>
      <c r="AM649" s="751"/>
      <c r="AN649" s="751"/>
      <c r="AO649" s="95"/>
      <c r="AP649" s="95"/>
      <c r="AQ649" s="580"/>
      <c r="AR649" s="580"/>
    </row>
    <row r="650" spans="1:44" s="96" customFormat="1" ht="13.8">
      <c r="A650" s="87"/>
      <c r="B650" s="753"/>
      <c r="C650" s="89"/>
      <c r="D650" s="753"/>
      <c r="E650" s="753"/>
      <c r="F650" s="83"/>
      <c r="G650" s="83"/>
      <c r="H650" s="91"/>
      <c r="I650" s="91"/>
      <c r="J650" s="91"/>
      <c r="K650" s="91"/>
      <c r="L650" s="91"/>
      <c r="M650" s="91"/>
      <c r="N650" s="91"/>
      <c r="O650" s="83"/>
      <c r="P650" s="83"/>
      <c r="Q650" s="83"/>
      <c r="R650" s="83"/>
      <c r="S650" s="83"/>
      <c r="T650" s="83"/>
      <c r="U650" s="83"/>
      <c r="V650" s="83"/>
      <c r="W650" s="750"/>
      <c r="X650" s="750"/>
      <c r="Y650" s="750"/>
      <c r="Z650" s="750"/>
      <c r="AA650" s="750"/>
      <c r="AB650" s="750"/>
      <c r="AC650" s="750"/>
      <c r="AD650" s="750"/>
      <c r="AE650" s="750"/>
      <c r="AF650" s="750"/>
      <c r="AG650" s="750"/>
      <c r="AH650" s="750"/>
      <c r="AI650" s="750"/>
      <c r="AJ650" s="750"/>
      <c r="AK650" s="751"/>
      <c r="AL650" s="751"/>
      <c r="AM650" s="751"/>
      <c r="AN650" s="751"/>
      <c r="AO650" s="95"/>
      <c r="AP650" s="95"/>
      <c r="AQ650" s="580"/>
      <c r="AR650" s="580"/>
    </row>
    <row r="651" spans="1:44" s="96" customFormat="1" ht="13.8">
      <c r="A651" s="87"/>
      <c r="B651" s="753"/>
      <c r="C651" s="89"/>
      <c r="D651" s="753"/>
      <c r="E651" s="753"/>
      <c r="F651" s="83"/>
      <c r="G651" s="83"/>
      <c r="H651" s="91"/>
      <c r="I651" s="91"/>
      <c r="J651" s="91"/>
      <c r="K651" s="91"/>
      <c r="L651" s="91"/>
      <c r="M651" s="91"/>
      <c r="N651" s="91"/>
      <c r="O651" s="83"/>
      <c r="P651" s="83"/>
      <c r="Q651" s="83"/>
      <c r="R651" s="83"/>
      <c r="S651" s="83"/>
      <c r="T651" s="83"/>
      <c r="U651" s="83"/>
      <c r="V651" s="83"/>
      <c r="W651" s="750"/>
      <c r="X651" s="750"/>
      <c r="Y651" s="750"/>
      <c r="Z651" s="750"/>
      <c r="AA651" s="750"/>
      <c r="AB651" s="750"/>
      <c r="AC651" s="750"/>
      <c r="AD651" s="750"/>
      <c r="AE651" s="750"/>
      <c r="AF651" s="750"/>
      <c r="AG651" s="750"/>
      <c r="AH651" s="750"/>
      <c r="AI651" s="750"/>
      <c r="AJ651" s="750"/>
      <c r="AK651" s="751"/>
      <c r="AL651" s="751"/>
      <c r="AM651" s="751"/>
      <c r="AN651" s="751"/>
      <c r="AO651" s="95"/>
      <c r="AP651" s="95"/>
      <c r="AQ651" s="580"/>
      <c r="AR651" s="580"/>
    </row>
    <row r="652" spans="1:44" s="96" customFormat="1" ht="13.8">
      <c r="A652" s="87"/>
      <c r="B652" s="753"/>
      <c r="C652" s="89"/>
      <c r="D652" s="753"/>
      <c r="E652" s="753"/>
      <c r="F652" s="83"/>
      <c r="G652" s="83"/>
      <c r="H652" s="91"/>
      <c r="I652" s="91"/>
      <c r="J652" s="91"/>
      <c r="K652" s="91"/>
      <c r="L652" s="91"/>
      <c r="M652" s="91"/>
      <c r="N652" s="91"/>
      <c r="O652" s="83"/>
      <c r="P652" s="83"/>
      <c r="Q652" s="83"/>
      <c r="R652" s="83"/>
      <c r="S652" s="83"/>
      <c r="T652" s="83"/>
      <c r="U652" s="83"/>
      <c r="V652" s="83"/>
      <c r="W652" s="750"/>
      <c r="X652" s="750"/>
      <c r="Y652" s="750"/>
      <c r="Z652" s="750"/>
      <c r="AA652" s="750"/>
      <c r="AB652" s="750"/>
      <c r="AC652" s="750"/>
      <c r="AD652" s="750"/>
      <c r="AE652" s="750"/>
      <c r="AF652" s="750"/>
      <c r="AG652" s="750"/>
      <c r="AH652" s="750"/>
      <c r="AI652" s="750"/>
      <c r="AJ652" s="750"/>
      <c r="AK652" s="751"/>
      <c r="AL652" s="751"/>
      <c r="AM652" s="751"/>
      <c r="AN652" s="751"/>
      <c r="AO652" s="95"/>
      <c r="AP652" s="95"/>
      <c r="AQ652" s="580"/>
      <c r="AR652" s="580"/>
    </row>
    <row r="653" spans="1:44" s="96" customFormat="1" ht="13.8">
      <c r="A653" s="87"/>
      <c r="B653" s="753"/>
      <c r="C653" s="89"/>
      <c r="D653" s="753"/>
      <c r="E653" s="753"/>
      <c r="F653" s="83"/>
      <c r="G653" s="83"/>
      <c r="H653" s="91"/>
      <c r="I653" s="91"/>
      <c r="J653" s="91"/>
      <c r="K653" s="91"/>
      <c r="L653" s="91"/>
      <c r="M653" s="91"/>
      <c r="N653" s="91"/>
      <c r="O653" s="83"/>
      <c r="P653" s="83"/>
      <c r="Q653" s="83"/>
      <c r="R653" s="83"/>
      <c r="S653" s="83"/>
      <c r="T653" s="83"/>
      <c r="U653" s="83"/>
      <c r="V653" s="83"/>
      <c r="W653" s="750"/>
      <c r="X653" s="750"/>
      <c r="Y653" s="750"/>
      <c r="Z653" s="750"/>
      <c r="AA653" s="750"/>
      <c r="AB653" s="750"/>
      <c r="AC653" s="750"/>
      <c r="AD653" s="750"/>
      <c r="AE653" s="750"/>
      <c r="AF653" s="750"/>
      <c r="AG653" s="750"/>
      <c r="AH653" s="750"/>
      <c r="AI653" s="750"/>
      <c r="AJ653" s="750"/>
      <c r="AK653" s="751"/>
      <c r="AL653" s="751"/>
      <c r="AM653" s="751"/>
      <c r="AN653" s="751"/>
      <c r="AO653" s="95"/>
      <c r="AP653" s="95"/>
      <c r="AQ653" s="580"/>
      <c r="AR653" s="580"/>
    </row>
    <row r="654" spans="1:44" s="96" customFormat="1" ht="13.8">
      <c r="A654" s="87"/>
      <c r="B654" s="753"/>
      <c r="C654" s="89"/>
      <c r="D654" s="753"/>
      <c r="E654" s="753"/>
      <c r="F654" s="83"/>
      <c r="G654" s="83"/>
      <c r="H654" s="91"/>
      <c r="I654" s="91"/>
      <c r="J654" s="91"/>
      <c r="K654" s="91"/>
      <c r="L654" s="91"/>
      <c r="M654" s="91"/>
      <c r="N654" s="91"/>
      <c r="O654" s="83"/>
      <c r="P654" s="83"/>
      <c r="Q654" s="83"/>
      <c r="R654" s="83"/>
      <c r="S654" s="83"/>
      <c r="T654" s="83"/>
      <c r="U654" s="83"/>
      <c r="V654" s="83"/>
      <c r="W654" s="750"/>
      <c r="X654" s="750"/>
      <c r="Y654" s="750"/>
      <c r="Z654" s="750"/>
      <c r="AA654" s="750"/>
      <c r="AB654" s="750"/>
      <c r="AC654" s="750"/>
      <c r="AD654" s="750"/>
      <c r="AE654" s="750"/>
      <c r="AF654" s="750"/>
      <c r="AG654" s="750"/>
      <c r="AH654" s="750"/>
      <c r="AI654" s="750"/>
      <c r="AJ654" s="750"/>
      <c r="AK654" s="751"/>
      <c r="AL654" s="751"/>
      <c r="AM654" s="751"/>
      <c r="AN654" s="751"/>
      <c r="AO654" s="95"/>
      <c r="AP654" s="95"/>
      <c r="AQ654" s="580"/>
      <c r="AR654" s="580"/>
    </row>
    <row r="655" spans="1:44" s="96" customFormat="1" ht="13.8">
      <c r="A655" s="87"/>
      <c r="B655" s="753"/>
      <c r="C655" s="89"/>
      <c r="D655" s="753"/>
      <c r="E655" s="753"/>
      <c r="F655" s="83"/>
      <c r="G655" s="83"/>
      <c r="H655" s="91"/>
      <c r="I655" s="91"/>
      <c r="J655" s="91"/>
      <c r="K655" s="91"/>
      <c r="L655" s="91"/>
      <c r="M655" s="91"/>
      <c r="N655" s="91"/>
      <c r="O655" s="83"/>
      <c r="P655" s="83"/>
      <c r="Q655" s="83"/>
      <c r="R655" s="83"/>
      <c r="S655" s="83"/>
      <c r="T655" s="83"/>
      <c r="U655" s="83"/>
      <c r="V655" s="83"/>
      <c r="W655" s="750"/>
      <c r="X655" s="750"/>
      <c r="Y655" s="750"/>
      <c r="Z655" s="750"/>
      <c r="AA655" s="750"/>
      <c r="AB655" s="750"/>
      <c r="AC655" s="750"/>
      <c r="AD655" s="750"/>
      <c r="AE655" s="750"/>
      <c r="AF655" s="750"/>
      <c r="AG655" s="750"/>
      <c r="AH655" s="750"/>
      <c r="AI655" s="750"/>
      <c r="AJ655" s="750"/>
      <c r="AK655" s="751"/>
      <c r="AL655" s="751"/>
      <c r="AM655" s="751"/>
      <c r="AN655" s="751"/>
      <c r="AO655" s="95"/>
      <c r="AP655" s="95"/>
      <c r="AQ655" s="580"/>
      <c r="AR655" s="580"/>
    </row>
    <row r="656" spans="1:44" s="96" customFormat="1" ht="13.8">
      <c r="A656" s="87"/>
      <c r="B656" s="753"/>
      <c r="C656" s="89"/>
      <c r="D656" s="753"/>
      <c r="E656" s="753"/>
      <c r="F656" s="83"/>
      <c r="G656" s="83"/>
      <c r="H656" s="91"/>
      <c r="I656" s="91"/>
      <c r="J656" s="91"/>
      <c r="K656" s="91"/>
      <c r="L656" s="91"/>
      <c r="M656" s="91"/>
      <c r="N656" s="91"/>
      <c r="O656" s="83"/>
      <c r="P656" s="83"/>
      <c r="Q656" s="83"/>
      <c r="R656" s="83"/>
      <c r="S656" s="83"/>
      <c r="T656" s="83"/>
      <c r="U656" s="83"/>
      <c r="V656" s="83"/>
      <c r="W656" s="750"/>
      <c r="X656" s="750"/>
      <c r="Y656" s="750"/>
      <c r="Z656" s="750"/>
      <c r="AA656" s="750"/>
      <c r="AB656" s="750"/>
      <c r="AC656" s="750"/>
      <c r="AD656" s="750"/>
      <c r="AE656" s="750"/>
      <c r="AF656" s="750"/>
      <c r="AG656" s="750"/>
      <c r="AH656" s="750"/>
      <c r="AI656" s="750"/>
      <c r="AJ656" s="750"/>
      <c r="AK656" s="751"/>
      <c r="AL656" s="751"/>
      <c r="AM656" s="751"/>
      <c r="AN656" s="751"/>
      <c r="AO656" s="95"/>
      <c r="AP656" s="95"/>
      <c r="AQ656" s="580"/>
      <c r="AR656" s="580"/>
    </row>
    <row r="657" spans="1:44" s="96" customFormat="1" ht="13.8">
      <c r="A657" s="87"/>
      <c r="B657" s="753"/>
      <c r="C657" s="89"/>
      <c r="D657" s="753"/>
      <c r="E657" s="753"/>
      <c r="F657" s="83"/>
      <c r="G657" s="83"/>
      <c r="H657" s="91"/>
      <c r="I657" s="91"/>
      <c r="J657" s="91"/>
      <c r="K657" s="91"/>
      <c r="L657" s="91"/>
      <c r="M657" s="91"/>
      <c r="N657" s="91"/>
      <c r="O657" s="83"/>
      <c r="P657" s="83"/>
      <c r="Q657" s="83"/>
      <c r="R657" s="83"/>
      <c r="S657" s="83"/>
      <c r="T657" s="83"/>
      <c r="U657" s="83"/>
      <c r="V657" s="83"/>
      <c r="W657" s="750"/>
      <c r="X657" s="750"/>
      <c r="Y657" s="750"/>
      <c r="Z657" s="750"/>
      <c r="AA657" s="750"/>
      <c r="AB657" s="750"/>
      <c r="AC657" s="750"/>
      <c r="AD657" s="750"/>
      <c r="AE657" s="750"/>
      <c r="AF657" s="750"/>
      <c r="AG657" s="750"/>
      <c r="AH657" s="750"/>
      <c r="AI657" s="750"/>
      <c r="AJ657" s="750"/>
      <c r="AK657" s="751"/>
      <c r="AL657" s="751"/>
      <c r="AM657" s="751"/>
      <c r="AN657" s="751"/>
      <c r="AO657" s="95"/>
      <c r="AP657" s="95"/>
      <c r="AQ657" s="580"/>
      <c r="AR657" s="580"/>
    </row>
    <row r="658" spans="1:44" s="96" customFormat="1" ht="13.8">
      <c r="A658" s="87"/>
      <c r="B658" s="753"/>
      <c r="C658" s="89"/>
      <c r="D658" s="753"/>
      <c r="E658" s="753"/>
      <c r="F658" s="83"/>
      <c r="G658" s="83"/>
      <c r="H658" s="91"/>
      <c r="I658" s="91"/>
      <c r="J658" s="91"/>
      <c r="K658" s="91"/>
      <c r="L658" s="91"/>
      <c r="M658" s="91"/>
      <c r="N658" s="91"/>
      <c r="O658" s="83"/>
      <c r="P658" s="83"/>
      <c r="Q658" s="83"/>
      <c r="R658" s="83"/>
      <c r="S658" s="83"/>
      <c r="T658" s="83"/>
      <c r="U658" s="83"/>
      <c r="V658" s="83"/>
      <c r="W658" s="750"/>
      <c r="X658" s="750"/>
      <c r="Y658" s="750"/>
      <c r="Z658" s="750"/>
      <c r="AA658" s="750"/>
      <c r="AB658" s="750"/>
      <c r="AC658" s="750"/>
      <c r="AD658" s="750"/>
      <c r="AE658" s="750"/>
      <c r="AF658" s="750"/>
      <c r="AG658" s="750"/>
      <c r="AH658" s="750"/>
      <c r="AI658" s="750"/>
      <c r="AJ658" s="750"/>
      <c r="AK658" s="751"/>
      <c r="AL658" s="751"/>
      <c r="AM658" s="751"/>
      <c r="AN658" s="751"/>
      <c r="AO658" s="95"/>
      <c r="AP658" s="95"/>
      <c r="AQ658" s="580"/>
      <c r="AR658" s="580"/>
    </row>
    <row r="659" spans="1:44" s="96" customFormat="1" ht="13.8">
      <c r="A659" s="87"/>
      <c r="B659" s="753"/>
      <c r="C659" s="89"/>
      <c r="D659" s="753"/>
      <c r="E659" s="753"/>
      <c r="F659" s="83"/>
      <c r="G659" s="83"/>
      <c r="H659" s="91"/>
      <c r="I659" s="91"/>
      <c r="J659" s="91"/>
      <c r="K659" s="91"/>
      <c r="L659" s="91"/>
      <c r="M659" s="91"/>
      <c r="N659" s="91"/>
      <c r="O659" s="83"/>
      <c r="P659" s="83"/>
      <c r="Q659" s="83"/>
      <c r="R659" s="83"/>
      <c r="S659" s="83"/>
      <c r="T659" s="83"/>
      <c r="U659" s="83"/>
      <c r="V659" s="83"/>
      <c r="W659" s="750"/>
      <c r="X659" s="750"/>
      <c r="Y659" s="750"/>
      <c r="Z659" s="750"/>
      <c r="AA659" s="750"/>
      <c r="AB659" s="750"/>
      <c r="AC659" s="750"/>
      <c r="AD659" s="750"/>
      <c r="AE659" s="750"/>
      <c r="AF659" s="750"/>
      <c r="AG659" s="750"/>
      <c r="AH659" s="750"/>
      <c r="AI659" s="750"/>
      <c r="AJ659" s="750"/>
      <c r="AK659" s="751"/>
      <c r="AL659" s="751"/>
      <c r="AM659" s="751"/>
      <c r="AN659" s="751"/>
      <c r="AO659" s="95"/>
      <c r="AP659" s="95"/>
      <c r="AQ659" s="580"/>
      <c r="AR659" s="580"/>
    </row>
    <row r="660" spans="1:44" s="96" customFormat="1" ht="13.8">
      <c r="A660" s="87"/>
      <c r="B660" s="753"/>
      <c r="C660" s="89"/>
      <c r="D660" s="753"/>
      <c r="E660" s="753"/>
      <c r="F660" s="83"/>
      <c r="G660" s="83"/>
      <c r="H660" s="91"/>
      <c r="I660" s="91"/>
      <c r="J660" s="91"/>
      <c r="K660" s="91"/>
      <c r="L660" s="91"/>
      <c r="M660" s="91"/>
      <c r="N660" s="91"/>
      <c r="O660" s="83"/>
      <c r="P660" s="83"/>
      <c r="Q660" s="83"/>
      <c r="R660" s="83"/>
      <c r="S660" s="83"/>
      <c r="T660" s="83"/>
      <c r="U660" s="83"/>
      <c r="V660" s="83"/>
      <c r="W660" s="750"/>
      <c r="X660" s="750"/>
      <c r="Y660" s="750"/>
      <c r="Z660" s="750"/>
      <c r="AA660" s="750"/>
      <c r="AB660" s="750"/>
      <c r="AC660" s="750"/>
      <c r="AD660" s="750"/>
      <c r="AE660" s="750"/>
      <c r="AF660" s="750"/>
      <c r="AG660" s="750"/>
      <c r="AH660" s="750"/>
      <c r="AI660" s="750"/>
      <c r="AJ660" s="750"/>
      <c r="AK660" s="751"/>
      <c r="AL660" s="751"/>
      <c r="AM660" s="751"/>
      <c r="AN660" s="751"/>
      <c r="AO660" s="95"/>
      <c r="AP660" s="95"/>
      <c r="AQ660" s="580"/>
      <c r="AR660" s="580"/>
    </row>
    <row r="661" spans="1:44" s="96" customFormat="1" ht="13.8">
      <c r="A661" s="87"/>
      <c r="B661" s="753"/>
      <c r="C661" s="89"/>
      <c r="D661" s="753"/>
      <c r="E661" s="753"/>
      <c r="F661" s="83"/>
      <c r="G661" s="83"/>
      <c r="H661" s="91"/>
      <c r="I661" s="91"/>
      <c r="J661" s="91"/>
      <c r="K661" s="91"/>
      <c r="L661" s="91"/>
      <c r="M661" s="91"/>
      <c r="N661" s="91"/>
      <c r="O661" s="83"/>
      <c r="P661" s="83"/>
      <c r="Q661" s="83"/>
      <c r="R661" s="83"/>
      <c r="S661" s="83"/>
      <c r="T661" s="83"/>
      <c r="U661" s="83"/>
      <c r="V661" s="83"/>
      <c r="W661" s="750"/>
      <c r="X661" s="750"/>
      <c r="Y661" s="750"/>
      <c r="Z661" s="750"/>
      <c r="AA661" s="750"/>
      <c r="AB661" s="750"/>
      <c r="AC661" s="750"/>
      <c r="AD661" s="750"/>
      <c r="AE661" s="750"/>
      <c r="AF661" s="750"/>
      <c r="AG661" s="750"/>
      <c r="AH661" s="750"/>
      <c r="AI661" s="750"/>
      <c r="AJ661" s="750"/>
      <c r="AK661" s="751"/>
      <c r="AL661" s="751"/>
      <c r="AM661" s="751"/>
      <c r="AN661" s="751"/>
      <c r="AO661" s="95"/>
      <c r="AP661" s="95"/>
      <c r="AQ661" s="580"/>
      <c r="AR661" s="580"/>
    </row>
    <row r="662" spans="1:44" s="96" customFormat="1" ht="13.8">
      <c r="A662" s="87"/>
      <c r="B662" s="753"/>
      <c r="C662" s="89"/>
      <c r="D662" s="753"/>
      <c r="E662" s="753"/>
      <c r="F662" s="83"/>
      <c r="G662" s="83"/>
      <c r="H662" s="91"/>
      <c r="I662" s="91"/>
      <c r="J662" s="91"/>
      <c r="K662" s="91"/>
      <c r="L662" s="91"/>
      <c r="M662" s="91"/>
      <c r="N662" s="91"/>
      <c r="O662" s="83"/>
      <c r="P662" s="83"/>
      <c r="Q662" s="83"/>
      <c r="R662" s="83"/>
      <c r="S662" s="83"/>
      <c r="T662" s="83"/>
      <c r="U662" s="83"/>
      <c r="V662" s="83"/>
      <c r="W662" s="750"/>
      <c r="X662" s="750"/>
      <c r="Y662" s="750"/>
      <c r="Z662" s="750"/>
      <c r="AA662" s="750"/>
      <c r="AB662" s="750"/>
      <c r="AC662" s="750"/>
      <c r="AD662" s="750"/>
      <c r="AE662" s="750"/>
      <c r="AF662" s="750"/>
      <c r="AG662" s="750"/>
      <c r="AH662" s="750"/>
      <c r="AI662" s="750"/>
      <c r="AJ662" s="750"/>
      <c r="AK662" s="751"/>
      <c r="AL662" s="751"/>
      <c r="AM662" s="751"/>
      <c r="AN662" s="751"/>
      <c r="AO662" s="95"/>
      <c r="AP662" s="95"/>
      <c r="AQ662" s="580"/>
      <c r="AR662" s="580"/>
    </row>
    <row r="663" spans="1:44" s="96" customFormat="1" ht="13.8">
      <c r="A663" s="87"/>
      <c r="B663" s="753"/>
      <c r="C663" s="89"/>
      <c r="D663" s="753"/>
      <c r="E663" s="753"/>
      <c r="F663" s="83"/>
      <c r="G663" s="83"/>
      <c r="H663" s="91"/>
      <c r="I663" s="91"/>
      <c r="J663" s="91"/>
      <c r="K663" s="91"/>
      <c r="L663" s="91"/>
      <c r="M663" s="91"/>
      <c r="N663" s="91"/>
      <c r="O663" s="83"/>
      <c r="P663" s="83"/>
      <c r="Q663" s="83"/>
      <c r="R663" s="83"/>
      <c r="S663" s="83"/>
      <c r="T663" s="83"/>
      <c r="U663" s="83"/>
      <c r="V663" s="83"/>
      <c r="W663" s="750"/>
      <c r="X663" s="750"/>
      <c r="Y663" s="750"/>
      <c r="Z663" s="750"/>
      <c r="AA663" s="750"/>
      <c r="AB663" s="750"/>
      <c r="AC663" s="750"/>
      <c r="AD663" s="750"/>
      <c r="AE663" s="750"/>
      <c r="AF663" s="750"/>
      <c r="AG663" s="750"/>
      <c r="AH663" s="750"/>
      <c r="AI663" s="750"/>
      <c r="AJ663" s="750"/>
      <c r="AK663" s="751"/>
      <c r="AL663" s="751"/>
      <c r="AM663" s="751"/>
      <c r="AN663" s="751"/>
      <c r="AO663" s="95"/>
      <c r="AP663" s="95"/>
      <c r="AQ663" s="580"/>
      <c r="AR663" s="580"/>
    </row>
    <row r="664" spans="1:44" s="96" customFormat="1" ht="13.8">
      <c r="A664" s="87"/>
      <c r="B664" s="753"/>
      <c r="C664" s="89"/>
      <c r="D664" s="753"/>
      <c r="E664" s="753"/>
      <c r="F664" s="83"/>
      <c r="G664" s="83"/>
      <c r="H664" s="91"/>
      <c r="I664" s="91"/>
      <c r="J664" s="91"/>
      <c r="K664" s="91"/>
      <c r="L664" s="91"/>
      <c r="M664" s="91"/>
      <c r="N664" s="91"/>
      <c r="O664" s="83"/>
      <c r="P664" s="83"/>
      <c r="Q664" s="83"/>
      <c r="R664" s="83"/>
      <c r="S664" s="83"/>
      <c r="T664" s="83"/>
      <c r="U664" s="83"/>
      <c r="V664" s="83"/>
      <c r="W664" s="750"/>
      <c r="X664" s="750"/>
      <c r="Y664" s="750"/>
      <c r="Z664" s="750"/>
      <c r="AA664" s="750"/>
      <c r="AB664" s="750"/>
      <c r="AC664" s="750"/>
      <c r="AD664" s="750"/>
      <c r="AE664" s="750"/>
      <c r="AF664" s="750"/>
      <c r="AG664" s="750"/>
      <c r="AH664" s="750"/>
      <c r="AI664" s="750"/>
      <c r="AJ664" s="750"/>
      <c r="AK664" s="751"/>
      <c r="AL664" s="751"/>
      <c r="AM664" s="751"/>
      <c r="AN664" s="751"/>
      <c r="AO664" s="95"/>
      <c r="AP664" s="95"/>
      <c r="AQ664" s="580"/>
      <c r="AR664" s="580"/>
    </row>
    <row r="665" spans="1:44" s="96" customFormat="1" ht="13.8">
      <c r="A665" s="87"/>
      <c r="B665" s="753"/>
      <c r="C665" s="89"/>
      <c r="D665" s="753"/>
      <c r="E665" s="753"/>
      <c r="F665" s="83"/>
      <c r="G665" s="83"/>
      <c r="H665" s="91"/>
      <c r="I665" s="91"/>
      <c r="J665" s="91"/>
      <c r="K665" s="91"/>
      <c r="L665" s="91"/>
      <c r="M665" s="91"/>
      <c r="N665" s="91"/>
      <c r="O665" s="83"/>
      <c r="P665" s="83"/>
      <c r="Q665" s="83"/>
      <c r="R665" s="83"/>
      <c r="S665" s="83"/>
      <c r="T665" s="83"/>
      <c r="U665" s="83"/>
      <c r="V665" s="83"/>
      <c r="W665" s="750"/>
      <c r="X665" s="750"/>
      <c r="Y665" s="750"/>
      <c r="Z665" s="750"/>
      <c r="AA665" s="750"/>
      <c r="AB665" s="750"/>
      <c r="AC665" s="750"/>
      <c r="AD665" s="750"/>
      <c r="AE665" s="750"/>
      <c r="AF665" s="750"/>
      <c r="AG665" s="750"/>
      <c r="AH665" s="750"/>
      <c r="AI665" s="750"/>
      <c r="AJ665" s="750"/>
      <c r="AK665" s="751"/>
      <c r="AL665" s="751"/>
      <c r="AM665" s="751"/>
      <c r="AN665" s="751"/>
      <c r="AO665" s="95"/>
      <c r="AP665" s="95"/>
      <c r="AQ665" s="580"/>
      <c r="AR665" s="580"/>
    </row>
    <row r="666" spans="1:44" s="96" customFormat="1" ht="13.8">
      <c r="A666" s="87"/>
      <c r="B666" s="753"/>
      <c r="C666" s="89"/>
      <c r="D666" s="753"/>
      <c r="E666" s="753"/>
      <c r="F666" s="83"/>
      <c r="G666" s="83"/>
      <c r="H666" s="91"/>
      <c r="I666" s="91"/>
      <c r="J666" s="91"/>
      <c r="K666" s="91"/>
      <c r="L666" s="91"/>
      <c r="M666" s="91"/>
      <c r="N666" s="91"/>
      <c r="O666" s="83"/>
      <c r="P666" s="83"/>
      <c r="Q666" s="83"/>
      <c r="R666" s="83"/>
      <c r="S666" s="83"/>
      <c r="T666" s="83"/>
      <c r="U666" s="83"/>
      <c r="V666" s="83"/>
      <c r="W666" s="750"/>
      <c r="X666" s="750"/>
      <c r="Y666" s="750"/>
      <c r="Z666" s="750"/>
      <c r="AA666" s="750"/>
      <c r="AB666" s="750"/>
      <c r="AC666" s="750"/>
      <c r="AD666" s="750"/>
      <c r="AE666" s="750"/>
      <c r="AF666" s="750"/>
      <c r="AG666" s="750"/>
      <c r="AH666" s="750"/>
      <c r="AI666" s="750"/>
      <c r="AJ666" s="750"/>
      <c r="AK666" s="751"/>
      <c r="AL666" s="751"/>
      <c r="AM666" s="751"/>
      <c r="AN666" s="751"/>
      <c r="AO666" s="95"/>
      <c r="AP666" s="95"/>
      <c r="AQ666" s="580"/>
      <c r="AR666" s="580"/>
    </row>
    <row r="667" spans="1:44" s="96" customFormat="1" ht="13.8">
      <c r="A667" s="87"/>
      <c r="B667" s="753"/>
      <c r="C667" s="89"/>
      <c r="D667" s="753"/>
      <c r="E667" s="753"/>
      <c r="F667" s="83"/>
      <c r="G667" s="83"/>
      <c r="H667" s="91"/>
      <c r="I667" s="91"/>
      <c r="J667" s="91"/>
      <c r="K667" s="91"/>
      <c r="L667" s="91"/>
      <c r="M667" s="91"/>
      <c r="N667" s="91"/>
      <c r="O667" s="83"/>
      <c r="P667" s="83"/>
      <c r="Q667" s="83"/>
      <c r="R667" s="83"/>
      <c r="S667" s="83"/>
      <c r="T667" s="83"/>
      <c r="U667" s="83"/>
      <c r="V667" s="83"/>
      <c r="W667" s="750"/>
      <c r="X667" s="750"/>
      <c r="Y667" s="750"/>
      <c r="Z667" s="750"/>
      <c r="AA667" s="750"/>
      <c r="AB667" s="750"/>
      <c r="AC667" s="750"/>
      <c r="AD667" s="750"/>
      <c r="AE667" s="750"/>
      <c r="AF667" s="750"/>
      <c r="AG667" s="750"/>
      <c r="AH667" s="750"/>
      <c r="AI667" s="750"/>
      <c r="AJ667" s="750"/>
      <c r="AK667" s="751"/>
      <c r="AL667" s="751"/>
      <c r="AM667" s="751"/>
      <c r="AN667" s="751"/>
      <c r="AO667" s="95"/>
      <c r="AP667" s="95"/>
      <c r="AQ667" s="580"/>
      <c r="AR667" s="580"/>
    </row>
    <row r="668" spans="1:44" s="96" customFormat="1" ht="13.8">
      <c r="A668" s="87"/>
      <c r="B668" s="753"/>
      <c r="C668" s="89"/>
      <c r="D668" s="753"/>
      <c r="E668" s="753"/>
      <c r="F668" s="83"/>
      <c r="G668" s="83"/>
      <c r="H668" s="91"/>
      <c r="I668" s="91"/>
      <c r="J668" s="91"/>
      <c r="K668" s="91"/>
      <c r="L668" s="91"/>
      <c r="M668" s="91"/>
      <c r="N668" s="91"/>
      <c r="O668" s="83"/>
      <c r="P668" s="83"/>
      <c r="Q668" s="83"/>
      <c r="R668" s="83"/>
      <c r="S668" s="83"/>
      <c r="T668" s="83"/>
      <c r="U668" s="83"/>
      <c r="V668" s="83"/>
      <c r="W668" s="750"/>
      <c r="X668" s="750"/>
      <c r="Y668" s="750"/>
      <c r="Z668" s="750"/>
      <c r="AA668" s="750"/>
      <c r="AB668" s="750"/>
      <c r="AC668" s="750"/>
      <c r="AD668" s="750"/>
      <c r="AE668" s="750"/>
      <c r="AF668" s="750"/>
      <c r="AG668" s="750"/>
      <c r="AH668" s="750"/>
      <c r="AI668" s="750"/>
      <c r="AJ668" s="750"/>
      <c r="AK668" s="751"/>
      <c r="AL668" s="751"/>
      <c r="AM668" s="751"/>
      <c r="AN668" s="751"/>
      <c r="AO668" s="95"/>
      <c r="AP668" s="95"/>
      <c r="AQ668" s="580"/>
      <c r="AR668" s="580"/>
    </row>
    <row r="669" spans="1:44" s="96" customFormat="1" ht="13.8">
      <c r="A669" s="87"/>
      <c r="B669" s="753"/>
      <c r="C669" s="89"/>
      <c r="D669" s="753"/>
      <c r="E669" s="753"/>
      <c r="F669" s="83"/>
      <c r="G669" s="83"/>
      <c r="H669" s="91"/>
      <c r="I669" s="91"/>
      <c r="J669" s="91"/>
      <c r="K669" s="91"/>
      <c r="L669" s="91"/>
      <c r="M669" s="91"/>
      <c r="N669" s="91"/>
      <c r="O669" s="83"/>
      <c r="P669" s="83"/>
      <c r="Q669" s="83"/>
      <c r="R669" s="83"/>
      <c r="S669" s="83"/>
      <c r="T669" s="83"/>
      <c r="U669" s="83"/>
      <c r="V669" s="83"/>
      <c r="W669" s="750"/>
      <c r="X669" s="750"/>
      <c r="Y669" s="750"/>
      <c r="Z669" s="750"/>
      <c r="AA669" s="750"/>
      <c r="AB669" s="750"/>
      <c r="AC669" s="750"/>
      <c r="AD669" s="750"/>
      <c r="AE669" s="750"/>
      <c r="AF669" s="750"/>
      <c r="AG669" s="750"/>
      <c r="AH669" s="750"/>
      <c r="AI669" s="750"/>
      <c r="AJ669" s="750"/>
      <c r="AK669" s="751"/>
      <c r="AL669" s="751"/>
      <c r="AM669" s="751"/>
      <c r="AN669" s="751"/>
      <c r="AO669" s="95"/>
      <c r="AP669" s="95"/>
      <c r="AQ669" s="580"/>
      <c r="AR669" s="580"/>
    </row>
    <row r="670" spans="1:44" s="96" customFormat="1" ht="13.8">
      <c r="A670" s="87"/>
      <c r="B670" s="753"/>
      <c r="C670" s="89"/>
      <c r="D670" s="753"/>
      <c r="E670" s="753"/>
      <c r="F670" s="83"/>
      <c r="G670" s="83"/>
      <c r="H670" s="91"/>
      <c r="I670" s="91"/>
      <c r="J670" s="91"/>
      <c r="K670" s="91"/>
      <c r="L670" s="91"/>
      <c r="M670" s="91"/>
      <c r="N670" s="91"/>
      <c r="O670" s="83"/>
      <c r="P670" s="83"/>
      <c r="Q670" s="83"/>
      <c r="R670" s="83"/>
      <c r="S670" s="83"/>
      <c r="T670" s="83"/>
      <c r="U670" s="83"/>
      <c r="V670" s="83"/>
      <c r="W670" s="750"/>
      <c r="X670" s="750"/>
      <c r="Y670" s="750"/>
      <c r="Z670" s="750"/>
      <c r="AA670" s="750"/>
      <c r="AB670" s="750"/>
      <c r="AC670" s="750"/>
      <c r="AD670" s="750"/>
      <c r="AE670" s="750"/>
      <c r="AF670" s="750"/>
      <c r="AG670" s="750"/>
      <c r="AH670" s="750"/>
      <c r="AI670" s="750"/>
      <c r="AJ670" s="750"/>
      <c r="AK670" s="751"/>
      <c r="AL670" s="751"/>
      <c r="AM670" s="751"/>
      <c r="AN670" s="751"/>
      <c r="AO670" s="95"/>
      <c r="AP670" s="95"/>
      <c r="AQ670" s="580"/>
      <c r="AR670" s="580"/>
    </row>
    <row r="671" spans="1:44" s="96" customFormat="1" ht="13.8">
      <c r="A671" s="87"/>
      <c r="B671" s="753"/>
      <c r="C671" s="89"/>
      <c r="D671" s="753"/>
      <c r="E671" s="753"/>
      <c r="F671" s="83"/>
      <c r="G671" s="83"/>
      <c r="H671" s="91"/>
      <c r="I671" s="91"/>
      <c r="J671" s="91"/>
      <c r="K671" s="91"/>
      <c r="L671" s="91"/>
      <c r="M671" s="91"/>
      <c r="N671" s="91"/>
      <c r="O671" s="83"/>
      <c r="P671" s="83"/>
      <c r="Q671" s="83"/>
      <c r="R671" s="83"/>
      <c r="S671" s="83"/>
      <c r="T671" s="83"/>
      <c r="U671" s="83"/>
      <c r="V671" s="83"/>
      <c r="W671" s="750"/>
      <c r="X671" s="750"/>
      <c r="Y671" s="750"/>
      <c r="Z671" s="750"/>
      <c r="AA671" s="750"/>
      <c r="AB671" s="750"/>
      <c r="AC671" s="750"/>
      <c r="AD671" s="750"/>
      <c r="AE671" s="750"/>
      <c r="AF671" s="750"/>
      <c r="AG671" s="750"/>
      <c r="AH671" s="750"/>
      <c r="AI671" s="750"/>
      <c r="AJ671" s="750"/>
      <c r="AK671" s="751"/>
      <c r="AL671" s="751"/>
      <c r="AM671" s="751"/>
      <c r="AN671" s="751"/>
      <c r="AO671" s="95"/>
      <c r="AP671" s="95"/>
      <c r="AQ671" s="580"/>
      <c r="AR671" s="580"/>
    </row>
    <row r="672" spans="1:44" s="96" customFormat="1" ht="13.8">
      <c r="A672" s="87"/>
      <c r="B672" s="753"/>
      <c r="C672" s="89"/>
      <c r="D672" s="753"/>
      <c r="E672" s="753"/>
      <c r="F672" s="83"/>
      <c r="G672" s="83"/>
      <c r="H672" s="91"/>
      <c r="I672" s="91"/>
      <c r="J672" s="91"/>
      <c r="K672" s="91"/>
      <c r="L672" s="91"/>
      <c r="M672" s="91"/>
      <c r="N672" s="91"/>
      <c r="O672" s="83"/>
      <c r="P672" s="83"/>
      <c r="Q672" s="83"/>
      <c r="R672" s="83"/>
      <c r="S672" s="83"/>
      <c r="T672" s="83"/>
      <c r="U672" s="83"/>
      <c r="V672" s="83"/>
      <c r="W672" s="750"/>
      <c r="X672" s="750"/>
      <c r="Y672" s="750"/>
      <c r="Z672" s="750"/>
      <c r="AA672" s="750"/>
      <c r="AB672" s="750"/>
      <c r="AC672" s="750"/>
      <c r="AD672" s="750"/>
      <c r="AE672" s="750"/>
      <c r="AF672" s="750"/>
      <c r="AG672" s="750"/>
      <c r="AH672" s="750"/>
      <c r="AI672" s="750"/>
      <c r="AJ672" s="750"/>
      <c r="AK672" s="751"/>
      <c r="AL672" s="751"/>
      <c r="AM672" s="751"/>
      <c r="AN672" s="751"/>
      <c r="AO672" s="95"/>
      <c r="AP672" s="95"/>
      <c r="AQ672" s="580"/>
      <c r="AR672" s="580"/>
    </row>
    <row r="673" spans="1:44" s="96" customFormat="1" ht="13.8">
      <c r="A673" s="87"/>
      <c r="B673" s="753"/>
      <c r="C673" s="89"/>
      <c r="D673" s="753"/>
      <c r="E673" s="753"/>
      <c r="F673" s="83"/>
      <c r="G673" s="83"/>
      <c r="H673" s="91"/>
      <c r="I673" s="91"/>
      <c r="J673" s="91"/>
      <c r="K673" s="91"/>
      <c r="L673" s="91"/>
      <c r="M673" s="91"/>
      <c r="N673" s="91"/>
      <c r="O673" s="83"/>
      <c r="P673" s="83"/>
      <c r="Q673" s="83"/>
      <c r="R673" s="83"/>
      <c r="S673" s="83"/>
      <c r="T673" s="83"/>
      <c r="U673" s="83"/>
      <c r="V673" s="83"/>
      <c r="W673" s="750"/>
      <c r="X673" s="750"/>
      <c r="Y673" s="750"/>
      <c r="Z673" s="750"/>
      <c r="AA673" s="750"/>
      <c r="AB673" s="750"/>
      <c r="AC673" s="750"/>
      <c r="AD673" s="750"/>
      <c r="AE673" s="750"/>
      <c r="AF673" s="750"/>
      <c r="AG673" s="750"/>
      <c r="AH673" s="750"/>
      <c r="AI673" s="750"/>
      <c r="AJ673" s="750"/>
      <c r="AK673" s="751"/>
      <c r="AL673" s="751"/>
      <c r="AM673" s="751"/>
      <c r="AN673" s="751"/>
      <c r="AO673" s="95"/>
      <c r="AP673" s="95"/>
      <c r="AQ673" s="580"/>
      <c r="AR673" s="580"/>
    </row>
    <row r="674" spans="1:44" s="96" customFormat="1" ht="13.8">
      <c r="A674" s="87"/>
      <c r="B674" s="753"/>
      <c r="C674" s="89"/>
      <c r="D674" s="753"/>
      <c r="E674" s="753"/>
      <c r="F674" s="83"/>
      <c r="G674" s="83"/>
      <c r="H674" s="91"/>
      <c r="I674" s="91"/>
      <c r="J674" s="91"/>
      <c r="K674" s="91"/>
      <c r="L674" s="91"/>
      <c r="M674" s="91"/>
      <c r="N674" s="91"/>
      <c r="O674" s="83"/>
      <c r="P674" s="83"/>
      <c r="Q674" s="83"/>
      <c r="R674" s="83"/>
      <c r="S674" s="83"/>
      <c r="T674" s="83"/>
      <c r="U674" s="83"/>
      <c r="V674" s="83"/>
      <c r="W674" s="750"/>
      <c r="X674" s="750"/>
      <c r="Y674" s="750"/>
      <c r="Z674" s="750"/>
      <c r="AA674" s="750"/>
      <c r="AB674" s="750"/>
      <c r="AC674" s="750"/>
      <c r="AD674" s="750"/>
      <c r="AE674" s="750"/>
      <c r="AF674" s="750"/>
      <c r="AG674" s="750"/>
      <c r="AH674" s="750"/>
      <c r="AI674" s="750"/>
      <c r="AJ674" s="750"/>
      <c r="AK674" s="751"/>
      <c r="AL674" s="751"/>
      <c r="AM674" s="751"/>
      <c r="AN674" s="751"/>
      <c r="AO674" s="95"/>
      <c r="AP674" s="95"/>
      <c r="AQ674" s="580"/>
      <c r="AR674" s="580"/>
    </row>
    <row r="675" spans="1:44" s="96" customFormat="1" ht="13.8">
      <c r="A675" s="87"/>
      <c r="B675" s="753"/>
      <c r="C675" s="89"/>
      <c r="D675" s="753"/>
      <c r="E675" s="753"/>
      <c r="F675" s="83"/>
      <c r="G675" s="83"/>
      <c r="H675" s="91"/>
      <c r="I675" s="91"/>
      <c r="J675" s="91"/>
      <c r="K675" s="91"/>
      <c r="L675" s="91"/>
      <c r="M675" s="91"/>
      <c r="N675" s="91"/>
      <c r="O675" s="83"/>
      <c r="P675" s="83"/>
      <c r="Q675" s="83"/>
      <c r="R675" s="83"/>
      <c r="S675" s="83"/>
      <c r="T675" s="83"/>
      <c r="U675" s="83"/>
      <c r="V675" s="83"/>
      <c r="W675" s="750"/>
      <c r="X675" s="750"/>
      <c r="Y675" s="750"/>
      <c r="Z675" s="750"/>
      <c r="AA675" s="750"/>
      <c r="AB675" s="750"/>
      <c r="AC675" s="750"/>
      <c r="AD675" s="750"/>
      <c r="AE675" s="750"/>
      <c r="AF675" s="750"/>
      <c r="AG675" s="750"/>
      <c r="AH675" s="750"/>
      <c r="AI675" s="750"/>
      <c r="AJ675" s="750"/>
      <c r="AK675" s="751"/>
      <c r="AL675" s="751"/>
      <c r="AM675" s="751"/>
      <c r="AN675" s="751"/>
      <c r="AO675" s="95"/>
      <c r="AP675" s="95"/>
      <c r="AQ675" s="580"/>
      <c r="AR675" s="580"/>
    </row>
    <row r="676" spans="1:44" s="96" customFormat="1" ht="13.8">
      <c r="A676" s="87"/>
      <c r="B676" s="753"/>
      <c r="C676" s="89"/>
      <c r="D676" s="753"/>
      <c r="E676" s="753"/>
      <c r="F676" s="83"/>
      <c r="G676" s="83"/>
      <c r="H676" s="91"/>
      <c r="I676" s="91"/>
      <c r="J676" s="91"/>
      <c r="K676" s="91"/>
      <c r="L676" s="91"/>
      <c r="M676" s="91"/>
      <c r="N676" s="91"/>
      <c r="O676" s="83"/>
      <c r="P676" s="83"/>
      <c r="Q676" s="83"/>
      <c r="R676" s="83"/>
      <c r="S676" s="83"/>
      <c r="T676" s="83"/>
      <c r="U676" s="83"/>
      <c r="V676" s="83"/>
      <c r="W676" s="750"/>
      <c r="X676" s="750"/>
      <c r="Y676" s="750"/>
      <c r="Z676" s="750"/>
      <c r="AA676" s="750"/>
      <c r="AB676" s="750"/>
      <c r="AC676" s="750"/>
      <c r="AD676" s="750"/>
      <c r="AE676" s="750"/>
      <c r="AF676" s="750"/>
      <c r="AG676" s="750"/>
      <c r="AH676" s="750"/>
      <c r="AI676" s="750"/>
      <c r="AJ676" s="750"/>
      <c r="AK676" s="751"/>
      <c r="AL676" s="751"/>
      <c r="AM676" s="751"/>
      <c r="AN676" s="751"/>
      <c r="AO676" s="95"/>
      <c r="AP676" s="95"/>
      <c r="AQ676" s="580"/>
      <c r="AR676" s="580"/>
    </row>
    <row r="677" spans="1:44" s="96" customFormat="1" ht="13.8">
      <c r="A677" s="87"/>
      <c r="B677" s="753"/>
      <c r="C677" s="89"/>
      <c r="D677" s="753"/>
      <c r="E677" s="753"/>
      <c r="F677" s="83"/>
      <c r="G677" s="83"/>
      <c r="H677" s="91"/>
      <c r="I677" s="91"/>
      <c r="J677" s="91"/>
      <c r="K677" s="91"/>
      <c r="L677" s="91"/>
      <c r="M677" s="91"/>
      <c r="N677" s="91"/>
      <c r="O677" s="83"/>
      <c r="P677" s="83"/>
      <c r="Q677" s="83"/>
      <c r="R677" s="83"/>
      <c r="S677" s="83"/>
      <c r="T677" s="83"/>
      <c r="U677" s="83"/>
      <c r="V677" s="83"/>
      <c r="W677" s="750"/>
      <c r="X677" s="750"/>
      <c r="Y677" s="750"/>
      <c r="Z677" s="750"/>
      <c r="AA677" s="750"/>
      <c r="AB677" s="750"/>
      <c r="AC677" s="750"/>
      <c r="AD677" s="750"/>
      <c r="AE677" s="750"/>
      <c r="AF677" s="750"/>
      <c r="AG677" s="750"/>
      <c r="AH677" s="750"/>
      <c r="AI677" s="750"/>
      <c r="AJ677" s="750"/>
      <c r="AK677" s="751"/>
      <c r="AL677" s="751"/>
      <c r="AM677" s="751"/>
      <c r="AN677" s="751"/>
      <c r="AO677" s="95"/>
      <c r="AP677" s="95"/>
      <c r="AQ677" s="580"/>
      <c r="AR677" s="580"/>
    </row>
    <row r="678" spans="1:44" s="96" customFormat="1" ht="13.8">
      <c r="A678" s="87"/>
      <c r="B678" s="753"/>
      <c r="C678" s="89"/>
      <c r="D678" s="753"/>
      <c r="E678" s="753"/>
      <c r="F678" s="83"/>
      <c r="G678" s="83"/>
      <c r="H678" s="91"/>
      <c r="I678" s="91"/>
      <c r="J678" s="91"/>
      <c r="K678" s="91"/>
      <c r="L678" s="91"/>
      <c r="M678" s="91"/>
      <c r="N678" s="91"/>
      <c r="O678" s="83"/>
      <c r="P678" s="83"/>
      <c r="Q678" s="83"/>
      <c r="R678" s="83"/>
      <c r="S678" s="83"/>
      <c r="T678" s="83"/>
      <c r="U678" s="83"/>
      <c r="V678" s="83"/>
      <c r="W678" s="750"/>
      <c r="X678" s="750"/>
      <c r="Y678" s="750"/>
      <c r="Z678" s="750"/>
      <c r="AA678" s="750"/>
      <c r="AB678" s="750"/>
      <c r="AC678" s="750"/>
      <c r="AD678" s="750"/>
      <c r="AE678" s="750"/>
      <c r="AF678" s="750"/>
      <c r="AG678" s="750"/>
      <c r="AH678" s="750"/>
      <c r="AI678" s="750"/>
      <c r="AJ678" s="750"/>
      <c r="AK678" s="751"/>
      <c r="AL678" s="751"/>
      <c r="AM678" s="751"/>
      <c r="AN678" s="751"/>
      <c r="AO678" s="95"/>
      <c r="AP678" s="95"/>
      <c r="AQ678" s="580"/>
      <c r="AR678" s="580"/>
    </row>
    <row r="679" spans="1:44" s="96" customFormat="1" ht="13.8">
      <c r="A679" s="87"/>
      <c r="B679" s="753"/>
      <c r="C679" s="89"/>
      <c r="D679" s="753"/>
      <c r="E679" s="753"/>
      <c r="F679" s="83"/>
      <c r="G679" s="83"/>
      <c r="H679" s="91"/>
      <c r="I679" s="91"/>
      <c r="J679" s="91"/>
      <c r="K679" s="91"/>
      <c r="L679" s="91"/>
      <c r="M679" s="91"/>
      <c r="N679" s="91"/>
      <c r="O679" s="83"/>
      <c r="P679" s="83"/>
      <c r="Q679" s="83"/>
      <c r="R679" s="83"/>
      <c r="S679" s="83"/>
      <c r="T679" s="83"/>
      <c r="U679" s="83"/>
      <c r="V679" s="83"/>
      <c r="W679" s="750"/>
      <c r="X679" s="750"/>
      <c r="Y679" s="750"/>
      <c r="Z679" s="750"/>
      <c r="AA679" s="750"/>
      <c r="AB679" s="750"/>
      <c r="AC679" s="750"/>
      <c r="AD679" s="750"/>
      <c r="AE679" s="750"/>
      <c r="AF679" s="750"/>
      <c r="AG679" s="750"/>
      <c r="AH679" s="750"/>
      <c r="AI679" s="750"/>
      <c r="AJ679" s="750"/>
      <c r="AK679" s="751"/>
      <c r="AL679" s="751"/>
      <c r="AM679" s="751"/>
      <c r="AN679" s="751"/>
      <c r="AO679" s="95"/>
      <c r="AP679" s="95"/>
      <c r="AQ679" s="580"/>
      <c r="AR679" s="580"/>
    </row>
    <row r="680" spans="1:44" s="96" customFormat="1" ht="13.8">
      <c r="A680" s="87"/>
      <c r="B680" s="753"/>
      <c r="C680" s="89"/>
      <c r="D680" s="753"/>
      <c r="E680" s="753"/>
      <c r="F680" s="83"/>
      <c r="G680" s="83"/>
      <c r="H680" s="91"/>
      <c r="I680" s="91"/>
      <c r="J680" s="91"/>
      <c r="K680" s="91"/>
      <c r="L680" s="91"/>
      <c r="M680" s="91"/>
      <c r="N680" s="91"/>
      <c r="O680" s="83"/>
      <c r="P680" s="83"/>
      <c r="Q680" s="83"/>
      <c r="R680" s="83"/>
      <c r="S680" s="83"/>
      <c r="T680" s="83"/>
      <c r="U680" s="83"/>
      <c r="V680" s="83"/>
      <c r="W680" s="750"/>
      <c r="X680" s="750"/>
      <c r="Y680" s="750"/>
      <c r="Z680" s="750"/>
      <c r="AA680" s="750"/>
      <c r="AB680" s="750"/>
      <c r="AC680" s="750"/>
      <c r="AD680" s="750"/>
      <c r="AE680" s="750"/>
      <c r="AF680" s="750"/>
      <c r="AG680" s="750"/>
      <c r="AH680" s="750"/>
      <c r="AI680" s="750"/>
      <c r="AJ680" s="750"/>
      <c r="AK680" s="751"/>
      <c r="AL680" s="751"/>
      <c r="AM680" s="751"/>
      <c r="AN680" s="751"/>
      <c r="AO680" s="95"/>
      <c r="AP680" s="95"/>
      <c r="AQ680" s="580"/>
      <c r="AR680" s="580"/>
    </row>
    <row r="681" spans="1:44" s="96" customFormat="1" ht="13.8">
      <c r="A681" s="87"/>
      <c r="B681" s="753"/>
      <c r="C681" s="89"/>
      <c r="D681" s="753"/>
      <c r="E681" s="753"/>
      <c r="F681" s="83"/>
      <c r="G681" s="83"/>
      <c r="H681" s="91"/>
      <c r="I681" s="91"/>
      <c r="J681" s="91"/>
      <c r="K681" s="91"/>
      <c r="L681" s="91"/>
      <c r="M681" s="91"/>
      <c r="N681" s="91"/>
      <c r="O681" s="83"/>
      <c r="P681" s="83"/>
      <c r="Q681" s="83"/>
      <c r="R681" s="83"/>
      <c r="S681" s="83"/>
      <c r="T681" s="83"/>
      <c r="U681" s="83"/>
      <c r="V681" s="83"/>
      <c r="W681" s="750"/>
      <c r="X681" s="750"/>
      <c r="Y681" s="750"/>
      <c r="Z681" s="750"/>
      <c r="AA681" s="750"/>
      <c r="AB681" s="750"/>
      <c r="AC681" s="750"/>
      <c r="AD681" s="750"/>
      <c r="AE681" s="750"/>
      <c r="AF681" s="750"/>
      <c r="AG681" s="750"/>
      <c r="AH681" s="750"/>
      <c r="AI681" s="750"/>
      <c r="AJ681" s="750"/>
      <c r="AK681" s="751"/>
      <c r="AL681" s="751"/>
      <c r="AM681" s="751"/>
      <c r="AN681" s="751"/>
      <c r="AO681" s="95"/>
      <c r="AP681" s="95"/>
      <c r="AQ681" s="580"/>
      <c r="AR681" s="580"/>
    </row>
    <row r="682" spans="1:44" s="96" customFormat="1" ht="13.8">
      <c r="A682" s="87"/>
      <c r="B682" s="753"/>
      <c r="C682" s="89"/>
      <c r="D682" s="753"/>
      <c r="E682" s="753"/>
      <c r="F682" s="83"/>
      <c r="G682" s="83"/>
      <c r="H682" s="91"/>
      <c r="I682" s="91"/>
      <c r="J682" s="91"/>
      <c r="K682" s="91"/>
      <c r="L682" s="91"/>
      <c r="M682" s="91"/>
      <c r="N682" s="91"/>
      <c r="O682" s="83"/>
      <c r="P682" s="83"/>
      <c r="Q682" s="83"/>
      <c r="R682" s="83"/>
      <c r="S682" s="83"/>
      <c r="T682" s="83"/>
      <c r="U682" s="83"/>
      <c r="V682" s="83"/>
      <c r="W682" s="750"/>
      <c r="X682" s="750"/>
      <c r="Y682" s="750"/>
      <c r="Z682" s="750"/>
      <c r="AA682" s="750"/>
      <c r="AB682" s="750"/>
      <c r="AC682" s="750"/>
      <c r="AD682" s="750"/>
      <c r="AE682" s="750"/>
      <c r="AF682" s="750"/>
      <c r="AG682" s="750"/>
      <c r="AH682" s="750"/>
      <c r="AI682" s="750"/>
      <c r="AJ682" s="750"/>
      <c r="AK682" s="751"/>
      <c r="AL682" s="751"/>
      <c r="AM682" s="751"/>
      <c r="AN682" s="751"/>
      <c r="AO682" s="95"/>
      <c r="AP682" s="95"/>
      <c r="AQ682" s="580"/>
      <c r="AR682" s="580"/>
    </row>
    <row r="683" spans="1:44" s="96" customFormat="1" ht="13.8">
      <c r="A683" s="87"/>
      <c r="B683" s="753"/>
      <c r="C683" s="89"/>
      <c r="D683" s="753"/>
      <c r="E683" s="753"/>
      <c r="F683" s="83"/>
      <c r="G683" s="83"/>
      <c r="H683" s="91"/>
      <c r="I683" s="91"/>
      <c r="J683" s="91"/>
      <c r="K683" s="91"/>
      <c r="L683" s="91"/>
      <c r="M683" s="91"/>
      <c r="N683" s="91"/>
      <c r="O683" s="83"/>
      <c r="P683" s="83"/>
      <c r="Q683" s="83"/>
      <c r="R683" s="83"/>
      <c r="S683" s="83"/>
      <c r="T683" s="83"/>
      <c r="U683" s="83"/>
      <c r="V683" s="83"/>
      <c r="W683" s="750"/>
      <c r="X683" s="750"/>
      <c r="Y683" s="750"/>
      <c r="Z683" s="750"/>
      <c r="AA683" s="750"/>
      <c r="AB683" s="750"/>
      <c r="AC683" s="750"/>
      <c r="AD683" s="750"/>
      <c r="AE683" s="750"/>
      <c r="AF683" s="750"/>
      <c r="AG683" s="750"/>
      <c r="AH683" s="750"/>
      <c r="AI683" s="750"/>
      <c r="AJ683" s="750"/>
      <c r="AK683" s="751"/>
      <c r="AL683" s="751"/>
      <c r="AM683" s="751"/>
      <c r="AN683" s="751"/>
      <c r="AO683" s="95"/>
      <c r="AP683" s="95"/>
      <c r="AQ683" s="580"/>
      <c r="AR683" s="580"/>
    </row>
    <row r="684" spans="1:44" s="96" customFormat="1" ht="13.8">
      <c r="A684" s="87"/>
      <c r="B684" s="753"/>
      <c r="C684" s="89"/>
      <c r="D684" s="753"/>
      <c r="E684" s="753"/>
      <c r="F684" s="83"/>
      <c r="G684" s="83"/>
      <c r="H684" s="91"/>
      <c r="I684" s="91"/>
      <c r="J684" s="91"/>
      <c r="K684" s="91"/>
      <c r="L684" s="91"/>
      <c r="M684" s="91"/>
      <c r="N684" s="91"/>
      <c r="O684" s="83"/>
      <c r="P684" s="83"/>
      <c r="Q684" s="83"/>
      <c r="R684" s="83"/>
      <c r="S684" s="83"/>
      <c r="T684" s="83"/>
      <c r="U684" s="83"/>
      <c r="V684" s="83"/>
      <c r="W684" s="750"/>
      <c r="X684" s="750"/>
      <c r="Y684" s="750"/>
      <c r="Z684" s="750"/>
      <c r="AA684" s="750"/>
      <c r="AB684" s="750"/>
      <c r="AC684" s="750"/>
      <c r="AD684" s="750"/>
      <c r="AE684" s="750"/>
      <c r="AF684" s="750"/>
      <c r="AG684" s="750"/>
      <c r="AH684" s="750"/>
      <c r="AI684" s="750"/>
      <c r="AJ684" s="750"/>
      <c r="AK684" s="751"/>
      <c r="AL684" s="751"/>
      <c r="AM684" s="751"/>
      <c r="AN684" s="751"/>
      <c r="AO684" s="95"/>
      <c r="AP684" s="95"/>
      <c r="AQ684" s="580"/>
      <c r="AR684" s="580"/>
    </row>
    <row r="685" spans="1:44" s="96" customFormat="1" ht="13.8">
      <c r="A685" s="87"/>
      <c r="B685" s="753"/>
      <c r="C685" s="89"/>
      <c r="D685" s="753"/>
      <c r="E685" s="753"/>
      <c r="F685" s="83"/>
      <c r="G685" s="83"/>
      <c r="H685" s="91"/>
      <c r="I685" s="91"/>
      <c r="J685" s="91"/>
      <c r="K685" s="91"/>
      <c r="L685" s="91"/>
      <c r="M685" s="91"/>
      <c r="N685" s="91"/>
      <c r="O685" s="83"/>
      <c r="P685" s="83"/>
      <c r="Q685" s="83"/>
      <c r="R685" s="83"/>
      <c r="S685" s="83"/>
      <c r="T685" s="83"/>
      <c r="U685" s="83"/>
      <c r="V685" s="83"/>
      <c r="W685" s="750"/>
      <c r="X685" s="750"/>
      <c r="Y685" s="750"/>
      <c r="Z685" s="750"/>
      <c r="AA685" s="750"/>
      <c r="AB685" s="750"/>
      <c r="AC685" s="750"/>
      <c r="AD685" s="750"/>
      <c r="AE685" s="750"/>
      <c r="AF685" s="750"/>
      <c r="AG685" s="750"/>
      <c r="AH685" s="750"/>
      <c r="AI685" s="750"/>
      <c r="AJ685" s="750"/>
      <c r="AK685" s="751"/>
      <c r="AL685" s="751"/>
      <c r="AM685" s="751"/>
      <c r="AN685" s="751"/>
      <c r="AO685" s="95"/>
      <c r="AP685" s="95"/>
      <c r="AQ685" s="580"/>
      <c r="AR685" s="580"/>
    </row>
    <row r="686" spans="1:44" s="96" customFormat="1" ht="13.8">
      <c r="A686" s="87"/>
      <c r="B686" s="753"/>
      <c r="C686" s="89"/>
      <c r="D686" s="753"/>
      <c r="E686" s="753"/>
      <c r="F686" s="83"/>
      <c r="G686" s="83"/>
      <c r="H686" s="91"/>
      <c r="I686" s="91"/>
      <c r="J686" s="91"/>
      <c r="K686" s="91"/>
      <c r="L686" s="91"/>
      <c r="M686" s="91"/>
      <c r="N686" s="91"/>
      <c r="O686" s="83"/>
      <c r="P686" s="83"/>
      <c r="Q686" s="83"/>
      <c r="R686" s="83"/>
      <c r="S686" s="83"/>
      <c r="T686" s="83"/>
      <c r="U686" s="83"/>
      <c r="V686" s="83"/>
      <c r="W686" s="750"/>
      <c r="X686" s="750"/>
      <c r="Y686" s="750"/>
      <c r="Z686" s="750"/>
      <c r="AA686" s="750"/>
      <c r="AB686" s="750"/>
      <c r="AC686" s="750"/>
      <c r="AD686" s="750"/>
      <c r="AE686" s="750"/>
      <c r="AF686" s="750"/>
      <c r="AG686" s="750"/>
      <c r="AH686" s="750"/>
      <c r="AI686" s="750"/>
      <c r="AJ686" s="750"/>
      <c r="AK686" s="751"/>
      <c r="AL686" s="751"/>
      <c r="AM686" s="751"/>
      <c r="AN686" s="751"/>
      <c r="AO686" s="95"/>
      <c r="AP686" s="95"/>
      <c r="AQ686" s="580"/>
      <c r="AR686" s="580"/>
    </row>
    <row r="687" spans="1:44" s="96" customFormat="1" ht="13.8">
      <c r="A687" s="87"/>
      <c r="B687" s="753"/>
      <c r="C687" s="89"/>
      <c r="D687" s="753"/>
      <c r="E687" s="753"/>
      <c r="F687" s="83"/>
      <c r="G687" s="83"/>
      <c r="H687" s="91"/>
      <c r="I687" s="91"/>
      <c r="J687" s="91"/>
      <c r="K687" s="91"/>
      <c r="L687" s="91"/>
      <c r="M687" s="91"/>
      <c r="N687" s="91"/>
      <c r="O687" s="83"/>
      <c r="P687" s="83"/>
      <c r="Q687" s="83"/>
      <c r="R687" s="83"/>
      <c r="S687" s="83"/>
      <c r="T687" s="83"/>
      <c r="U687" s="83"/>
      <c r="V687" s="83"/>
      <c r="W687" s="750"/>
      <c r="X687" s="750"/>
      <c r="Y687" s="750"/>
      <c r="Z687" s="750"/>
      <c r="AA687" s="750"/>
      <c r="AB687" s="750"/>
      <c r="AC687" s="750"/>
      <c r="AD687" s="750"/>
      <c r="AE687" s="750"/>
      <c r="AF687" s="750"/>
      <c r="AG687" s="750"/>
      <c r="AH687" s="750"/>
      <c r="AI687" s="750"/>
      <c r="AJ687" s="750"/>
      <c r="AK687" s="751"/>
      <c r="AL687" s="751"/>
      <c r="AM687" s="751"/>
      <c r="AN687" s="751"/>
      <c r="AO687" s="95"/>
      <c r="AP687" s="95"/>
      <c r="AQ687" s="580"/>
      <c r="AR687" s="580"/>
    </row>
    <row r="688" spans="1:44" s="96" customFormat="1" ht="13.8">
      <c r="A688" s="87"/>
      <c r="B688" s="753"/>
      <c r="C688" s="89"/>
      <c r="D688" s="753"/>
      <c r="E688" s="753"/>
      <c r="F688" s="83"/>
      <c r="G688" s="83"/>
      <c r="H688" s="91"/>
      <c r="I688" s="91"/>
      <c r="J688" s="91"/>
      <c r="K688" s="91"/>
      <c r="L688" s="91"/>
      <c r="M688" s="91"/>
      <c r="N688" s="91"/>
      <c r="O688" s="83"/>
      <c r="P688" s="83"/>
      <c r="Q688" s="83"/>
      <c r="R688" s="83"/>
      <c r="S688" s="83"/>
      <c r="T688" s="83"/>
      <c r="U688" s="83"/>
      <c r="V688" s="83"/>
      <c r="W688" s="750"/>
      <c r="X688" s="750"/>
      <c r="Y688" s="750"/>
      <c r="Z688" s="750"/>
      <c r="AA688" s="750"/>
      <c r="AB688" s="750"/>
      <c r="AC688" s="750"/>
      <c r="AD688" s="750"/>
      <c r="AE688" s="750"/>
      <c r="AF688" s="750"/>
      <c r="AG688" s="750"/>
      <c r="AH688" s="750"/>
      <c r="AI688" s="750"/>
      <c r="AJ688" s="750"/>
      <c r="AK688" s="751"/>
      <c r="AL688" s="751"/>
      <c r="AM688" s="751"/>
      <c r="AN688" s="751"/>
      <c r="AO688" s="95"/>
      <c r="AP688" s="95"/>
      <c r="AQ688" s="580"/>
      <c r="AR688" s="580"/>
    </row>
    <row r="689" spans="1:44" s="96" customFormat="1" ht="13.8">
      <c r="A689" s="87"/>
      <c r="B689" s="753"/>
      <c r="C689" s="89"/>
      <c r="D689" s="753"/>
      <c r="E689" s="753"/>
      <c r="F689" s="83"/>
      <c r="G689" s="83"/>
      <c r="H689" s="91"/>
      <c r="I689" s="91"/>
      <c r="J689" s="91"/>
      <c r="K689" s="91"/>
      <c r="L689" s="91"/>
      <c r="M689" s="91"/>
      <c r="N689" s="91"/>
      <c r="O689" s="83"/>
      <c r="P689" s="83"/>
      <c r="Q689" s="83"/>
      <c r="R689" s="83"/>
      <c r="S689" s="83"/>
      <c r="T689" s="83"/>
      <c r="U689" s="83"/>
      <c r="V689" s="83"/>
      <c r="W689" s="750"/>
      <c r="X689" s="750"/>
      <c r="Y689" s="750"/>
      <c r="Z689" s="750"/>
      <c r="AA689" s="750"/>
      <c r="AB689" s="750"/>
      <c r="AC689" s="750"/>
      <c r="AD689" s="750"/>
      <c r="AE689" s="750"/>
      <c r="AF689" s="750"/>
      <c r="AG689" s="750"/>
      <c r="AH689" s="750"/>
      <c r="AI689" s="750"/>
      <c r="AJ689" s="750"/>
      <c r="AK689" s="751"/>
      <c r="AL689" s="751"/>
      <c r="AM689" s="751"/>
      <c r="AN689" s="751"/>
      <c r="AO689" s="95"/>
      <c r="AP689" s="95"/>
      <c r="AQ689" s="580"/>
      <c r="AR689" s="580"/>
    </row>
    <row r="690" spans="1:44" s="96" customFormat="1" ht="13.8">
      <c r="A690" s="87"/>
      <c r="B690" s="753"/>
      <c r="C690" s="89"/>
      <c r="D690" s="753"/>
      <c r="E690" s="753"/>
      <c r="F690" s="83"/>
      <c r="G690" s="83"/>
      <c r="H690" s="91"/>
      <c r="I690" s="91"/>
      <c r="J690" s="91"/>
      <c r="K690" s="91"/>
      <c r="L690" s="91"/>
      <c r="M690" s="91"/>
      <c r="N690" s="91"/>
      <c r="O690" s="83"/>
      <c r="P690" s="83"/>
      <c r="Q690" s="83"/>
      <c r="R690" s="83"/>
      <c r="S690" s="83"/>
      <c r="T690" s="83"/>
      <c r="U690" s="83"/>
      <c r="V690" s="83"/>
      <c r="W690" s="750"/>
      <c r="X690" s="750"/>
      <c r="Y690" s="750"/>
      <c r="Z690" s="750"/>
      <c r="AA690" s="750"/>
      <c r="AB690" s="750"/>
      <c r="AC690" s="750"/>
      <c r="AD690" s="750"/>
      <c r="AE690" s="750"/>
      <c r="AF690" s="750"/>
      <c r="AG690" s="750"/>
      <c r="AH690" s="750"/>
      <c r="AI690" s="750"/>
      <c r="AJ690" s="750"/>
      <c r="AK690" s="751"/>
      <c r="AL690" s="751"/>
      <c r="AM690" s="751"/>
      <c r="AN690" s="751"/>
      <c r="AO690" s="95"/>
      <c r="AP690" s="95"/>
      <c r="AQ690" s="580"/>
      <c r="AR690" s="580"/>
    </row>
    <row r="691" spans="1:44" s="96" customFormat="1" ht="13.8">
      <c r="A691" s="87"/>
      <c r="B691" s="753"/>
      <c r="C691" s="89"/>
      <c r="D691" s="753"/>
      <c r="E691" s="753"/>
      <c r="F691" s="83"/>
      <c r="G691" s="83"/>
      <c r="H691" s="91"/>
      <c r="I691" s="91"/>
      <c r="J691" s="91"/>
      <c r="K691" s="91"/>
      <c r="L691" s="91"/>
      <c r="M691" s="91"/>
      <c r="N691" s="91"/>
      <c r="O691" s="83"/>
      <c r="P691" s="83"/>
      <c r="Q691" s="83"/>
      <c r="R691" s="83"/>
      <c r="S691" s="83"/>
      <c r="T691" s="83"/>
      <c r="U691" s="83"/>
      <c r="V691" s="83"/>
      <c r="W691" s="750"/>
      <c r="X691" s="750"/>
      <c r="Y691" s="750"/>
      <c r="Z691" s="750"/>
      <c r="AA691" s="750"/>
      <c r="AB691" s="750"/>
      <c r="AC691" s="750"/>
      <c r="AD691" s="750"/>
      <c r="AE691" s="750"/>
      <c r="AF691" s="750"/>
      <c r="AG691" s="750"/>
      <c r="AH691" s="750"/>
      <c r="AI691" s="750"/>
      <c r="AJ691" s="750"/>
      <c r="AK691" s="751"/>
      <c r="AL691" s="751"/>
      <c r="AM691" s="751"/>
      <c r="AN691" s="751"/>
      <c r="AO691" s="95"/>
      <c r="AP691" s="95"/>
      <c r="AQ691" s="580"/>
      <c r="AR691" s="580"/>
    </row>
    <row r="692" spans="1:44" s="96" customFormat="1" ht="13.8">
      <c r="A692" s="87"/>
      <c r="B692" s="753"/>
      <c r="C692" s="89"/>
      <c r="D692" s="753"/>
      <c r="E692" s="753"/>
      <c r="F692" s="83"/>
      <c r="G692" s="83"/>
      <c r="H692" s="91"/>
      <c r="I692" s="91"/>
      <c r="J692" s="91"/>
      <c r="K692" s="91"/>
      <c r="L692" s="91"/>
      <c r="M692" s="91"/>
      <c r="N692" s="91"/>
      <c r="O692" s="83"/>
      <c r="P692" s="83"/>
      <c r="Q692" s="83"/>
      <c r="R692" s="83"/>
      <c r="S692" s="83"/>
      <c r="T692" s="83"/>
      <c r="U692" s="83"/>
      <c r="V692" s="83"/>
      <c r="W692" s="750"/>
      <c r="X692" s="750"/>
      <c r="Y692" s="750"/>
      <c r="Z692" s="750"/>
      <c r="AA692" s="750"/>
      <c r="AB692" s="750"/>
      <c r="AC692" s="750"/>
      <c r="AD692" s="750"/>
      <c r="AE692" s="750"/>
      <c r="AF692" s="750"/>
      <c r="AG692" s="750"/>
      <c r="AH692" s="750"/>
      <c r="AI692" s="750"/>
      <c r="AJ692" s="750"/>
      <c r="AK692" s="751"/>
      <c r="AL692" s="751"/>
      <c r="AM692" s="751"/>
      <c r="AN692" s="751"/>
      <c r="AO692" s="95"/>
      <c r="AP692" s="95"/>
      <c r="AQ692" s="580"/>
      <c r="AR692" s="580"/>
    </row>
    <row r="693" spans="1:44" s="96" customFormat="1" ht="13.8">
      <c r="A693" s="87"/>
      <c r="B693" s="753"/>
      <c r="C693" s="89"/>
      <c r="D693" s="753"/>
      <c r="E693" s="753"/>
      <c r="F693" s="83"/>
      <c r="G693" s="83"/>
      <c r="H693" s="91"/>
      <c r="I693" s="91"/>
      <c r="J693" s="91"/>
      <c r="K693" s="91"/>
      <c r="L693" s="91"/>
      <c r="M693" s="91"/>
      <c r="N693" s="91"/>
      <c r="O693" s="83"/>
      <c r="P693" s="83"/>
      <c r="Q693" s="83"/>
      <c r="R693" s="83"/>
      <c r="S693" s="83"/>
      <c r="T693" s="83"/>
      <c r="U693" s="83"/>
      <c r="V693" s="83"/>
      <c r="W693" s="750"/>
      <c r="X693" s="750"/>
      <c r="Y693" s="750"/>
      <c r="Z693" s="750"/>
      <c r="AA693" s="750"/>
      <c r="AB693" s="750"/>
      <c r="AC693" s="750"/>
      <c r="AD693" s="750"/>
      <c r="AE693" s="750"/>
      <c r="AF693" s="750"/>
      <c r="AG693" s="750"/>
      <c r="AH693" s="750"/>
      <c r="AI693" s="750"/>
      <c r="AJ693" s="750"/>
      <c r="AK693" s="751"/>
      <c r="AL693" s="751"/>
      <c r="AM693" s="751"/>
      <c r="AN693" s="751"/>
      <c r="AO693" s="95"/>
      <c r="AP693" s="95"/>
      <c r="AQ693" s="580"/>
      <c r="AR693" s="580"/>
    </row>
    <row r="694" spans="1:44" s="96" customFormat="1" ht="13.8">
      <c r="A694" s="87"/>
      <c r="B694" s="753"/>
      <c r="C694" s="89"/>
      <c r="D694" s="753"/>
      <c r="E694" s="753"/>
      <c r="F694" s="83"/>
      <c r="G694" s="83"/>
      <c r="H694" s="91"/>
      <c r="I694" s="91"/>
      <c r="J694" s="91"/>
      <c r="K694" s="91"/>
      <c r="L694" s="91"/>
      <c r="M694" s="91"/>
      <c r="N694" s="91"/>
      <c r="O694" s="83"/>
      <c r="P694" s="83"/>
      <c r="Q694" s="83"/>
      <c r="R694" s="83"/>
      <c r="S694" s="83"/>
      <c r="T694" s="83"/>
      <c r="U694" s="83"/>
      <c r="V694" s="83"/>
      <c r="W694" s="750"/>
      <c r="X694" s="750"/>
      <c r="Y694" s="750"/>
      <c r="Z694" s="750"/>
      <c r="AA694" s="750"/>
      <c r="AB694" s="750"/>
      <c r="AC694" s="750"/>
      <c r="AD694" s="750"/>
      <c r="AE694" s="750"/>
      <c r="AF694" s="750"/>
      <c r="AG694" s="750"/>
      <c r="AH694" s="750"/>
      <c r="AI694" s="750"/>
      <c r="AJ694" s="750"/>
      <c r="AK694" s="751"/>
      <c r="AL694" s="751"/>
      <c r="AM694" s="751"/>
      <c r="AN694" s="751"/>
      <c r="AO694" s="95"/>
      <c r="AP694" s="95"/>
      <c r="AQ694" s="580"/>
      <c r="AR694" s="580"/>
    </row>
    <row r="695" spans="1:44" s="96" customFormat="1" ht="13.8">
      <c r="A695" s="87"/>
      <c r="B695" s="753"/>
      <c r="C695" s="89"/>
      <c r="D695" s="753"/>
      <c r="E695" s="753"/>
      <c r="F695" s="83"/>
      <c r="G695" s="83"/>
      <c r="H695" s="91"/>
      <c r="I695" s="91"/>
      <c r="J695" s="91"/>
      <c r="K695" s="91"/>
      <c r="L695" s="91"/>
      <c r="M695" s="91"/>
      <c r="N695" s="91"/>
      <c r="O695" s="83"/>
      <c r="P695" s="83"/>
      <c r="Q695" s="83"/>
      <c r="R695" s="83"/>
      <c r="S695" s="83"/>
      <c r="T695" s="83"/>
      <c r="U695" s="83"/>
      <c r="V695" s="83"/>
      <c r="W695" s="750"/>
      <c r="X695" s="750"/>
      <c r="Y695" s="750"/>
      <c r="Z695" s="750"/>
      <c r="AA695" s="750"/>
      <c r="AB695" s="750"/>
      <c r="AC695" s="750"/>
      <c r="AD695" s="750"/>
      <c r="AE695" s="750"/>
      <c r="AF695" s="750"/>
      <c r="AG695" s="750"/>
      <c r="AH695" s="750"/>
      <c r="AI695" s="750"/>
      <c r="AJ695" s="750"/>
      <c r="AK695" s="751"/>
      <c r="AL695" s="751"/>
      <c r="AM695" s="751"/>
      <c r="AN695" s="751"/>
      <c r="AO695" s="95"/>
      <c r="AP695" s="95"/>
      <c r="AQ695" s="580"/>
      <c r="AR695" s="580"/>
    </row>
    <row r="696" spans="1:44" s="96" customFormat="1" ht="13.8">
      <c r="A696" s="87"/>
      <c r="B696" s="753"/>
      <c r="C696" s="89"/>
      <c r="D696" s="753"/>
      <c r="E696" s="753"/>
      <c r="F696" s="83"/>
      <c r="G696" s="83"/>
      <c r="H696" s="91"/>
      <c r="I696" s="91"/>
      <c r="J696" s="91"/>
      <c r="K696" s="91"/>
      <c r="L696" s="91"/>
      <c r="M696" s="91"/>
      <c r="N696" s="91"/>
      <c r="O696" s="83"/>
      <c r="P696" s="83"/>
      <c r="Q696" s="83"/>
      <c r="R696" s="83"/>
      <c r="S696" s="83"/>
      <c r="T696" s="83"/>
      <c r="U696" s="83"/>
      <c r="V696" s="83"/>
      <c r="W696" s="750"/>
      <c r="X696" s="750"/>
      <c r="Y696" s="750"/>
      <c r="Z696" s="750"/>
      <c r="AA696" s="750"/>
      <c r="AB696" s="750"/>
      <c r="AC696" s="750"/>
      <c r="AD696" s="750"/>
      <c r="AE696" s="750"/>
      <c r="AF696" s="750"/>
      <c r="AG696" s="750"/>
      <c r="AH696" s="750"/>
      <c r="AI696" s="750"/>
      <c r="AJ696" s="750"/>
      <c r="AK696" s="751"/>
      <c r="AL696" s="751"/>
      <c r="AM696" s="751"/>
      <c r="AN696" s="751"/>
      <c r="AO696" s="95"/>
      <c r="AP696" s="95"/>
      <c r="AQ696" s="580"/>
      <c r="AR696" s="580"/>
    </row>
    <row r="697" spans="1:44" s="96" customFormat="1" ht="13.8">
      <c r="A697" s="87"/>
      <c r="B697" s="753"/>
      <c r="C697" s="89"/>
      <c r="D697" s="753"/>
      <c r="E697" s="753"/>
      <c r="F697" s="83"/>
      <c r="G697" s="83"/>
      <c r="H697" s="91"/>
      <c r="I697" s="91"/>
      <c r="J697" s="91"/>
      <c r="K697" s="91"/>
      <c r="L697" s="91"/>
      <c r="M697" s="91"/>
      <c r="N697" s="91"/>
      <c r="O697" s="83"/>
      <c r="P697" s="83"/>
      <c r="Q697" s="83"/>
      <c r="R697" s="83"/>
      <c r="S697" s="83"/>
      <c r="T697" s="83"/>
      <c r="U697" s="83"/>
      <c r="V697" s="83"/>
      <c r="W697" s="750"/>
      <c r="X697" s="750"/>
      <c r="Y697" s="750"/>
      <c r="Z697" s="750"/>
      <c r="AA697" s="750"/>
      <c r="AB697" s="750"/>
      <c r="AC697" s="750"/>
      <c r="AD697" s="750"/>
      <c r="AE697" s="750"/>
      <c r="AF697" s="750"/>
      <c r="AG697" s="750"/>
      <c r="AH697" s="750"/>
      <c r="AI697" s="750"/>
      <c r="AJ697" s="750"/>
      <c r="AK697" s="751"/>
      <c r="AL697" s="751"/>
      <c r="AM697" s="751"/>
      <c r="AN697" s="751"/>
      <c r="AO697" s="95"/>
      <c r="AP697" s="95"/>
      <c r="AQ697" s="580"/>
      <c r="AR697" s="580"/>
    </row>
    <row r="698" spans="1:44" s="96" customFormat="1" ht="13.8">
      <c r="A698" s="87"/>
      <c r="B698" s="753"/>
      <c r="C698" s="89"/>
      <c r="D698" s="753"/>
      <c r="E698" s="753"/>
      <c r="F698" s="83"/>
      <c r="G698" s="83"/>
      <c r="H698" s="91"/>
      <c r="I698" s="91"/>
      <c r="J698" s="91"/>
      <c r="K698" s="91"/>
      <c r="L698" s="91"/>
      <c r="M698" s="91"/>
      <c r="N698" s="91"/>
      <c r="O698" s="83"/>
      <c r="P698" s="83"/>
      <c r="Q698" s="83"/>
      <c r="R698" s="83"/>
      <c r="S698" s="83"/>
      <c r="T698" s="83"/>
      <c r="U698" s="83"/>
      <c r="V698" s="83"/>
      <c r="W698" s="750"/>
      <c r="X698" s="750"/>
      <c r="Y698" s="750"/>
      <c r="Z698" s="750"/>
      <c r="AA698" s="750"/>
      <c r="AB698" s="750"/>
      <c r="AC698" s="750"/>
      <c r="AD698" s="750"/>
      <c r="AE698" s="750"/>
      <c r="AF698" s="750"/>
      <c r="AG698" s="750"/>
      <c r="AH698" s="750"/>
      <c r="AI698" s="750"/>
      <c r="AJ698" s="750"/>
      <c r="AK698" s="751"/>
      <c r="AL698" s="751"/>
      <c r="AM698" s="751"/>
      <c r="AN698" s="751"/>
      <c r="AO698" s="95"/>
      <c r="AP698" s="95"/>
      <c r="AQ698" s="580"/>
      <c r="AR698" s="580"/>
    </row>
    <row r="699" spans="1:44" s="96" customFormat="1" ht="13.8">
      <c r="A699" s="87"/>
      <c r="B699" s="753"/>
      <c r="C699" s="89"/>
      <c r="D699" s="753"/>
      <c r="E699" s="753"/>
      <c r="F699" s="83"/>
      <c r="G699" s="83"/>
      <c r="H699" s="91"/>
      <c r="I699" s="91"/>
      <c r="J699" s="91"/>
      <c r="K699" s="91"/>
      <c r="L699" s="91"/>
      <c r="M699" s="91"/>
      <c r="N699" s="91"/>
      <c r="O699" s="83"/>
      <c r="P699" s="83"/>
      <c r="Q699" s="83"/>
      <c r="R699" s="83"/>
      <c r="S699" s="83"/>
      <c r="T699" s="83"/>
      <c r="U699" s="83"/>
      <c r="V699" s="83"/>
      <c r="W699" s="750"/>
      <c r="X699" s="750"/>
      <c r="Y699" s="750"/>
      <c r="Z699" s="750"/>
      <c r="AA699" s="750"/>
      <c r="AB699" s="750"/>
      <c r="AC699" s="750"/>
      <c r="AD699" s="750"/>
      <c r="AE699" s="750"/>
      <c r="AF699" s="750"/>
      <c r="AG699" s="750"/>
      <c r="AH699" s="750"/>
      <c r="AI699" s="750"/>
      <c r="AJ699" s="750"/>
      <c r="AK699" s="751"/>
      <c r="AL699" s="751"/>
      <c r="AM699" s="751"/>
      <c r="AN699" s="751"/>
      <c r="AO699" s="95"/>
      <c r="AP699" s="95"/>
      <c r="AQ699" s="580"/>
      <c r="AR699" s="580"/>
    </row>
    <row r="700" spans="1:44" s="96" customFormat="1" ht="13.8">
      <c r="A700" s="87"/>
      <c r="B700" s="88"/>
      <c r="C700" s="89"/>
      <c r="D700" s="90"/>
      <c r="E700" s="83"/>
      <c r="F700" s="90"/>
      <c r="G700" s="83"/>
      <c r="H700" s="871"/>
      <c r="I700" s="871"/>
      <c r="J700" s="871"/>
      <c r="K700" s="91"/>
      <c r="L700" s="91"/>
      <c r="M700" s="91"/>
      <c r="N700" s="91"/>
      <c r="O700" s="83"/>
      <c r="P700" s="83"/>
      <c r="Q700" s="83"/>
      <c r="R700" s="83"/>
      <c r="S700" s="92"/>
      <c r="T700" s="83"/>
      <c r="U700" s="83"/>
      <c r="V700" s="771"/>
      <c r="W700" s="93"/>
      <c r="X700" s="93"/>
      <c r="Y700" s="93"/>
      <c r="Z700" s="93"/>
      <c r="AA700" s="93"/>
      <c r="AB700" s="93"/>
      <c r="AC700" s="93"/>
      <c r="AD700" s="93"/>
      <c r="AE700" s="93"/>
      <c r="AF700" s="93"/>
      <c r="AG700" s="93"/>
      <c r="AH700" s="93"/>
      <c r="AI700" s="93"/>
      <c r="AJ700" s="93"/>
      <c r="AK700" s="94"/>
      <c r="AL700" s="89"/>
      <c r="AM700" s="95"/>
      <c r="AN700" s="89"/>
      <c r="AO700" s="95"/>
      <c r="AP700" s="95"/>
      <c r="AQ700" s="580"/>
      <c r="AR700" s="580"/>
    </row>
    <row r="701" spans="1:44" s="96" customFormat="1" ht="13.8">
      <c r="A701" s="87"/>
      <c r="B701" s="872"/>
      <c r="C701" s="872"/>
      <c r="D701" s="872"/>
      <c r="E701" s="872"/>
      <c r="F701" s="90"/>
      <c r="G701" s="83"/>
      <c r="H701" s="752"/>
      <c r="I701" s="752"/>
      <c r="J701" s="752"/>
      <c r="K701" s="91"/>
      <c r="L701" s="91"/>
      <c r="M701" s="91"/>
      <c r="N701" s="91"/>
      <c r="O701" s="83"/>
      <c r="P701" s="83"/>
      <c r="Q701" s="83"/>
      <c r="R701" s="83"/>
      <c r="S701" s="92"/>
      <c r="T701" s="83"/>
      <c r="U701" s="83"/>
      <c r="V701" s="771"/>
      <c r="W701" s="93"/>
      <c r="X701" s="93"/>
      <c r="Y701" s="93"/>
      <c r="Z701" s="93"/>
      <c r="AA701" s="93"/>
      <c r="AB701" s="93"/>
      <c r="AC701" s="93"/>
      <c r="AD701" s="93"/>
      <c r="AE701" s="93"/>
      <c r="AF701" s="93"/>
      <c r="AG701" s="93"/>
      <c r="AH701" s="93"/>
      <c r="AI701" s="93"/>
      <c r="AJ701" s="93"/>
      <c r="AK701" s="94"/>
      <c r="AL701" s="89"/>
      <c r="AM701" s="95"/>
      <c r="AN701" s="89"/>
      <c r="AO701" s="95"/>
      <c r="AP701" s="95"/>
      <c r="AQ701" s="580"/>
      <c r="AR701" s="580"/>
    </row>
    <row r="702" spans="1:44" s="96" customFormat="1" ht="13.8">
      <c r="A702" s="87"/>
      <c r="B702" s="88"/>
      <c r="C702" s="89"/>
      <c r="D702" s="90"/>
      <c r="E702" s="83"/>
      <c r="F702" s="90"/>
      <c r="G702" s="83"/>
      <c r="H702" s="752"/>
      <c r="I702" s="752"/>
      <c r="J702" s="752"/>
      <c r="K702" s="91"/>
      <c r="L702" s="91"/>
      <c r="M702" s="91"/>
      <c r="N702" s="91"/>
      <c r="O702" s="83"/>
      <c r="P702" s="83"/>
      <c r="Q702" s="83"/>
      <c r="R702" s="83"/>
      <c r="S702" s="92"/>
      <c r="T702" s="83"/>
      <c r="U702" s="83"/>
      <c r="V702" s="771"/>
      <c r="W702" s="93"/>
      <c r="X702" s="93"/>
      <c r="Y702" s="93"/>
      <c r="Z702" s="93"/>
      <c r="AA702" s="93"/>
      <c r="AB702" s="93"/>
      <c r="AC702" s="93"/>
      <c r="AD702" s="93"/>
      <c r="AE702" s="93"/>
      <c r="AF702" s="93"/>
      <c r="AG702" s="93"/>
      <c r="AH702" s="93"/>
      <c r="AI702" s="93"/>
      <c r="AJ702" s="93"/>
      <c r="AK702" s="94"/>
      <c r="AL702" s="89"/>
      <c r="AM702" s="95"/>
      <c r="AN702" s="89"/>
      <c r="AO702" s="95"/>
      <c r="AP702" s="95"/>
      <c r="AQ702" s="580"/>
      <c r="AR702" s="580"/>
    </row>
    <row r="703" spans="1:44" s="96" customFormat="1" ht="13.8">
      <c r="A703" s="87"/>
      <c r="B703" s="88"/>
      <c r="C703" s="89"/>
      <c r="D703" s="90"/>
      <c r="E703" s="83"/>
      <c r="F703" s="90"/>
      <c r="G703" s="83"/>
      <c r="H703" s="752"/>
      <c r="I703" s="752"/>
      <c r="J703" s="752"/>
      <c r="K703" s="91"/>
      <c r="L703" s="91"/>
      <c r="M703" s="91"/>
      <c r="N703" s="91"/>
      <c r="O703" s="83"/>
      <c r="P703" s="83"/>
      <c r="Q703" s="83"/>
      <c r="R703" s="83"/>
      <c r="S703" s="92"/>
      <c r="T703" s="83"/>
      <c r="U703" s="83"/>
      <c r="V703" s="771"/>
      <c r="W703" s="93"/>
      <c r="X703" s="93"/>
      <c r="Y703" s="93"/>
      <c r="Z703" s="93"/>
      <c r="AA703" s="93"/>
      <c r="AB703" s="93"/>
      <c r="AC703" s="93"/>
      <c r="AD703" s="93"/>
      <c r="AE703" s="93"/>
      <c r="AF703" s="93"/>
      <c r="AG703" s="93"/>
      <c r="AH703" s="93"/>
      <c r="AI703" s="93"/>
      <c r="AJ703" s="93"/>
      <c r="AK703" s="94"/>
      <c r="AL703" s="89"/>
      <c r="AM703" s="95"/>
      <c r="AN703" s="89"/>
      <c r="AO703" s="95"/>
      <c r="AP703" s="95"/>
      <c r="AQ703" s="580"/>
      <c r="AR703" s="580"/>
    </row>
    <row r="704" spans="1:44" s="96" customFormat="1" ht="13.8">
      <c r="A704" s="87"/>
      <c r="B704" s="88"/>
      <c r="C704" s="89"/>
      <c r="D704" s="90"/>
      <c r="E704" s="83"/>
      <c r="F704" s="90"/>
      <c r="G704" s="83"/>
      <c r="H704" s="752"/>
      <c r="I704" s="752"/>
      <c r="J704" s="752"/>
      <c r="K704" s="91"/>
      <c r="L704" s="91"/>
      <c r="M704" s="91"/>
      <c r="N704" s="91"/>
      <c r="O704" s="83"/>
      <c r="P704" s="83"/>
      <c r="Q704" s="83"/>
      <c r="R704" s="83"/>
      <c r="S704" s="92"/>
      <c r="T704" s="83"/>
      <c r="U704" s="83"/>
      <c r="V704" s="771"/>
      <c r="W704" s="93"/>
      <c r="X704" s="93"/>
      <c r="Y704" s="93"/>
      <c r="Z704" s="93"/>
      <c r="AA704" s="93"/>
      <c r="AB704" s="93"/>
      <c r="AC704" s="93"/>
      <c r="AD704" s="93"/>
      <c r="AE704" s="93"/>
      <c r="AF704" s="93"/>
      <c r="AG704" s="93"/>
      <c r="AH704" s="93"/>
      <c r="AI704" s="93"/>
      <c r="AJ704" s="93"/>
      <c r="AK704" s="94"/>
      <c r="AL704" s="89"/>
      <c r="AM704" s="95"/>
      <c r="AN704" s="89"/>
      <c r="AO704" s="95"/>
      <c r="AP704" s="95"/>
      <c r="AQ704" s="580"/>
      <c r="AR704" s="580"/>
    </row>
    <row r="705" spans="1:44" s="96" customFormat="1" ht="13.8">
      <c r="A705" s="87"/>
      <c r="B705" s="88"/>
      <c r="C705" s="89"/>
      <c r="D705" s="90"/>
      <c r="E705" s="83"/>
      <c r="F705" s="90"/>
      <c r="G705" s="83"/>
      <c r="H705" s="752"/>
      <c r="I705" s="752"/>
      <c r="J705" s="752"/>
      <c r="K705" s="91"/>
      <c r="L705" s="91"/>
      <c r="M705" s="91"/>
      <c r="N705" s="91"/>
      <c r="O705" s="83"/>
      <c r="P705" s="83"/>
      <c r="Q705" s="83"/>
      <c r="R705" s="83"/>
      <c r="S705" s="92"/>
      <c r="T705" s="83"/>
      <c r="U705" s="83"/>
      <c r="V705" s="771"/>
      <c r="W705" s="93"/>
      <c r="X705" s="93"/>
      <c r="Y705" s="93"/>
      <c r="Z705" s="93"/>
      <c r="AA705" s="93"/>
      <c r="AB705" s="93"/>
      <c r="AC705" s="93"/>
      <c r="AD705" s="93"/>
      <c r="AE705" s="93"/>
      <c r="AF705" s="93"/>
      <c r="AG705" s="93"/>
      <c r="AH705" s="93"/>
      <c r="AI705" s="93"/>
      <c r="AJ705" s="93"/>
      <c r="AK705" s="94"/>
      <c r="AL705" s="89"/>
      <c r="AM705" s="95"/>
      <c r="AN705" s="89"/>
      <c r="AO705" s="95"/>
      <c r="AP705" s="95"/>
      <c r="AQ705" s="580"/>
      <c r="AR705" s="580"/>
    </row>
    <row r="706" spans="1:44" s="96" customFormat="1" ht="13.8">
      <c r="A706" s="87"/>
      <c r="B706" s="88"/>
      <c r="C706" s="89"/>
      <c r="D706" s="90"/>
      <c r="E706" s="83"/>
      <c r="F706" s="90"/>
      <c r="G706" s="83"/>
      <c r="H706" s="752"/>
      <c r="I706" s="752"/>
      <c r="J706" s="752"/>
      <c r="K706" s="91"/>
      <c r="L706" s="91"/>
      <c r="M706" s="91"/>
      <c r="N706" s="91"/>
      <c r="O706" s="83"/>
      <c r="P706" s="83"/>
      <c r="Q706" s="83"/>
      <c r="R706" s="83"/>
      <c r="S706" s="92"/>
      <c r="T706" s="83"/>
      <c r="U706" s="83"/>
      <c r="V706" s="771"/>
      <c r="W706" s="93"/>
      <c r="X706" s="93"/>
      <c r="Y706" s="93"/>
      <c r="Z706" s="93"/>
      <c r="AA706" s="93"/>
      <c r="AB706" s="93"/>
      <c r="AC706" s="93"/>
      <c r="AD706" s="93"/>
      <c r="AE706" s="93"/>
      <c r="AF706" s="93"/>
      <c r="AG706" s="93"/>
      <c r="AH706" s="93"/>
      <c r="AI706" s="93"/>
      <c r="AJ706" s="93"/>
      <c r="AK706" s="94"/>
      <c r="AL706" s="89"/>
      <c r="AM706" s="95"/>
      <c r="AN706" s="89"/>
      <c r="AO706" s="95"/>
      <c r="AP706" s="95"/>
      <c r="AQ706" s="580"/>
      <c r="AR706" s="580"/>
    </row>
    <row r="707" spans="1:44" s="96" customFormat="1" ht="13.8">
      <c r="A707" s="87"/>
      <c r="B707" s="88"/>
      <c r="C707" s="89"/>
      <c r="D707" s="90"/>
      <c r="E707" s="83"/>
      <c r="F707" s="90"/>
      <c r="G707" s="83"/>
      <c r="H707" s="752"/>
      <c r="I707" s="752"/>
      <c r="J707" s="752"/>
      <c r="K707" s="91"/>
      <c r="L707" s="91"/>
      <c r="M707" s="91"/>
      <c r="N707" s="91"/>
      <c r="O707" s="83"/>
      <c r="P707" s="83"/>
      <c r="Q707" s="83"/>
      <c r="R707" s="83"/>
      <c r="S707" s="92"/>
      <c r="T707" s="83"/>
      <c r="U707" s="83"/>
      <c r="V707" s="771"/>
      <c r="W707" s="93"/>
      <c r="X707" s="93"/>
      <c r="Y707" s="93"/>
      <c r="Z707" s="93"/>
      <c r="AA707" s="93"/>
      <c r="AB707" s="93"/>
      <c r="AC707" s="93"/>
      <c r="AD707" s="93"/>
      <c r="AE707" s="93"/>
      <c r="AF707" s="93"/>
      <c r="AG707" s="93"/>
      <c r="AH707" s="93"/>
      <c r="AI707" s="93"/>
      <c r="AJ707" s="93"/>
      <c r="AK707" s="94"/>
      <c r="AL707" s="89"/>
      <c r="AM707" s="95"/>
      <c r="AN707" s="89"/>
      <c r="AO707" s="95"/>
      <c r="AP707" s="95"/>
      <c r="AQ707" s="580"/>
      <c r="AR707" s="580"/>
    </row>
    <row r="708" spans="1:44" s="96" customFormat="1" ht="13.8">
      <c r="A708" s="87"/>
      <c r="B708" s="88"/>
      <c r="C708" s="89"/>
      <c r="D708" s="90"/>
      <c r="E708" s="83"/>
      <c r="F708" s="90"/>
      <c r="G708" s="83"/>
      <c r="H708" s="752"/>
      <c r="I708" s="752"/>
      <c r="J708" s="752"/>
      <c r="K708" s="91"/>
      <c r="L708" s="91"/>
      <c r="M708" s="91"/>
      <c r="N708" s="91"/>
      <c r="O708" s="83"/>
      <c r="P708" s="83"/>
      <c r="Q708" s="83"/>
      <c r="R708" s="83"/>
      <c r="S708" s="92"/>
      <c r="T708" s="83"/>
      <c r="U708" s="83"/>
      <c r="V708" s="771"/>
      <c r="W708" s="93"/>
      <c r="X708" s="93"/>
      <c r="Y708" s="93"/>
      <c r="Z708" s="93"/>
      <c r="AA708" s="93"/>
      <c r="AB708" s="93"/>
      <c r="AC708" s="93"/>
      <c r="AD708" s="93"/>
      <c r="AE708" s="93"/>
      <c r="AF708" s="93"/>
      <c r="AG708" s="93"/>
      <c r="AH708" s="93"/>
      <c r="AI708" s="93"/>
      <c r="AJ708" s="93"/>
      <c r="AK708" s="94"/>
      <c r="AL708" s="89"/>
      <c r="AM708" s="95"/>
      <c r="AN708" s="89"/>
      <c r="AO708" s="95"/>
      <c r="AP708" s="95"/>
      <c r="AQ708" s="580"/>
      <c r="AR708" s="580"/>
    </row>
    <row r="709" spans="1:44" s="96" customFormat="1" ht="13.8">
      <c r="A709" s="87"/>
      <c r="B709" s="88"/>
      <c r="C709" s="89"/>
      <c r="D709" s="90"/>
      <c r="E709" s="83"/>
      <c r="F709" s="90"/>
      <c r="G709" s="83"/>
      <c r="H709" s="752"/>
      <c r="I709" s="752"/>
      <c r="J709" s="752"/>
      <c r="K709" s="91"/>
      <c r="L709" s="91"/>
      <c r="M709" s="91"/>
      <c r="N709" s="91"/>
      <c r="O709" s="83"/>
      <c r="P709" s="83"/>
      <c r="Q709" s="83"/>
      <c r="R709" s="83"/>
      <c r="S709" s="92"/>
      <c r="T709" s="83"/>
      <c r="U709" s="83"/>
      <c r="V709" s="771"/>
      <c r="W709" s="93"/>
      <c r="X709" s="93"/>
      <c r="Y709" s="93"/>
      <c r="Z709" s="93"/>
      <c r="AA709" s="93"/>
      <c r="AB709" s="93"/>
      <c r="AC709" s="93"/>
      <c r="AD709" s="93"/>
      <c r="AE709" s="93"/>
      <c r="AF709" s="93"/>
      <c r="AG709" s="93"/>
      <c r="AH709" s="93"/>
      <c r="AI709" s="93"/>
      <c r="AJ709" s="93"/>
      <c r="AK709" s="94"/>
      <c r="AL709" s="89"/>
      <c r="AM709" s="95"/>
      <c r="AN709" s="89"/>
      <c r="AO709" s="95"/>
      <c r="AP709" s="95"/>
      <c r="AQ709" s="580"/>
      <c r="AR709" s="580"/>
    </row>
    <row r="710" spans="1:44" s="96" customFormat="1" ht="13.8">
      <c r="A710" s="87"/>
      <c r="B710" s="88"/>
      <c r="C710" s="89"/>
      <c r="D710" s="90"/>
      <c r="E710" s="83"/>
      <c r="F710" s="90"/>
      <c r="G710" s="83"/>
      <c r="H710" s="752"/>
      <c r="I710" s="752"/>
      <c r="J710" s="752"/>
      <c r="K710" s="91"/>
      <c r="L710" s="91"/>
      <c r="M710" s="91"/>
      <c r="N710" s="91"/>
      <c r="O710" s="83"/>
      <c r="P710" s="83"/>
      <c r="Q710" s="83"/>
      <c r="R710" s="83"/>
      <c r="S710" s="92"/>
      <c r="T710" s="83"/>
      <c r="U710" s="83"/>
      <c r="V710" s="771"/>
      <c r="W710" s="93"/>
      <c r="X710" s="93"/>
      <c r="Y710" s="93"/>
      <c r="Z710" s="93"/>
      <c r="AA710" s="93"/>
      <c r="AB710" s="93"/>
      <c r="AC710" s="93"/>
      <c r="AD710" s="93"/>
      <c r="AE710" s="93"/>
      <c r="AF710" s="93"/>
      <c r="AG710" s="93"/>
      <c r="AH710" s="93"/>
      <c r="AI710" s="93"/>
      <c r="AJ710" s="93"/>
      <c r="AK710" s="94"/>
      <c r="AL710" s="89"/>
      <c r="AM710" s="95"/>
      <c r="AN710" s="89"/>
      <c r="AO710" s="95"/>
      <c r="AP710" s="95"/>
      <c r="AQ710" s="580"/>
      <c r="AR710" s="580"/>
    </row>
    <row r="711" spans="1:44" s="96" customFormat="1" ht="13.8">
      <c r="A711" s="87"/>
      <c r="B711" s="88"/>
      <c r="C711" s="89"/>
      <c r="D711" s="90"/>
      <c r="E711" s="83"/>
      <c r="F711" s="90"/>
      <c r="G711" s="83"/>
      <c r="H711" s="752"/>
      <c r="I711" s="752"/>
      <c r="J711" s="752"/>
      <c r="K711" s="91"/>
      <c r="L711" s="91"/>
      <c r="M711" s="91"/>
      <c r="N711" s="91"/>
      <c r="O711" s="83"/>
      <c r="P711" s="83"/>
      <c r="Q711" s="83"/>
      <c r="R711" s="83"/>
      <c r="S711" s="92"/>
      <c r="T711" s="83"/>
      <c r="U711" s="83"/>
      <c r="V711" s="771"/>
      <c r="W711" s="93"/>
      <c r="X711" s="93"/>
      <c r="Y711" s="93"/>
      <c r="Z711" s="93"/>
      <c r="AA711" s="93"/>
      <c r="AB711" s="93"/>
      <c r="AC711" s="93"/>
      <c r="AD711" s="93"/>
      <c r="AE711" s="93"/>
      <c r="AF711" s="93"/>
      <c r="AG711" s="93"/>
      <c r="AH711" s="93"/>
      <c r="AI711" s="93"/>
      <c r="AJ711" s="93"/>
      <c r="AK711" s="94"/>
      <c r="AL711" s="89"/>
      <c r="AM711" s="95"/>
      <c r="AN711" s="89"/>
      <c r="AO711" s="95"/>
      <c r="AP711" s="95"/>
      <c r="AQ711" s="580"/>
      <c r="AR711" s="580"/>
    </row>
    <row r="712" spans="1:44" s="96" customFormat="1" ht="13.8">
      <c r="A712" s="87"/>
      <c r="B712" s="88"/>
      <c r="C712" s="89"/>
      <c r="D712" s="90"/>
      <c r="E712" s="83"/>
      <c r="F712" s="90"/>
      <c r="G712" s="83"/>
      <c r="H712" s="752"/>
      <c r="I712" s="752"/>
      <c r="J712" s="752"/>
      <c r="K712" s="91"/>
      <c r="L712" s="91"/>
      <c r="M712" s="91"/>
      <c r="N712" s="91"/>
      <c r="O712" s="83"/>
      <c r="P712" s="83"/>
      <c r="Q712" s="83"/>
      <c r="R712" s="83"/>
      <c r="S712" s="92"/>
      <c r="T712" s="83"/>
      <c r="U712" s="83"/>
      <c r="V712" s="771"/>
      <c r="W712" s="93"/>
      <c r="X712" s="93"/>
      <c r="Y712" s="93"/>
      <c r="Z712" s="93"/>
      <c r="AA712" s="93"/>
      <c r="AB712" s="93"/>
      <c r="AC712" s="93"/>
      <c r="AD712" s="93"/>
      <c r="AE712" s="93"/>
      <c r="AF712" s="93"/>
      <c r="AG712" s="93"/>
      <c r="AH712" s="93"/>
      <c r="AI712" s="93"/>
      <c r="AJ712" s="93"/>
      <c r="AK712" s="94"/>
      <c r="AL712" s="89"/>
      <c r="AM712" s="95"/>
      <c r="AN712" s="89"/>
      <c r="AO712" s="95"/>
      <c r="AP712" s="95"/>
      <c r="AQ712" s="580"/>
      <c r="AR712" s="580"/>
    </row>
    <row r="713" spans="1:44" s="96" customFormat="1" ht="13.8">
      <c r="A713" s="87"/>
      <c r="B713" s="88"/>
      <c r="C713" s="89"/>
      <c r="D713" s="90"/>
      <c r="E713" s="83"/>
      <c r="F713" s="90"/>
      <c r="G713" s="83"/>
      <c r="H713" s="752"/>
      <c r="I713" s="752"/>
      <c r="J713" s="752"/>
      <c r="K713" s="91"/>
      <c r="L713" s="91"/>
      <c r="M713" s="91"/>
      <c r="N713" s="91"/>
      <c r="O713" s="83"/>
      <c r="P713" s="83"/>
      <c r="Q713" s="83"/>
      <c r="R713" s="83"/>
      <c r="S713" s="92"/>
      <c r="T713" s="83"/>
      <c r="U713" s="83"/>
      <c r="V713" s="771"/>
      <c r="W713" s="93"/>
      <c r="X713" s="93"/>
      <c r="Y713" s="93"/>
      <c r="Z713" s="93"/>
      <c r="AA713" s="93"/>
      <c r="AB713" s="93"/>
      <c r="AC713" s="93"/>
      <c r="AD713" s="93"/>
      <c r="AE713" s="93"/>
      <c r="AF713" s="93"/>
      <c r="AG713" s="93"/>
      <c r="AH713" s="93"/>
      <c r="AI713" s="93"/>
      <c r="AJ713" s="93"/>
      <c r="AK713" s="94"/>
      <c r="AL713" s="89"/>
      <c r="AM713" s="95"/>
      <c r="AN713" s="89"/>
      <c r="AO713" s="95"/>
      <c r="AP713" s="95"/>
      <c r="AQ713" s="580"/>
      <c r="AR713" s="580"/>
    </row>
    <row r="714" spans="1:44" s="96" customFormat="1" ht="13.8">
      <c r="A714" s="87"/>
      <c r="B714" s="88"/>
      <c r="C714" s="89"/>
      <c r="D714" s="90"/>
      <c r="E714" s="83"/>
      <c r="F714" s="90"/>
      <c r="G714" s="83"/>
      <c r="H714" s="752"/>
      <c r="I714" s="752"/>
      <c r="J714" s="752"/>
      <c r="K714" s="91"/>
      <c r="L714" s="91"/>
      <c r="M714" s="91"/>
      <c r="N714" s="91"/>
      <c r="O714" s="83"/>
      <c r="P714" s="83"/>
      <c r="Q714" s="83"/>
      <c r="R714" s="83"/>
      <c r="S714" s="92"/>
      <c r="T714" s="83"/>
      <c r="U714" s="83"/>
      <c r="V714" s="771"/>
      <c r="W714" s="93"/>
      <c r="X714" s="93"/>
      <c r="Y714" s="93"/>
      <c r="Z714" s="93"/>
      <c r="AA714" s="93"/>
      <c r="AB714" s="93"/>
      <c r="AC714" s="93"/>
      <c r="AD714" s="93"/>
      <c r="AE714" s="93"/>
      <c r="AF714" s="93"/>
      <c r="AG714" s="93"/>
      <c r="AH714" s="93"/>
      <c r="AI714" s="93"/>
      <c r="AJ714" s="93"/>
      <c r="AK714" s="94"/>
      <c r="AL714" s="89"/>
      <c r="AM714" s="95"/>
      <c r="AN714" s="89"/>
      <c r="AO714" s="95"/>
      <c r="AP714" s="95"/>
      <c r="AQ714" s="580"/>
      <c r="AR714" s="580"/>
    </row>
    <row r="715" spans="1:44" s="96" customFormat="1" ht="13.8">
      <c r="A715" s="87"/>
      <c r="B715" s="88"/>
      <c r="C715" s="89"/>
      <c r="D715" s="90"/>
      <c r="E715" s="83"/>
      <c r="F715" s="90"/>
      <c r="G715" s="83"/>
      <c r="H715" s="752"/>
      <c r="I715" s="752"/>
      <c r="J715" s="752"/>
      <c r="K715" s="91"/>
      <c r="L715" s="91"/>
      <c r="M715" s="91"/>
      <c r="N715" s="91"/>
      <c r="O715" s="83"/>
      <c r="P715" s="83"/>
      <c r="Q715" s="83"/>
      <c r="R715" s="83"/>
      <c r="S715" s="92"/>
      <c r="T715" s="83"/>
      <c r="U715" s="83"/>
      <c r="V715" s="771"/>
      <c r="W715" s="93"/>
      <c r="X715" s="93"/>
      <c r="Y715" s="93"/>
      <c r="Z715" s="93"/>
      <c r="AA715" s="93"/>
      <c r="AB715" s="93"/>
      <c r="AC715" s="93"/>
      <c r="AD715" s="93"/>
      <c r="AE715" s="93"/>
      <c r="AF715" s="93"/>
      <c r="AG715" s="93"/>
      <c r="AH715" s="93"/>
      <c r="AI715" s="93"/>
      <c r="AJ715" s="93"/>
      <c r="AK715" s="94"/>
      <c r="AL715" s="89"/>
      <c r="AM715" s="95"/>
      <c r="AN715" s="89"/>
      <c r="AO715" s="95"/>
      <c r="AP715" s="95"/>
      <c r="AQ715" s="580"/>
      <c r="AR715" s="580"/>
    </row>
    <row r="716" spans="1:44" s="96" customFormat="1" ht="13.8">
      <c r="A716" s="87"/>
      <c r="B716" s="88"/>
      <c r="C716" s="89"/>
      <c r="D716" s="90"/>
      <c r="E716" s="83"/>
      <c r="F716" s="90"/>
      <c r="G716" s="83"/>
      <c r="H716" s="752"/>
      <c r="I716" s="752"/>
      <c r="J716" s="752"/>
      <c r="K716" s="91"/>
      <c r="L716" s="91"/>
      <c r="M716" s="91"/>
      <c r="N716" s="91"/>
      <c r="O716" s="83"/>
      <c r="P716" s="83"/>
      <c r="Q716" s="83"/>
      <c r="R716" s="83"/>
      <c r="S716" s="92"/>
      <c r="T716" s="83"/>
      <c r="U716" s="83"/>
      <c r="V716" s="771"/>
      <c r="W716" s="93"/>
      <c r="X716" s="93"/>
      <c r="Y716" s="93"/>
      <c r="Z716" s="93"/>
      <c r="AA716" s="93"/>
      <c r="AB716" s="93"/>
      <c r="AC716" s="93"/>
      <c r="AD716" s="93"/>
      <c r="AE716" s="93"/>
      <c r="AF716" s="93"/>
      <c r="AG716" s="93"/>
      <c r="AH716" s="93"/>
      <c r="AI716" s="93"/>
      <c r="AJ716" s="93"/>
      <c r="AK716" s="94"/>
      <c r="AL716" s="89"/>
      <c r="AM716" s="95"/>
      <c r="AN716" s="89"/>
      <c r="AO716" s="95"/>
      <c r="AP716" s="95"/>
      <c r="AQ716" s="580"/>
      <c r="AR716" s="580"/>
    </row>
    <row r="717" spans="1:44" s="96" customFormat="1" ht="13.8">
      <c r="A717" s="87"/>
      <c r="B717" s="88"/>
      <c r="C717" s="89"/>
      <c r="D717" s="90"/>
      <c r="E717" s="83"/>
      <c r="F717" s="90"/>
      <c r="G717" s="83"/>
      <c r="H717" s="752"/>
      <c r="I717" s="752"/>
      <c r="J717" s="752"/>
      <c r="K717" s="91"/>
      <c r="L717" s="91"/>
      <c r="M717" s="91"/>
      <c r="N717" s="91"/>
      <c r="O717" s="83"/>
      <c r="P717" s="83"/>
      <c r="Q717" s="83"/>
      <c r="R717" s="83"/>
      <c r="S717" s="92"/>
      <c r="T717" s="83"/>
      <c r="U717" s="83"/>
      <c r="V717" s="771"/>
      <c r="W717" s="93"/>
      <c r="X717" s="93"/>
      <c r="Y717" s="93"/>
      <c r="Z717" s="93"/>
      <c r="AA717" s="93"/>
      <c r="AB717" s="93"/>
      <c r="AC717" s="93"/>
      <c r="AD717" s="93"/>
      <c r="AE717" s="93"/>
      <c r="AF717" s="93"/>
      <c r="AG717" s="93"/>
      <c r="AH717" s="93"/>
      <c r="AI717" s="93"/>
      <c r="AJ717" s="93"/>
      <c r="AK717" s="94"/>
      <c r="AL717" s="89"/>
      <c r="AM717" s="95"/>
      <c r="AN717" s="89"/>
      <c r="AO717" s="95"/>
      <c r="AP717" s="95"/>
      <c r="AQ717" s="580"/>
      <c r="AR717" s="580"/>
    </row>
    <row r="718" spans="1:44" s="96" customFormat="1" ht="13.8">
      <c r="A718" s="87"/>
      <c r="B718" s="88"/>
      <c r="C718" s="89"/>
      <c r="D718" s="90"/>
      <c r="E718" s="83"/>
      <c r="F718" s="90"/>
      <c r="G718" s="83"/>
      <c r="H718" s="752"/>
      <c r="I718" s="752"/>
      <c r="J718" s="752"/>
      <c r="K718" s="91"/>
      <c r="L718" s="91"/>
      <c r="M718" s="91"/>
      <c r="N718" s="91"/>
      <c r="O718" s="83"/>
      <c r="P718" s="83"/>
      <c r="Q718" s="83"/>
      <c r="R718" s="83"/>
      <c r="S718" s="92"/>
      <c r="T718" s="83"/>
      <c r="U718" s="83"/>
      <c r="V718" s="771"/>
      <c r="W718" s="93"/>
      <c r="X718" s="93"/>
      <c r="Y718" s="93"/>
      <c r="Z718" s="93"/>
      <c r="AA718" s="93"/>
      <c r="AB718" s="93"/>
      <c r="AC718" s="93"/>
      <c r="AD718" s="93"/>
      <c r="AE718" s="93"/>
      <c r="AF718" s="93"/>
      <c r="AG718" s="93"/>
      <c r="AH718" s="93"/>
      <c r="AI718" s="93"/>
      <c r="AJ718" s="93"/>
      <c r="AK718" s="94"/>
      <c r="AL718" s="89"/>
      <c r="AM718" s="95"/>
      <c r="AN718" s="89"/>
      <c r="AO718" s="95"/>
      <c r="AP718" s="95"/>
      <c r="AQ718" s="580"/>
      <c r="AR718" s="580"/>
    </row>
    <row r="719" spans="1:44" s="96" customFormat="1" ht="13.8">
      <c r="A719" s="87"/>
      <c r="B719" s="88"/>
      <c r="C719" s="89"/>
      <c r="D719" s="90"/>
      <c r="E719" s="83"/>
      <c r="F719" s="90"/>
      <c r="G719" s="83"/>
      <c r="H719" s="752"/>
      <c r="I719" s="752"/>
      <c r="J719" s="752"/>
      <c r="K719" s="91"/>
      <c r="L719" s="91"/>
      <c r="M719" s="91"/>
      <c r="N719" s="91"/>
      <c r="O719" s="83"/>
      <c r="P719" s="83"/>
      <c r="Q719" s="83"/>
      <c r="R719" s="83"/>
      <c r="S719" s="92"/>
      <c r="T719" s="83"/>
      <c r="U719" s="83"/>
      <c r="V719" s="771"/>
      <c r="W719" s="93"/>
      <c r="X719" s="93"/>
      <c r="Y719" s="93"/>
      <c r="Z719" s="93"/>
      <c r="AA719" s="93"/>
      <c r="AB719" s="93"/>
      <c r="AC719" s="93"/>
      <c r="AD719" s="93"/>
      <c r="AE719" s="93"/>
      <c r="AF719" s="93"/>
      <c r="AG719" s="93"/>
      <c r="AH719" s="93"/>
      <c r="AI719" s="93"/>
      <c r="AJ719" s="93"/>
      <c r="AK719" s="94"/>
      <c r="AL719" s="89"/>
      <c r="AM719" s="95"/>
      <c r="AN719" s="89"/>
      <c r="AO719" s="95"/>
      <c r="AP719" s="95"/>
      <c r="AQ719" s="580"/>
      <c r="AR719" s="580"/>
    </row>
    <row r="720" spans="1:44" s="96" customFormat="1" ht="13.8">
      <c r="A720" s="87"/>
      <c r="B720" s="88"/>
      <c r="C720" s="89"/>
      <c r="D720" s="90"/>
      <c r="E720" s="83"/>
      <c r="F720" s="90"/>
      <c r="G720" s="83"/>
      <c r="H720" s="752"/>
      <c r="I720" s="752"/>
      <c r="J720" s="752"/>
      <c r="K720" s="91"/>
      <c r="L720" s="91"/>
      <c r="M720" s="91"/>
      <c r="N720" s="91"/>
      <c r="O720" s="83"/>
      <c r="P720" s="83"/>
      <c r="Q720" s="83"/>
      <c r="R720" s="83"/>
      <c r="S720" s="92"/>
      <c r="T720" s="83"/>
      <c r="U720" s="83"/>
      <c r="V720" s="771"/>
      <c r="W720" s="93"/>
      <c r="X720" s="93"/>
      <c r="Y720" s="93"/>
      <c r="Z720" s="93"/>
      <c r="AA720" s="93"/>
      <c r="AB720" s="93"/>
      <c r="AC720" s="93"/>
      <c r="AD720" s="93"/>
      <c r="AE720" s="93"/>
      <c r="AF720" s="93"/>
      <c r="AG720" s="93"/>
      <c r="AH720" s="93"/>
      <c r="AI720" s="93"/>
      <c r="AJ720" s="93"/>
      <c r="AK720" s="94"/>
      <c r="AL720" s="89"/>
      <c r="AM720" s="95"/>
      <c r="AN720" s="89"/>
      <c r="AO720" s="95"/>
      <c r="AP720" s="95"/>
      <c r="AQ720" s="580"/>
      <c r="AR720" s="580"/>
    </row>
    <row r="721" spans="1:44" s="96" customFormat="1" ht="13.8">
      <c r="A721" s="87"/>
      <c r="B721" s="88"/>
      <c r="C721" s="89"/>
      <c r="D721" s="90"/>
      <c r="E721" s="83"/>
      <c r="F721" s="90"/>
      <c r="G721" s="83"/>
      <c r="H721" s="752"/>
      <c r="I721" s="752"/>
      <c r="J721" s="752"/>
      <c r="K721" s="91"/>
      <c r="L721" s="91"/>
      <c r="M721" s="91"/>
      <c r="N721" s="91"/>
      <c r="O721" s="83"/>
      <c r="P721" s="83"/>
      <c r="Q721" s="83"/>
      <c r="R721" s="83"/>
      <c r="S721" s="92"/>
      <c r="T721" s="83"/>
      <c r="U721" s="83"/>
      <c r="V721" s="771"/>
      <c r="W721" s="93"/>
      <c r="X721" s="93"/>
      <c r="Y721" s="93"/>
      <c r="Z721" s="93"/>
      <c r="AA721" s="93"/>
      <c r="AB721" s="93"/>
      <c r="AC721" s="93"/>
      <c r="AD721" s="93"/>
      <c r="AE721" s="93"/>
      <c r="AF721" s="93"/>
      <c r="AG721" s="93"/>
      <c r="AH721" s="93"/>
      <c r="AI721" s="93"/>
      <c r="AJ721" s="93"/>
      <c r="AK721" s="94"/>
      <c r="AL721" s="89"/>
      <c r="AM721" s="95"/>
      <c r="AN721" s="89"/>
      <c r="AO721" s="95"/>
      <c r="AP721" s="95"/>
      <c r="AQ721" s="580"/>
      <c r="AR721" s="580"/>
    </row>
    <row r="722" spans="1:44" s="96" customFormat="1" ht="13.8">
      <c r="A722" s="87"/>
      <c r="B722" s="88"/>
      <c r="C722" s="89"/>
      <c r="D722" s="83"/>
      <c r="E722" s="83"/>
      <c r="F722" s="83"/>
      <c r="G722" s="83"/>
      <c r="H722" s="97"/>
      <c r="I722" s="91"/>
      <c r="J722" s="91"/>
      <c r="K722" s="91"/>
      <c r="L722" s="91"/>
      <c r="M722" s="91"/>
      <c r="N722" s="91"/>
      <c r="O722" s="83"/>
      <c r="P722" s="83"/>
      <c r="Q722" s="83"/>
      <c r="R722" s="83"/>
      <c r="S722" s="92"/>
      <c r="T722" s="83"/>
      <c r="U722" s="83"/>
      <c r="V722" s="771"/>
      <c r="W722" s="93"/>
      <c r="X722" s="93"/>
      <c r="Y722" s="93"/>
      <c r="Z722" s="93"/>
      <c r="AA722" s="93"/>
      <c r="AB722" s="93"/>
      <c r="AC722" s="93"/>
      <c r="AD722" s="93"/>
      <c r="AE722" s="93"/>
      <c r="AF722" s="93"/>
      <c r="AG722" s="93"/>
      <c r="AH722" s="93"/>
      <c r="AI722" s="93"/>
      <c r="AJ722" s="93"/>
      <c r="AK722" s="94"/>
      <c r="AL722" s="95"/>
      <c r="AM722" s="95"/>
      <c r="AN722" s="95"/>
      <c r="AO722" s="95"/>
      <c r="AP722" s="95"/>
      <c r="AQ722" s="580"/>
      <c r="AR722" s="580"/>
    </row>
    <row r="723" spans="1:44" s="96" customFormat="1" ht="13.8">
      <c r="A723" s="87"/>
      <c r="B723" s="88"/>
      <c r="C723" s="89"/>
      <c r="D723" s="83"/>
      <c r="E723" s="83"/>
      <c r="F723" s="83"/>
      <c r="G723" s="83"/>
      <c r="H723" s="97"/>
      <c r="I723" s="91"/>
      <c r="J723" s="91"/>
      <c r="K723" s="91"/>
      <c r="L723" s="91"/>
      <c r="M723" s="91"/>
      <c r="N723" s="91"/>
      <c r="O723" s="83"/>
      <c r="P723" s="83"/>
      <c r="Q723" s="83"/>
      <c r="R723" s="83"/>
      <c r="S723" s="92"/>
      <c r="T723" s="83"/>
      <c r="U723" s="83"/>
      <c r="V723" s="83"/>
      <c r="W723" s="93"/>
      <c r="X723" s="93"/>
      <c r="Y723" s="93"/>
      <c r="Z723" s="93"/>
      <c r="AA723" s="93"/>
      <c r="AB723" s="93"/>
      <c r="AC723" s="93"/>
      <c r="AD723" s="93"/>
      <c r="AE723" s="93"/>
      <c r="AF723" s="93"/>
      <c r="AG723" s="93"/>
      <c r="AH723" s="93"/>
      <c r="AI723" s="93"/>
      <c r="AJ723" s="93"/>
      <c r="AK723" s="94"/>
      <c r="AL723" s="95"/>
      <c r="AM723" s="95"/>
      <c r="AN723" s="95"/>
      <c r="AO723" s="95"/>
      <c r="AP723" s="95"/>
      <c r="AQ723" s="580"/>
      <c r="AR723" s="580"/>
    </row>
    <row r="724" spans="1:44" s="96" customFormat="1" ht="13.8">
      <c r="A724" s="87"/>
      <c r="B724" s="88"/>
      <c r="C724" s="89"/>
      <c r="D724" s="83"/>
      <c r="E724" s="83"/>
      <c r="F724" s="83"/>
      <c r="G724" s="83"/>
      <c r="H724" s="97"/>
      <c r="I724" s="91"/>
      <c r="J724" s="91"/>
      <c r="K724" s="91"/>
      <c r="L724" s="91"/>
      <c r="M724" s="91"/>
      <c r="N724" s="91"/>
      <c r="O724" s="83"/>
      <c r="P724" s="83"/>
      <c r="Q724" s="83"/>
      <c r="R724" s="83"/>
      <c r="S724" s="92"/>
      <c r="T724" s="83"/>
      <c r="U724" s="83"/>
      <c r="V724" s="771"/>
      <c r="W724" s="93"/>
      <c r="X724" s="93"/>
      <c r="Y724" s="93"/>
      <c r="Z724" s="93"/>
      <c r="AA724" s="93"/>
      <c r="AB724" s="93"/>
      <c r="AC724" s="93"/>
      <c r="AD724" s="93"/>
      <c r="AE724" s="93"/>
      <c r="AF724" s="93"/>
      <c r="AG724" s="93"/>
      <c r="AH724" s="93"/>
      <c r="AI724" s="93"/>
      <c r="AJ724" s="93"/>
      <c r="AK724" s="94"/>
      <c r="AL724" s="95"/>
      <c r="AM724" s="95"/>
      <c r="AN724" s="95"/>
      <c r="AO724" s="95"/>
      <c r="AP724" s="95"/>
      <c r="AQ724" s="580"/>
      <c r="AR724" s="580"/>
    </row>
    <row r="725" spans="1:44" s="96" customFormat="1" ht="13.8">
      <c r="A725" s="87"/>
      <c r="B725" s="88"/>
      <c r="C725" s="89"/>
      <c r="D725" s="83"/>
      <c r="E725" s="83"/>
      <c r="F725" s="83"/>
      <c r="G725" s="83"/>
      <c r="H725" s="97"/>
      <c r="I725" s="91"/>
      <c r="J725" s="91"/>
      <c r="K725" s="91"/>
      <c r="L725" s="91"/>
      <c r="M725" s="91"/>
      <c r="N725" s="91"/>
      <c r="O725" s="83"/>
      <c r="P725" s="83"/>
      <c r="Q725" s="83"/>
      <c r="R725" s="83"/>
      <c r="S725" s="92"/>
      <c r="T725" s="83"/>
      <c r="U725" s="83"/>
      <c r="V725" s="771"/>
      <c r="W725" s="93"/>
      <c r="X725" s="93"/>
      <c r="Y725" s="93"/>
      <c r="Z725" s="93"/>
      <c r="AA725" s="93"/>
      <c r="AB725" s="93"/>
      <c r="AC725" s="93"/>
      <c r="AD725" s="93"/>
      <c r="AE725" s="93"/>
      <c r="AF725" s="93"/>
      <c r="AG725" s="93"/>
      <c r="AH725" s="93"/>
      <c r="AI725" s="93"/>
      <c r="AJ725" s="93"/>
      <c r="AK725" s="94"/>
      <c r="AL725" s="95"/>
      <c r="AM725" s="95"/>
      <c r="AN725" s="95"/>
      <c r="AO725" s="95"/>
      <c r="AP725" s="95"/>
      <c r="AQ725" s="580"/>
      <c r="AR725" s="580"/>
    </row>
    <row r="726" spans="1:44" s="96" customFormat="1" ht="13.8">
      <c r="A726" s="87"/>
      <c r="B726" s="88"/>
      <c r="C726" s="89"/>
      <c r="D726" s="83"/>
      <c r="E726" s="83"/>
      <c r="F726" s="83"/>
      <c r="G726" s="83"/>
      <c r="H726" s="98"/>
      <c r="I726" s="91"/>
      <c r="J726" s="91"/>
      <c r="K726" s="91"/>
      <c r="L726" s="91"/>
      <c r="M726" s="91"/>
      <c r="N726" s="91"/>
      <c r="O726" s="83"/>
      <c r="P726" s="83"/>
      <c r="Q726" s="83"/>
      <c r="R726" s="83"/>
      <c r="S726" s="92"/>
      <c r="T726" s="83"/>
      <c r="U726" s="83"/>
      <c r="V726" s="771"/>
      <c r="W726" s="93"/>
      <c r="X726" s="93"/>
      <c r="Y726" s="93"/>
      <c r="Z726" s="93"/>
      <c r="AA726" s="93"/>
      <c r="AB726" s="93"/>
      <c r="AC726" s="93"/>
      <c r="AD726" s="93"/>
      <c r="AE726" s="93"/>
      <c r="AF726" s="93"/>
      <c r="AG726" s="93"/>
      <c r="AH726" s="93"/>
      <c r="AI726" s="93"/>
      <c r="AJ726" s="93"/>
      <c r="AK726" s="94"/>
      <c r="AL726" s="95"/>
      <c r="AM726" s="95"/>
      <c r="AN726" s="95"/>
      <c r="AO726" s="95"/>
      <c r="AP726" s="95"/>
      <c r="AQ726" s="580"/>
      <c r="AR726" s="580"/>
    </row>
    <row r="727" spans="1:44" s="96" customFormat="1" ht="13.8">
      <c r="A727" s="87"/>
      <c r="B727" s="83"/>
      <c r="C727" s="99"/>
      <c r="D727" s="83"/>
      <c r="E727" s="83"/>
      <c r="F727" s="83"/>
      <c r="G727" s="83"/>
      <c r="H727" s="91"/>
      <c r="I727" s="91"/>
      <c r="J727" s="91"/>
      <c r="K727" s="91"/>
      <c r="L727" s="91"/>
      <c r="M727" s="91"/>
      <c r="N727" s="91"/>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95"/>
      <c r="AL727" s="95"/>
      <c r="AM727" s="95"/>
      <c r="AN727" s="95"/>
      <c r="AO727" s="95"/>
      <c r="AP727" s="95"/>
      <c r="AQ727" s="580"/>
      <c r="AR727" s="580"/>
    </row>
    <row r="728" spans="1:44" s="96" customFormat="1" ht="13.8">
      <c r="A728" s="87"/>
      <c r="B728" s="83"/>
      <c r="C728" s="99"/>
      <c r="D728" s="83"/>
      <c r="E728" s="83"/>
      <c r="F728" s="83"/>
      <c r="G728" s="83"/>
      <c r="H728" s="91"/>
      <c r="I728" s="91"/>
      <c r="J728" s="91"/>
      <c r="K728" s="91"/>
      <c r="L728" s="91"/>
      <c r="M728" s="91"/>
      <c r="N728" s="91"/>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95"/>
      <c r="AL728" s="95"/>
      <c r="AM728" s="95"/>
      <c r="AN728" s="95"/>
      <c r="AO728" s="95"/>
      <c r="AP728" s="95"/>
      <c r="AQ728" s="580"/>
      <c r="AR728" s="580"/>
    </row>
    <row r="729" spans="1:44" s="96" customFormat="1" ht="13.8">
      <c r="A729" s="87"/>
      <c r="B729" s="83"/>
      <c r="C729" s="99"/>
      <c r="D729" s="83"/>
      <c r="E729" s="83"/>
      <c r="F729" s="83"/>
      <c r="G729" s="83"/>
      <c r="H729" s="91"/>
      <c r="I729" s="91"/>
      <c r="J729" s="91"/>
      <c r="K729" s="91"/>
      <c r="L729" s="91"/>
      <c r="M729" s="91"/>
      <c r="N729" s="91"/>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95"/>
      <c r="AL729" s="95"/>
      <c r="AM729" s="95"/>
      <c r="AN729" s="95"/>
      <c r="AO729" s="95"/>
      <c r="AP729" s="95"/>
      <c r="AQ729" s="580"/>
      <c r="AR729" s="580"/>
    </row>
    <row r="730" spans="1:44" s="96" customFormat="1" ht="13.8">
      <c r="A730" s="87"/>
      <c r="B730" s="83"/>
      <c r="C730" s="99"/>
      <c r="D730" s="83"/>
      <c r="E730" s="83"/>
      <c r="F730" s="83"/>
      <c r="G730" s="83"/>
      <c r="H730" s="91"/>
      <c r="I730" s="91"/>
      <c r="J730" s="91"/>
      <c r="K730" s="91"/>
      <c r="L730" s="91"/>
      <c r="M730" s="91"/>
      <c r="N730" s="91"/>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95"/>
      <c r="AL730" s="95"/>
      <c r="AM730" s="95"/>
      <c r="AN730" s="95"/>
      <c r="AO730" s="95"/>
      <c r="AP730" s="95"/>
      <c r="AQ730" s="580"/>
      <c r="AR730" s="580"/>
    </row>
    <row r="731" spans="1:44" s="96" customFormat="1" ht="13.8">
      <c r="A731" s="87"/>
      <c r="B731" s="83"/>
      <c r="C731" s="99"/>
      <c r="D731" s="83"/>
      <c r="E731" s="83"/>
      <c r="F731" s="83"/>
      <c r="G731" s="83"/>
      <c r="H731" s="91"/>
      <c r="I731" s="91"/>
      <c r="J731" s="91"/>
      <c r="K731" s="91"/>
      <c r="L731" s="91"/>
      <c r="M731" s="91"/>
      <c r="N731" s="91"/>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95"/>
      <c r="AL731" s="95"/>
      <c r="AM731" s="95"/>
      <c r="AN731" s="95"/>
      <c r="AO731" s="95"/>
      <c r="AP731" s="95"/>
      <c r="AQ731" s="580"/>
      <c r="AR731" s="580"/>
    </row>
    <row r="732" spans="1:44" s="96" customFormat="1" ht="13.8">
      <c r="A732" s="87"/>
      <c r="B732" s="83"/>
      <c r="C732" s="99"/>
      <c r="D732" s="83"/>
      <c r="E732" s="83"/>
      <c r="F732" s="83"/>
      <c r="G732" s="83"/>
      <c r="H732" s="91"/>
      <c r="I732" s="91"/>
      <c r="J732" s="91"/>
      <c r="K732" s="91"/>
      <c r="L732" s="91"/>
      <c r="M732" s="91"/>
      <c r="N732" s="91"/>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95"/>
      <c r="AL732" s="95"/>
      <c r="AM732" s="95"/>
      <c r="AN732" s="95"/>
      <c r="AO732" s="95"/>
      <c r="AP732" s="95"/>
      <c r="AQ732" s="580"/>
      <c r="AR732" s="580"/>
    </row>
    <row r="733" spans="1:44" s="96" customFormat="1" ht="13.8">
      <c r="A733" s="87"/>
      <c r="B733" s="83"/>
      <c r="C733" s="99"/>
      <c r="D733" s="83"/>
      <c r="E733" s="83"/>
      <c r="F733" s="83"/>
      <c r="G733" s="83"/>
      <c r="H733" s="91"/>
      <c r="I733" s="91"/>
      <c r="J733" s="91"/>
      <c r="K733" s="91"/>
      <c r="L733" s="91"/>
      <c r="M733" s="91"/>
      <c r="N733" s="91"/>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95"/>
      <c r="AL733" s="95"/>
      <c r="AM733" s="95"/>
      <c r="AN733" s="95"/>
      <c r="AO733" s="95"/>
      <c r="AP733" s="95"/>
      <c r="AQ733" s="580"/>
      <c r="AR733" s="580"/>
    </row>
    <row r="734" spans="1:44" s="96" customFormat="1" ht="13.8">
      <c r="A734" s="87"/>
      <c r="B734" s="83"/>
      <c r="C734" s="99"/>
      <c r="D734" s="83"/>
      <c r="E734" s="83"/>
      <c r="F734" s="83"/>
      <c r="G734" s="83"/>
      <c r="H734" s="91"/>
      <c r="I734" s="91"/>
      <c r="J734" s="91"/>
      <c r="K734" s="91"/>
      <c r="L734" s="91"/>
      <c r="M734" s="91"/>
      <c r="N734" s="91"/>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95"/>
      <c r="AL734" s="95"/>
      <c r="AM734" s="95"/>
      <c r="AN734" s="95"/>
      <c r="AO734" s="95"/>
      <c r="AP734" s="95"/>
      <c r="AQ734" s="580"/>
      <c r="AR734" s="580"/>
    </row>
    <row r="735" spans="1:44" s="96" customFormat="1" ht="13.8">
      <c r="A735" s="87"/>
      <c r="B735" s="83"/>
      <c r="C735" s="99"/>
      <c r="D735" s="83"/>
      <c r="E735" s="83"/>
      <c r="F735" s="83"/>
      <c r="G735" s="83"/>
      <c r="H735" s="91"/>
      <c r="I735" s="91"/>
      <c r="J735" s="91"/>
      <c r="K735" s="91"/>
      <c r="L735" s="91"/>
      <c r="M735" s="91"/>
      <c r="N735" s="91"/>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95"/>
      <c r="AL735" s="95"/>
      <c r="AM735" s="95"/>
      <c r="AN735" s="95"/>
      <c r="AO735" s="95"/>
      <c r="AP735" s="95"/>
      <c r="AQ735" s="580"/>
      <c r="AR735" s="580"/>
    </row>
    <row r="736" spans="1:44" s="96" customFormat="1" ht="13.8">
      <c r="A736" s="87"/>
      <c r="B736" s="83"/>
      <c r="C736" s="99"/>
      <c r="D736" s="83"/>
      <c r="E736" s="83"/>
      <c r="F736" s="83"/>
      <c r="G736" s="83"/>
      <c r="H736" s="91"/>
      <c r="I736" s="91"/>
      <c r="J736" s="91"/>
      <c r="K736" s="91"/>
      <c r="L736" s="91"/>
      <c r="M736" s="91"/>
      <c r="N736" s="91"/>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95"/>
      <c r="AL736" s="95"/>
      <c r="AM736" s="95"/>
      <c r="AN736" s="95"/>
      <c r="AO736" s="95"/>
      <c r="AP736" s="95"/>
      <c r="AQ736" s="580"/>
      <c r="AR736" s="580"/>
    </row>
    <row r="737" spans="1:44" s="96" customFormat="1" ht="13.8">
      <c r="A737" s="87"/>
      <c r="B737" s="83"/>
      <c r="C737" s="99"/>
      <c r="D737" s="83"/>
      <c r="E737" s="83"/>
      <c r="F737" s="83"/>
      <c r="G737" s="83"/>
      <c r="H737" s="91"/>
      <c r="I737" s="91"/>
      <c r="J737" s="91"/>
      <c r="K737" s="91"/>
      <c r="L737" s="91"/>
      <c r="M737" s="91"/>
      <c r="N737" s="91"/>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95"/>
      <c r="AL737" s="95"/>
      <c r="AM737" s="95"/>
      <c r="AN737" s="95"/>
      <c r="AO737" s="95"/>
      <c r="AP737" s="95"/>
      <c r="AQ737" s="580"/>
      <c r="AR737" s="580"/>
    </row>
    <row r="738" spans="1:44" s="96" customFormat="1" ht="13.8">
      <c r="A738" s="87"/>
      <c r="B738" s="83"/>
      <c r="C738" s="99"/>
      <c r="D738" s="83"/>
      <c r="E738" s="83"/>
      <c r="F738" s="83"/>
      <c r="G738" s="83"/>
      <c r="H738" s="91"/>
      <c r="I738" s="91"/>
      <c r="J738" s="91"/>
      <c r="K738" s="91"/>
      <c r="L738" s="91"/>
      <c r="M738" s="91"/>
      <c r="N738" s="91"/>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95"/>
      <c r="AL738" s="95"/>
      <c r="AM738" s="95"/>
      <c r="AN738" s="95"/>
      <c r="AO738" s="95"/>
      <c r="AP738" s="95"/>
      <c r="AQ738" s="580"/>
      <c r="AR738" s="580"/>
    </row>
    <row r="739" spans="1:44" s="96" customFormat="1" ht="13.8">
      <c r="A739" s="87"/>
      <c r="B739" s="83"/>
      <c r="C739" s="99"/>
      <c r="D739" s="83"/>
      <c r="E739" s="83"/>
      <c r="F739" s="83"/>
      <c r="G739" s="83"/>
      <c r="H739" s="91"/>
      <c r="I739" s="91"/>
      <c r="J739" s="91"/>
      <c r="K739" s="91"/>
      <c r="L739" s="91"/>
      <c r="M739" s="91"/>
      <c r="N739" s="91"/>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95"/>
      <c r="AL739" s="95"/>
      <c r="AM739" s="95"/>
      <c r="AN739" s="95"/>
      <c r="AO739" s="95"/>
      <c r="AP739" s="95"/>
      <c r="AQ739" s="580"/>
      <c r="AR739" s="580"/>
    </row>
    <row r="740" spans="1:44" s="96" customFormat="1" ht="13.8">
      <c r="A740" s="87"/>
      <c r="B740" s="83"/>
      <c r="C740" s="99"/>
      <c r="D740" s="83"/>
      <c r="E740" s="83"/>
      <c r="F740" s="83"/>
      <c r="G740" s="83"/>
      <c r="H740" s="91"/>
      <c r="I740" s="91"/>
      <c r="J740" s="91"/>
      <c r="K740" s="91"/>
      <c r="L740" s="91"/>
      <c r="M740" s="91"/>
      <c r="N740" s="91"/>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95"/>
      <c r="AL740" s="95"/>
      <c r="AM740" s="95"/>
      <c r="AN740" s="95"/>
      <c r="AO740" s="95"/>
      <c r="AP740" s="95"/>
      <c r="AQ740" s="580"/>
      <c r="AR740" s="580"/>
    </row>
    <row r="741" spans="1:44" s="96" customFormat="1" ht="13.8">
      <c r="A741" s="87"/>
      <c r="B741" s="83"/>
      <c r="C741" s="99"/>
      <c r="D741" s="83"/>
      <c r="E741" s="83"/>
      <c r="F741" s="83"/>
      <c r="G741" s="83"/>
      <c r="H741" s="91"/>
      <c r="I741" s="91"/>
      <c r="J741" s="91"/>
      <c r="K741" s="91"/>
      <c r="L741" s="91"/>
      <c r="M741" s="91"/>
      <c r="N741" s="91"/>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95"/>
      <c r="AL741" s="95"/>
      <c r="AM741" s="95"/>
      <c r="AN741" s="95"/>
      <c r="AO741" s="95"/>
      <c r="AP741" s="95"/>
      <c r="AQ741" s="580"/>
      <c r="AR741" s="580"/>
    </row>
  </sheetData>
  <mergeCells count="72">
    <mergeCell ref="A1:D1"/>
    <mergeCell ref="T1:W1"/>
    <mergeCell ref="A3:AO3"/>
    <mergeCell ref="AM4:AN4"/>
    <mergeCell ref="A5:A8"/>
    <mergeCell ref="B5:B8"/>
    <mergeCell ref="C5:C8"/>
    <mergeCell ref="D5:G5"/>
    <mergeCell ref="H5:H8"/>
    <mergeCell ref="I5:N5"/>
    <mergeCell ref="R7:R8"/>
    <mergeCell ref="AH6:AJ6"/>
    <mergeCell ref="AL6:AM6"/>
    <mergeCell ref="AN6:AO6"/>
    <mergeCell ref="D7:D8"/>
    <mergeCell ref="E7:E8"/>
    <mergeCell ref="AP5:AP8"/>
    <mergeCell ref="AQ5:AQ8"/>
    <mergeCell ref="AR5:AR8"/>
    <mergeCell ref="D6:E6"/>
    <mergeCell ref="F6:G6"/>
    <mergeCell ref="I6:K6"/>
    <mergeCell ref="L6:N6"/>
    <mergeCell ref="R6:T6"/>
    <mergeCell ref="O5:O8"/>
    <mergeCell ref="P5:Q6"/>
    <mergeCell ref="R5:W5"/>
    <mergeCell ref="X5:X8"/>
    <mergeCell ref="Y5:AD5"/>
    <mergeCell ref="AE5:AJ5"/>
    <mergeCell ref="U6:W6"/>
    <mergeCell ref="Y6:AA6"/>
    <mergeCell ref="F7:F8"/>
    <mergeCell ref="G7:G8"/>
    <mergeCell ref="I7:I8"/>
    <mergeCell ref="J7:J8"/>
    <mergeCell ref="K7:K8"/>
    <mergeCell ref="AL5:AO5"/>
    <mergeCell ref="AB6:AD6"/>
    <mergeCell ref="AE6:AG6"/>
    <mergeCell ref="L7:L8"/>
    <mergeCell ref="M7:M8"/>
    <mergeCell ref="N7:N8"/>
    <mergeCell ref="P7:P8"/>
    <mergeCell ref="Q7:Q8"/>
    <mergeCell ref="AD7:AD8"/>
    <mergeCell ref="AE7:AE8"/>
    <mergeCell ref="S7:S8"/>
    <mergeCell ref="T7:T8"/>
    <mergeCell ref="U7:U8"/>
    <mergeCell ref="V7:V8"/>
    <mergeCell ref="W7:W8"/>
    <mergeCell ref="Y7:Y8"/>
    <mergeCell ref="AM7:AM8"/>
    <mergeCell ref="AN7:AN8"/>
    <mergeCell ref="AO7:AO8"/>
    <mergeCell ref="AF7:AF8"/>
    <mergeCell ref="AG7:AG8"/>
    <mergeCell ref="AH7:AH8"/>
    <mergeCell ref="AI7:AI8"/>
    <mergeCell ref="AJ7:AJ8"/>
    <mergeCell ref="AL7:AL8"/>
    <mergeCell ref="Z7:Z8"/>
    <mergeCell ref="AA7:AA8"/>
    <mergeCell ref="AB7:AB8"/>
    <mergeCell ref="AC7:AC8"/>
    <mergeCell ref="AK5:AK8"/>
    <mergeCell ref="S641:T641"/>
    <mergeCell ref="U641:V641"/>
    <mergeCell ref="AK641:AO641"/>
    <mergeCell ref="H700:J700"/>
    <mergeCell ref="B701:E70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68"/>
  <sheetViews>
    <sheetView tabSelected="1" workbookViewId="0">
      <pane xSplit="2" ySplit="8" topLeftCell="C30" activePane="bottomRight" state="frozen"/>
      <selection pane="topRight" activeCell="C1" sqref="C1"/>
      <selection pane="bottomLeft" activeCell="A9" sqref="A9"/>
      <selection pane="bottomRight" activeCell="A4" sqref="A4:H4"/>
    </sheetView>
  </sheetViews>
  <sheetFormatPr defaultColWidth="9.109375" defaultRowHeight="15.6"/>
  <cols>
    <col min="1" max="1" width="5.88671875" style="279" customWidth="1"/>
    <col min="2" max="2" width="49" style="279" customWidth="1"/>
    <col min="3" max="3" width="12" style="279" customWidth="1"/>
    <col min="4" max="4" width="11.44140625" style="279" customWidth="1"/>
    <col min="5" max="5" width="11.88671875" style="277" customWidth="1"/>
    <col min="6" max="6" width="12.5546875" style="277" customWidth="1"/>
    <col min="7" max="7" width="9.88671875" style="279" customWidth="1"/>
    <col min="8" max="9" width="9.109375" style="279"/>
    <col min="10" max="10" width="18.44140625" style="280" customWidth="1"/>
    <col min="11" max="16384" width="9.109375" style="279"/>
  </cols>
  <sheetData>
    <row r="1" spans="1:8" s="279" customFormat="1">
      <c r="A1" s="299" t="s">
        <v>202</v>
      </c>
      <c r="C1" s="276"/>
      <c r="D1" s="276"/>
      <c r="E1" s="277"/>
      <c r="F1" s="278" t="s">
        <v>38</v>
      </c>
    </row>
    <row r="2" spans="1:8" s="279" customFormat="1" ht="9" customHeight="1">
      <c r="A2" s="300"/>
      <c r="E2" s="277"/>
      <c r="F2" s="277"/>
    </row>
    <row r="3" spans="1:8" s="279" customFormat="1" ht="16.8">
      <c r="A3" s="797" t="s">
        <v>2265</v>
      </c>
      <c r="B3" s="797"/>
      <c r="C3" s="797"/>
      <c r="D3" s="797"/>
      <c r="E3" s="797"/>
      <c r="F3" s="797"/>
      <c r="G3" s="797"/>
      <c r="H3" s="797"/>
    </row>
    <row r="4" spans="1:8" s="279" customFormat="1">
      <c r="A4" s="799" t="s">
        <v>2043</v>
      </c>
      <c r="B4" s="799"/>
      <c r="C4" s="799"/>
      <c r="D4" s="799"/>
      <c r="E4" s="799"/>
      <c r="F4" s="799"/>
      <c r="G4" s="799"/>
      <c r="H4" s="799"/>
    </row>
    <row r="5" spans="1:8" s="279" customFormat="1">
      <c r="B5" s="255"/>
      <c r="C5" s="280"/>
      <c r="D5" s="280"/>
      <c r="E5" s="280"/>
      <c r="F5" s="280"/>
      <c r="G5" s="281" t="s">
        <v>1</v>
      </c>
    </row>
    <row r="6" spans="1:8" s="279" customFormat="1">
      <c r="A6" s="800" t="s">
        <v>2</v>
      </c>
      <c r="B6" s="800" t="s">
        <v>3</v>
      </c>
      <c r="C6" s="800" t="s">
        <v>39</v>
      </c>
      <c r="D6" s="800"/>
      <c r="E6" s="801" t="s">
        <v>5</v>
      </c>
      <c r="F6" s="801"/>
      <c r="G6" s="800" t="s">
        <v>6</v>
      </c>
      <c r="H6" s="800"/>
    </row>
    <row r="7" spans="1:8" s="279" customFormat="1" ht="46.8">
      <c r="A7" s="800"/>
      <c r="B7" s="800"/>
      <c r="C7" s="596" t="s">
        <v>40</v>
      </c>
      <c r="D7" s="596" t="s">
        <v>41</v>
      </c>
      <c r="E7" s="597" t="s">
        <v>40</v>
      </c>
      <c r="F7" s="597" t="s">
        <v>41</v>
      </c>
      <c r="G7" s="596" t="s">
        <v>40</v>
      </c>
      <c r="H7" s="596" t="s">
        <v>41</v>
      </c>
    </row>
    <row r="8" spans="1:8" s="279" customFormat="1">
      <c r="A8" s="599" t="s">
        <v>7</v>
      </c>
      <c r="B8" s="599" t="s">
        <v>8</v>
      </c>
      <c r="C8" s="599">
        <v>1</v>
      </c>
      <c r="D8" s="599">
        <v>2</v>
      </c>
      <c r="E8" s="599">
        <v>3</v>
      </c>
      <c r="F8" s="599">
        <v>4</v>
      </c>
      <c r="G8" s="599" t="s">
        <v>42</v>
      </c>
      <c r="H8" s="599" t="s">
        <v>43</v>
      </c>
    </row>
    <row r="9" spans="1:8" s="279" customFormat="1">
      <c r="A9" s="282"/>
      <c r="B9" s="259" t="s">
        <v>251</v>
      </c>
      <c r="C9" s="283">
        <f>C10+C63+C64+C65+C67</f>
        <v>2191000</v>
      </c>
      <c r="D9" s="283">
        <f>D10+D63+D64+D65+D67</f>
        <v>1804000</v>
      </c>
      <c r="E9" s="283">
        <f>E10+E63+E64+E65+E67</f>
        <v>2869179.6399139999</v>
      </c>
      <c r="F9" s="283">
        <f>F10+F63+F64+F65+F67+F66</f>
        <v>3765905.0697019985</v>
      </c>
      <c r="G9" s="284">
        <f t="shared" ref="G9:H24" si="0">IF((C9&gt;0),E9/C9*100,0)</f>
        <v>130.95297306773165</v>
      </c>
      <c r="H9" s="284">
        <f t="shared" si="0"/>
        <v>208.75305264423494</v>
      </c>
    </row>
    <row r="10" spans="1:8" s="279" customFormat="1">
      <c r="A10" s="267" t="s">
        <v>7</v>
      </c>
      <c r="B10" s="268" t="s">
        <v>44</v>
      </c>
      <c r="C10" s="285">
        <f>C11++C56+C57+C62</f>
        <v>2191000</v>
      </c>
      <c r="D10" s="285">
        <f>D11++D56+D57+D62</f>
        <v>1804000</v>
      </c>
      <c r="E10" s="621">
        <f>E11+E56+E57+E62</f>
        <v>2869179.6399139999</v>
      </c>
      <c r="F10" s="621">
        <f>F11+F56+F57+F62</f>
        <v>2391796.9479899993</v>
      </c>
      <c r="G10" s="260">
        <f t="shared" si="0"/>
        <v>130.95297306773165</v>
      </c>
      <c r="H10" s="260">
        <f t="shared" si="0"/>
        <v>132.58297937860306</v>
      </c>
    </row>
    <row r="11" spans="1:8" s="279" customFormat="1">
      <c r="A11" s="267" t="s">
        <v>45</v>
      </c>
      <c r="B11" s="268" t="s">
        <v>46</v>
      </c>
      <c r="C11" s="285">
        <f>C12+C18+C24+C30+C36+C37+C40+C41+C44+C45+C46+C47+C48+C49+C50+C52+C54+C55</f>
        <v>1919000</v>
      </c>
      <c r="D11" s="285">
        <f>D12+D18+D24+D30+D36+D37+D40+D41+D44+D45+D46+D47+D48+D49+D50+D52+D54+D55</f>
        <v>1784000</v>
      </c>
      <c r="E11" s="285">
        <f>E12+E18+E24+E30+E36+E37+E40+E41+E44+E45+E46+E47+E48+E49+E50+E51+E52+E54+E55</f>
        <v>2585279.7739689997</v>
      </c>
      <c r="F11" s="285">
        <f>F12+F18+F24+F30+F36+F37+F40+F41+F44+F45+F46+F47+F48+F49+F50+F51+F52+F54+F55</f>
        <v>2388797.5075369994</v>
      </c>
      <c r="G11" s="260">
        <f t="shared" si="0"/>
        <v>134.72015497493487</v>
      </c>
      <c r="H11" s="260">
        <f t="shared" si="0"/>
        <v>133.90120557942822</v>
      </c>
    </row>
    <row r="12" spans="1:8" s="279" customFormat="1">
      <c r="A12" s="262">
        <v>1</v>
      </c>
      <c r="B12" s="263" t="s">
        <v>47</v>
      </c>
      <c r="C12" s="286">
        <f>SUM(C13:C17)</f>
        <v>667000</v>
      </c>
      <c r="D12" s="286">
        <f t="shared" ref="D12:F12" si="1">SUM(D13:D17)</f>
        <v>667000</v>
      </c>
      <c r="E12" s="286">
        <f t="shared" si="1"/>
        <v>851209.55515499995</v>
      </c>
      <c r="F12" s="286">
        <f t="shared" si="1"/>
        <v>851209.7551549999</v>
      </c>
      <c r="G12" s="265">
        <f t="shared" si="0"/>
        <v>127.61762446101947</v>
      </c>
      <c r="H12" s="265">
        <f>IF((D12&gt;0),F12/D12*100,0)</f>
        <v>127.61765444602698</v>
      </c>
    </row>
    <row r="13" spans="1:8" s="279" customFormat="1">
      <c r="A13" s="262"/>
      <c r="B13" s="263" t="s">
        <v>242</v>
      </c>
      <c r="C13" s="286">
        <v>321900</v>
      </c>
      <c r="D13" s="286">
        <f>C13</f>
        <v>321900</v>
      </c>
      <c r="E13" s="286">
        <v>382306.00894199999</v>
      </c>
      <c r="F13" s="286">
        <f>382306.008942+0.2</f>
        <v>382306.208942</v>
      </c>
      <c r="G13" s="265">
        <f t="shared" si="0"/>
        <v>118.76545788816402</v>
      </c>
      <c r="H13" s="265">
        <f t="shared" si="0"/>
        <v>118.76552001926063</v>
      </c>
    </row>
    <row r="14" spans="1:8" s="279" customFormat="1">
      <c r="A14" s="262"/>
      <c r="B14" s="263" t="s">
        <v>243</v>
      </c>
      <c r="C14" s="286">
        <v>10000</v>
      </c>
      <c r="D14" s="286">
        <f t="shared" ref="D14:D17" si="2">C14</f>
        <v>10000</v>
      </c>
      <c r="E14" s="286">
        <v>6637.3667569999998</v>
      </c>
      <c r="F14" s="286">
        <v>6637.3667569999998</v>
      </c>
      <c r="G14" s="265">
        <f t="shared" si="0"/>
        <v>66.373667569999995</v>
      </c>
      <c r="H14" s="265">
        <f t="shared" si="0"/>
        <v>66.373667569999995</v>
      </c>
    </row>
    <row r="15" spans="1:8" s="279" customFormat="1">
      <c r="A15" s="262"/>
      <c r="B15" s="263" t="s">
        <v>244</v>
      </c>
      <c r="C15" s="286"/>
      <c r="D15" s="286">
        <f t="shared" si="2"/>
        <v>0</v>
      </c>
      <c r="E15" s="286">
        <v>0</v>
      </c>
      <c r="F15" s="286">
        <v>0</v>
      </c>
      <c r="G15" s="265">
        <f t="shared" si="0"/>
        <v>0</v>
      </c>
      <c r="H15" s="265">
        <f t="shared" si="0"/>
        <v>0</v>
      </c>
    </row>
    <row r="16" spans="1:8" s="279" customFormat="1">
      <c r="A16" s="262"/>
      <c r="B16" s="263" t="s">
        <v>245</v>
      </c>
      <c r="C16" s="286">
        <v>335100</v>
      </c>
      <c r="D16" s="286">
        <f t="shared" si="2"/>
        <v>335100</v>
      </c>
      <c r="E16" s="286">
        <v>462266.17945599998</v>
      </c>
      <c r="F16" s="286">
        <v>462266.17945599998</v>
      </c>
      <c r="G16" s="265">
        <f t="shared" si="0"/>
        <v>137.94872559116683</v>
      </c>
      <c r="H16" s="265">
        <f t="shared" si="0"/>
        <v>137.94872559116683</v>
      </c>
    </row>
    <row r="17" spans="1:8" s="279" customFormat="1">
      <c r="A17" s="262"/>
      <c r="B17" s="287" t="s">
        <v>246</v>
      </c>
      <c r="C17" s="286"/>
      <c r="D17" s="286">
        <f t="shared" si="2"/>
        <v>0</v>
      </c>
      <c r="E17" s="286"/>
      <c r="F17" s="286"/>
      <c r="G17" s="265">
        <f t="shared" si="0"/>
        <v>0</v>
      </c>
      <c r="H17" s="265">
        <f t="shared" si="0"/>
        <v>0</v>
      </c>
    </row>
    <row r="18" spans="1:8" s="279" customFormat="1">
      <c r="A18" s="262">
        <v>2</v>
      </c>
      <c r="B18" s="263" t="s">
        <v>48</v>
      </c>
      <c r="C18" s="286">
        <f>SUM(C19:C23)</f>
        <v>28000</v>
      </c>
      <c r="D18" s="286">
        <f t="shared" ref="D18:F18" si="3">SUM(D19:D23)</f>
        <v>28000</v>
      </c>
      <c r="E18" s="286">
        <f t="shared" si="3"/>
        <v>23291.132604999999</v>
      </c>
      <c r="F18" s="286">
        <f t="shared" si="3"/>
        <v>23291.332605</v>
      </c>
      <c r="G18" s="265">
        <f t="shared" si="0"/>
        <v>83.182616446428568</v>
      </c>
      <c r="H18" s="265">
        <f t="shared" si="0"/>
        <v>83.183330732142863</v>
      </c>
    </row>
    <row r="19" spans="1:8" s="279" customFormat="1">
      <c r="A19" s="262"/>
      <c r="B19" s="263" t="s">
        <v>242</v>
      </c>
      <c r="C19" s="286">
        <v>17200</v>
      </c>
      <c r="D19" s="286">
        <f>C19</f>
        <v>17200</v>
      </c>
      <c r="E19" s="286">
        <v>12867.761409000001</v>
      </c>
      <c r="F19" s="286">
        <f>12867.761409+0.2</f>
        <v>12867.961409000001</v>
      </c>
      <c r="G19" s="265">
        <f t="shared" si="0"/>
        <v>74.812566331395345</v>
      </c>
      <c r="H19" s="265">
        <f t="shared" si="0"/>
        <v>74.813729122093036</v>
      </c>
    </row>
    <row r="20" spans="1:8" s="279" customFormat="1">
      <c r="A20" s="262"/>
      <c r="B20" s="263" t="s">
        <v>243</v>
      </c>
      <c r="C20" s="286">
        <v>7800</v>
      </c>
      <c r="D20" s="286">
        <f t="shared" ref="D20:D23" si="4">C20</f>
        <v>7800</v>
      </c>
      <c r="E20" s="286">
        <v>8112.6469699999998</v>
      </c>
      <c r="F20" s="286">
        <v>8112.6469699999998</v>
      </c>
      <c r="G20" s="265">
        <f t="shared" si="0"/>
        <v>104.00829448717947</v>
      </c>
      <c r="H20" s="265">
        <f t="shared" si="0"/>
        <v>104.00829448717947</v>
      </c>
    </row>
    <row r="21" spans="1:8" s="279" customFormat="1">
      <c r="A21" s="262"/>
      <c r="B21" s="263" t="s">
        <v>244</v>
      </c>
      <c r="C21" s="286"/>
      <c r="D21" s="286">
        <f t="shared" si="4"/>
        <v>0</v>
      </c>
      <c r="E21" s="286">
        <v>0</v>
      </c>
      <c r="F21" s="286">
        <v>0</v>
      </c>
      <c r="G21" s="265">
        <f t="shared" si="0"/>
        <v>0</v>
      </c>
      <c r="H21" s="265">
        <f t="shared" si="0"/>
        <v>0</v>
      </c>
    </row>
    <row r="22" spans="1:8" s="279" customFormat="1">
      <c r="A22" s="262"/>
      <c r="B22" s="263" t="s">
        <v>245</v>
      </c>
      <c r="C22" s="286">
        <v>3000</v>
      </c>
      <c r="D22" s="286">
        <f t="shared" si="4"/>
        <v>3000</v>
      </c>
      <c r="E22" s="286">
        <v>2310.7242259999998</v>
      </c>
      <c r="F22" s="286">
        <v>2310.7242259999998</v>
      </c>
      <c r="G22" s="265">
        <f t="shared" si="0"/>
        <v>77.024140866666656</v>
      </c>
      <c r="H22" s="265">
        <f t="shared" si="0"/>
        <v>77.024140866666656</v>
      </c>
    </row>
    <row r="23" spans="1:8" s="279" customFormat="1">
      <c r="A23" s="262"/>
      <c r="B23" s="287" t="s">
        <v>246</v>
      </c>
      <c r="C23" s="286"/>
      <c r="D23" s="286">
        <f t="shared" si="4"/>
        <v>0</v>
      </c>
      <c r="E23" s="286"/>
      <c r="F23" s="286"/>
      <c r="G23" s="265">
        <f t="shared" si="0"/>
        <v>0</v>
      </c>
      <c r="H23" s="265">
        <f t="shared" si="0"/>
        <v>0</v>
      </c>
    </row>
    <row r="24" spans="1:8" s="279" customFormat="1" ht="31.2">
      <c r="A24" s="262">
        <v>3</v>
      </c>
      <c r="B24" s="263" t="s">
        <v>49</v>
      </c>
      <c r="C24" s="286">
        <f>SUM(C25:C29)</f>
        <v>11000</v>
      </c>
      <c r="D24" s="286">
        <f t="shared" ref="D24" si="5">SUM(D25:D29)</f>
        <v>11000</v>
      </c>
      <c r="E24" s="286">
        <f>SUM(E25:E29)</f>
        <v>24998.025058999996</v>
      </c>
      <c r="F24" s="286">
        <f>SUM(F25:F29)</f>
        <v>24998.225059</v>
      </c>
      <c r="G24" s="265">
        <f t="shared" si="0"/>
        <v>227.25477326363634</v>
      </c>
      <c r="H24" s="265">
        <f t="shared" si="0"/>
        <v>227.25659144545455</v>
      </c>
    </row>
    <row r="25" spans="1:8" s="279" customFormat="1">
      <c r="A25" s="262"/>
      <c r="B25" s="263" t="s">
        <v>242</v>
      </c>
      <c r="C25" s="286">
        <v>5700</v>
      </c>
      <c r="D25" s="286">
        <f>C25</f>
        <v>5700</v>
      </c>
      <c r="E25" s="286">
        <v>10976.642531</v>
      </c>
      <c r="F25" s="286">
        <f>10976.642531+0.2</f>
        <v>10976.842531</v>
      </c>
      <c r="G25" s="265">
        <f t="shared" ref="G25:H65" si="6">IF((C25&gt;0),E25/C25*100,0)</f>
        <v>192.57267598245613</v>
      </c>
      <c r="H25" s="265">
        <f t="shared" si="6"/>
        <v>192.57618475438596</v>
      </c>
    </row>
    <row r="26" spans="1:8" s="279" customFormat="1">
      <c r="A26" s="262"/>
      <c r="B26" s="263" t="s">
        <v>243</v>
      </c>
      <c r="C26" s="286">
        <v>5300</v>
      </c>
      <c r="D26" s="286">
        <f>C26</f>
        <v>5300</v>
      </c>
      <c r="E26" s="286">
        <v>14020.605528</v>
      </c>
      <c r="F26" s="286">
        <v>14020.605528</v>
      </c>
      <c r="G26" s="265">
        <f t="shared" si="6"/>
        <v>264.5397269433962</v>
      </c>
      <c r="H26" s="265">
        <f t="shared" si="6"/>
        <v>264.5397269433962</v>
      </c>
    </row>
    <row r="27" spans="1:8" s="279" customFormat="1">
      <c r="A27" s="262"/>
      <c r="B27" s="263" t="s">
        <v>244</v>
      </c>
      <c r="C27" s="286"/>
      <c r="D27" s="286"/>
      <c r="E27" s="286">
        <v>0</v>
      </c>
      <c r="F27" s="286">
        <v>0</v>
      </c>
      <c r="G27" s="265">
        <f t="shared" si="6"/>
        <v>0</v>
      </c>
      <c r="H27" s="265">
        <f t="shared" si="6"/>
        <v>0</v>
      </c>
    </row>
    <row r="28" spans="1:8" s="279" customFormat="1">
      <c r="A28" s="262"/>
      <c r="B28" s="263" t="s">
        <v>245</v>
      </c>
      <c r="C28" s="286"/>
      <c r="D28" s="286"/>
      <c r="E28" s="286">
        <v>0.77700000000000002</v>
      </c>
      <c r="F28" s="286">
        <v>0.77700000000000002</v>
      </c>
      <c r="G28" s="265">
        <f t="shared" si="6"/>
        <v>0</v>
      </c>
      <c r="H28" s="265">
        <f t="shared" si="6"/>
        <v>0</v>
      </c>
    </row>
    <row r="29" spans="1:8" s="279" customFormat="1">
      <c r="A29" s="262"/>
      <c r="B29" s="287" t="s">
        <v>246</v>
      </c>
      <c r="C29" s="286"/>
      <c r="D29" s="286"/>
      <c r="E29" s="286"/>
      <c r="F29" s="286"/>
      <c r="G29" s="265">
        <f t="shared" si="6"/>
        <v>0</v>
      </c>
      <c r="H29" s="265">
        <f t="shared" si="6"/>
        <v>0</v>
      </c>
    </row>
    <row r="30" spans="1:8" s="279" customFormat="1">
      <c r="A30" s="262">
        <v>4</v>
      </c>
      <c r="B30" s="263" t="s">
        <v>50</v>
      </c>
      <c r="C30" s="286">
        <f>SUM(C31:C35)</f>
        <v>523000</v>
      </c>
      <c r="D30" s="286">
        <f>SUM(D31:D35)</f>
        <v>523000</v>
      </c>
      <c r="E30" s="286">
        <f t="shared" ref="E30:F30" si="7">SUM(E31:E35)</f>
        <v>567524.17543299997</v>
      </c>
      <c r="F30" s="286">
        <f t="shared" si="7"/>
        <v>567524.17543299997</v>
      </c>
      <c r="G30" s="265">
        <f t="shared" si="6"/>
        <v>108.51322666022945</v>
      </c>
      <c r="H30" s="265">
        <f t="shared" si="6"/>
        <v>108.51322666022945</v>
      </c>
    </row>
    <row r="31" spans="1:8" s="279" customFormat="1">
      <c r="A31" s="262"/>
      <c r="B31" s="263" t="s">
        <v>242</v>
      </c>
      <c r="C31" s="286">
        <v>416300</v>
      </c>
      <c r="D31" s="286">
        <f>C31</f>
        <v>416300</v>
      </c>
      <c r="E31" s="286">
        <v>446800.404003</v>
      </c>
      <c r="F31" s="286">
        <v>446800.404003</v>
      </c>
      <c r="G31" s="265">
        <f t="shared" si="6"/>
        <v>107.32654431972135</v>
      </c>
      <c r="H31" s="265">
        <f t="shared" si="6"/>
        <v>107.32654431972135</v>
      </c>
    </row>
    <row r="32" spans="1:8" s="279" customFormat="1">
      <c r="A32" s="262"/>
      <c r="B32" s="263" t="s">
        <v>243</v>
      </c>
      <c r="C32" s="286">
        <v>24000</v>
      </c>
      <c r="D32" s="286">
        <f t="shared" ref="D32:D35" si="8">C32</f>
        <v>24000</v>
      </c>
      <c r="E32" s="286">
        <v>26938.861175999999</v>
      </c>
      <c r="F32" s="286">
        <v>26938.861175999999</v>
      </c>
      <c r="G32" s="265">
        <f t="shared" si="6"/>
        <v>112.24525489999999</v>
      </c>
      <c r="H32" s="265">
        <f t="shared" si="6"/>
        <v>112.24525489999999</v>
      </c>
    </row>
    <row r="33" spans="1:8" s="279" customFormat="1">
      <c r="A33" s="262"/>
      <c r="B33" s="263" t="s">
        <v>244</v>
      </c>
      <c r="C33" s="286">
        <v>1700</v>
      </c>
      <c r="D33" s="286">
        <f t="shared" si="8"/>
        <v>1700</v>
      </c>
      <c r="E33" s="286">
        <v>2514.5786250000001</v>
      </c>
      <c r="F33" s="286">
        <v>2514.5786250000001</v>
      </c>
      <c r="G33" s="265">
        <f t="shared" si="6"/>
        <v>147.91638970588238</v>
      </c>
      <c r="H33" s="265">
        <f t="shared" si="6"/>
        <v>147.91638970588238</v>
      </c>
    </row>
    <row r="34" spans="1:8" s="279" customFormat="1">
      <c r="A34" s="262"/>
      <c r="B34" s="263" t="s">
        <v>245</v>
      </c>
      <c r="C34" s="286">
        <v>81000</v>
      </c>
      <c r="D34" s="286">
        <f t="shared" si="8"/>
        <v>81000</v>
      </c>
      <c r="E34" s="286">
        <v>91270.331628999993</v>
      </c>
      <c r="F34" s="286">
        <v>91270.331628999993</v>
      </c>
      <c r="G34" s="265">
        <f t="shared" si="6"/>
        <v>112.67942176419751</v>
      </c>
      <c r="H34" s="265">
        <f t="shared" si="6"/>
        <v>112.67942176419751</v>
      </c>
    </row>
    <row r="35" spans="1:8" s="279" customFormat="1">
      <c r="A35" s="262"/>
      <c r="B35" s="287" t="s">
        <v>246</v>
      </c>
      <c r="C35" s="286"/>
      <c r="D35" s="286">
        <f t="shared" si="8"/>
        <v>0</v>
      </c>
      <c r="E35" s="286"/>
      <c r="F35" s="286"/>
      <c r="G35" s="265">
        <f t="shared" si="6"/>
        <v>0</v>
      </c>
      <c r="H35" s="265">
        <f t="shared" si="6"/>
        <v>0</v>
      </c>
    </row>
    <row r="36" spans="1:8" s="279" customFormat="1">
      <c r="A36" s="262">
        <v>5</v>
      </c>
      <c r="B36" s="263" t="s">
        <v>51</v>
      </c>
      <c r="C36" s="286">
        <v>80500</v>
      </c>
      <c r="D36" s="286">
        <f>C36</f>
        <v>80500</v>
      </c>
      <c r="E36" s="286">
        <v>94595.452225999994</v>
      </c>
      <c r="F36" s="286">
        <v>94595.452225999994</v>
      </c>
      <c r="G36" s="265">
        <f t="shared" si="6"/>
        <v>117.5098785416149</v>
      </c>
      <c r="H36" s="265">
        <f t="shared" si="6"/>
        <v>117.5098785416149</v>
      </c>
    </row>
    <row r="37" spans="1:8" s="279" customFormat="1">
      <c r="A37" s="262">
        <v>6</v>
      </c>
      <c r="B37" s="263" t="s">
        <v>52</v>
      </c>
      <c r="C37" s="286">
        <v>172000</v>
      </c>
      <c r="D37" s="288">
        <f t="shared" ref="D37:F37" si="9">D38+D39</f>
        <v>64000</v>
      </c>
      <c r="E37" s="286">
        <f t="shared" si="9"/>
        <v>181883.249756</v>
      </c>
      <c r="F37" s="286">
        <f t="shared" si="9"/>
        <v>67659.908173999997</v>
      </c>
      <c r="G37" s="265">
        <f t="shared" si="6"/>
        <v>105.74607543953489</v>
      </c>
      <c r="H37" s="265">
        <f t="shared" si="6"/>
        <v>105.71860652187499</v>
      </c>
    </row>
    <row r="38" spans="1:8" s="279" customFormat="1" ht="31.2">
      <c r="A38" s="289" t="s">
        <v>12</v>
      </c>
      <c r="B38" s="290" t="s">
        <v>53</v>
      </c>
      <c r="C38" s="291">
        <v>64000</v>
      </c>
      <c r="D38" s="291">
        <f>C38</f>
        <v>64000</v>
      </c>
      <c r="E38" s="291">
        <v>67659.908173999997</v>
      </c>
      <c r="F38" s="291">
        <v>67659.908173999997</v>
      </c>
      <c r="G38" s="265">
        <f t="shared" si="6"/>
        <v>105.71860652187499</v>
      </c>
      <c r="H38" s="265">
        <f t="shared" si="6"/>
        <v>105.71860652187499</v>
      </c>
    </row>
    <row r="39" spans="1:8" s="279" customFormat="1">
      <c r="A39" s="289" t="s">
        <v>12</v>
      </c>
      <c r="B39" s="290" t="s">
        <v>54</v>
      </c>
      <c r="C39" s="292">
        <v>108000</v>
      </c>
      <c r="D39" s="292"/>
      <c r="E39" s="291">
        <v>114223.34158199999</v>
      </c>
      <c r="F39" s="291"/>
      <c r="G39" s="265">
        <f t="shared" si="6"/>
        <v>105.76235331666666</v>
      </c>
      <c r="H39" s="265">
        <f t="shared" si="6"/>
        <v>0</v>
      </c>
    </row>
    <row r="40" spans="1:8" s="279" customFormat="1">
      <c r="A40" s="262">
        <v>7</v>
      </c>
      <c r="B40" s="263" t="s">
        <v>55</v>
      </c>
      <c r="C40" s="286">
        <v>65000</v>
      </c>
      <c r="D40" s="286">
        <f>C40</f>
        <v>65000</v>
      </c>
      <c r="E40" s="286">
        <v>74409.532000000007</v>
      </c>
      <c r="F40" s="286">
        <v>74409.532000000007</v>
      </c>
      <c r="G40" s="265">
        <f t="shared" si="6"/>
        <v>114.47620307692307</v>
      </c>
      <c r="H40" s="265">
        <f t="shared" si="6"/>
        <v>114.47620307692307</v>
      </c>
    </row>
    <row r="41" spans="1:8" s="279" customFormat="1">
      <c r="A41" s="262">
        <v>8</v>
      </c>
      <c r="B41" s="263" t="s">
        <v>56</v>
      </c>
      <c r="C41" s="293">
        <f>SUM(C42:C43)</f>
        <v>52000</v>
      </c>
      <c r="D41" s="293">
        <f>SUM(D42:D43)</f>
        <v>48000</v>
      </c>
      <c r="E41" s="293">
        <v>45770.586965000002</v>
      </c>
      <c r="F41" s="293">
        <f>E41-8266.268959</f>
        <v>37504.318006000001</v>
      </c>
      <c r="G41" s="265">
        <f t="shared" si="6"/>
        <v>88.020359548076925</v>
      </c>
      <c r="H41" s="265">
        <f t="shared" si="6"/>
        <v>78.13399584583334</v>
      </c>
    </row>
    <row r="42" spans="1:8" s="279" customFormat="1" ht="31.2">
      <c r="A42" s="289" t="s">
        <v>12</v>
      </c>
      <c r="B42" s="290" t="s">
        <v>2271</v>
      </c>
      <c r="C42" s="294">
        <v>4000</v>
      </c>
      <c r="D42" s="294"/>
      <c r="E42" s="294">
        <v>11102.856255999999</v>
      </c>
      <c r="F42" s="294"/>
      <c r="G42" s="265">
        <f t="shared" si="6"/>
        <v>277.5714064</v>
      </c>
      <c r="H42" s="265">
        <f t="shared" si="6"/>
        <v>0</v>
      </c>
    </row>
    <row r="43" spans="1:8" s="279" customFormat="1" ht="31.2">
      <c r="A43" s="289" t="s">
        <v>12</v>
      </c>
      <c r="B43" s="290" t="s">
        <v>2272</v>
      </c>
      <c r="C43" s="294">
        <v>48000</v>
      </c>
      <c r="D43" s="294">
        <f>C43</f>
        <v>48000</v>
      </c>
      <c r="E43" s="294">
        <f>E41-E42</f>
        <v>34667.730709000003</v>
      </c>
      <c r="F43" s="294">
        <f>F41-F42</f>
        <v>37504.318006000001</v>
      </c>
      <c r="G43" s="265">
        <f t="shared" si="6"/>
        <v>72.224438977083338</v>
      </c>
      <c r="H43" s="265">
        <f t="shared" si="6"/>
        <v>78.13399584583334</v>
      </c>
    </row>
    <row r="44" spans="1:8" s="279" customFormat="1">
      <c r="A44" s="262">
        <v>9</v>
      </c>
      <c r="B44" s="263" t="s">
        <v>57</v>
      </c>
      <c r="C44" s="286">
        <v>500</v>
      </c>
      <c r="D44" s="286">
        <f>C44</f>
        <v>500</v>
      </c>
      <c r="E44" s="286">
        <v>358.97890899999999</v>
      </c>
      <c r="F44" s="286">
        <v>358.97890899999999</v>
      </c>
      <c r="G44" s="265">
        <f t="shared" si="6"/>
        <v>71.7957818</v>
      </c>
      <c r="H44" s="265">
        <f t="shared" si="6"/>
        <v>71.7957818</v>
      </c>
    </row>
    <row r="45" spans="1:8" s="279" customFormat="1">
      <c r="A45" s="262">
        <v>10</v>
      </c>
      <c r="B45" s="263" t="s">
        <v>58</v>
      </c>
      <c r="C45" s="286">
        <v>3000</v>
      </c>
      <c r="D45" s="286">
        <f t="shared" ref="D45:D49" si="10">C45</f>
        <v>3000</v>
      </c>
      <c r="E45" s="286">
        <v>3660.0989020000002</v>
      </c>
      <c r="F45" s="286">
        <v>3660.0989020000002</v>
      </c>
      <c r="G45" s="265">
        <f t="shared" si="6"/>
        <v>122.00329673333334</v>
      </c>
      <c r="H45" s="265">
        <f t="shared" si="6"/>
        <v>122.00329673333334</v>
      </c>
    </row>
    <row r="46" spans="1:8" s="279" customFormat="1">
      <c r="A46" s="262">
        <v>11</v>
      </c>
      <c r="B46" s="263" t="s">
        <v>59</v>
      </c>
      <c r="C46" s="286">
        <v>9000</v>
      </c>
      <c r="D46" s="286">
        <f t="shared" si="10"/>
        <v>9000</v>
      </c>
      <c r="E46" s="286">
        <v>26610.033073999999</v>
      </c>
      <c r="F46" s="286">
        <v>26610.033073999999</v>
      </c>
      <c r="G46" s="265">
        <f t="shared" si="6"/>
        <v>295.66703415555554</v>
      </c>
      <c r="H46" s="265">
        <f t="shared" si="6"/>
        <v>295.66703415555554</v>
      </c>
    </row>
    <row r="47" spans="1:8" s="279" customFormat="1">
      <c r="A47" s="262">
        <v>12</v>
      </c>
      <c r="B47" s="263" t="s">
        <v>60</v>
      </c>
      <c r="C47" s="286">
        <v>180000</v>
      </c>
      <c r="D47" s="286">
        <f t="shared" si="10"/>
        <v>180000</v>
      </c>
      <c r="E47" s="286">
        <v>449669.57589500002</v>
      </c>
      <c r="F47" s="286">
        <v>449669.57589500002</v>
      </c>
      <c r="G47" s="265">
        <f t="shared" si="6"/>
        <v>249.81643105277777</v>
      </c>
      <c r="H47" s="265">
        <f t="shared" si="6"/>
        <v>249.81643105277777</v>
      </c>
    </row>
    <row r="48" spans="1:8" s="279" customFormat="1" ht="31.2">
      <c r="A48" s="262">
        <v>13</v>
      </c>
      <c r="B48" s="263" t="s">
        <v>61</v>
      </c>
      <c r="C48" s="286">
        <v>200</v>
      </c>
      <c r="D48" s="286">
        <f t="shared" si="10"/>
        <v>200</v>
      </c>
      <c r="E48" s="286"/>
      <c r="F48" s="286"/>
      <c r="G48" s="265">
        <f t="shared" si="6"/>
        <v>0</v>
      </c>
      <c r="H48" s="265">
        <f t="shared" si="6"/>
        <v>0</v>
      </c>
    </row>
    <row r="49" spans="1:10" ht="31.2">
      <c r="A49" s="262">
        <v>14</v>
      </c>
      <c r="B49" s="263" t="s">
        <v>247</v>
      </c>
      <c r="C49" s="286">
        <v>66000</v>
      </c>
      <c r="D49" s="286">
        <f t="shared" si="10"/>
        <v>66000</v>
      </c>
      <c r="E49" s="286">
        <v>80064.686776999995</v>
      </c>
      <c r="F49" s="286">
        <v>80064.686776999995</v>
      </c>
      <c r="G49" s="265">
        <f t="shared" si="6"/>
        <v>121.31013148030303</v>
      </c>
      <c r="H49" s="265">
        <f t="shared" si="6"/>
        <v>121.31013148030303</v>
      </c>
    </row>
    <row r="50" spans="1:10">
      <c r="A50" s="262">
        <v>15</v>
      </c>
      <c r="B50" s="263" t="s">
        <v>62</v>
      </c>
      <c r="C50" s="286">
        <v>8000</v>
      </c>
      <c r="D50" s="286">
        <f>C50</f>
        <v>8000</v>
      </c>
      <c r="E50" s="286">
        <v>80484.641852000001</v>
      </c>
      <c r="F50" s="286">
        <f>80484.641852-47283.255891</f>
        <v>33201.385961</v>
      </c>
      <c r="G50" s="265">
        <f t="shared" si="6"/>
        <v>1006.0580231499999</v>
      </c>
      <c r="H50" s="265">
        <f t="shared" si="6"/>
        <v>415.01732451250001</v>
      </c>
    </row>
    <row r="51" spans="1:10">
      <c r="A51" s="262">
        <v>16</v>
      </c>
      <c r="B51" s="263" t="s">
        <v>249</v>
      </c>
      <c r="C51" s="286"/>
      <c r="D51" s="286"/>
      <c r="E51" s="286"/>
      <c r="F51" s="286"/>
      <c r="G51" s="265"/>
      <c r="H51" s="265"/>
    </row>
    <row r="52" spans="1:10">
      <c r="A52" s="262">
        <v>17</v>
      </c>
      <c r="B52" s="263" t="s">
        <v>63</v>
      </c>
      <c r="C52" s="286">
        <v>50000</v>
      </c>
      <c r="D52" s="286">
        <f>C52-C53</f>
        <v>27000</v>
      </c>
      <c r="E52" s="286">
        <v>77612.276360999997</v>
      </c>
      <c r="F52" s="286">
        <f>E52-E53</f>
        <v>50902.276360999997</v>
      </c>
      <c r="G52" s="265">
        <f t="shared" si="6"/>
        <v>155.224552722</v>
      </c>
      <c r="H52" s="265">
        <f t="shared" si="6"/>
        <v>188.52694948518518</v>
      </c>
    </row>
    <row r="53" spans="1:10" s="616" customFormat="1">
      <c r="A53" s="289"/>
      <c r="B53" s="290" t="s">
        <v>2273</v>
      </c>
      <c r="C53" s="291">
        <v>23000</v>
      </c>
      <c r="D53" s="291"/>
      <c r="E53" s="291">
        <v>26710</v>
      </c>
      <c r="F53" s="291"/>
      <c r="G53" s="615">
        <f t="shared" si="6"/>
        <v>116.13043478260869</v>
      </c>
      <c r="H53" s="615"/>
      <c r="J53" s="617"/>
    </row>
    <row r="54" spans="1:10">
      <c r="A54" s="262">
        <v>18</v>
      </c>
      <c r="B54" s="263" t="s">
        <v>64</v>
      </c>
      <c r="C54" s="286">
        <v>3100</v>
      </c>
      <c r="D54" s="286">
        <f>C54</f>
        <v>3100</v>
      </c>
      <c r="E54" s="286">
        <v>1928.4110000000001</v>
      </c>
      <c r="F54" s="286">
        <v>1928.4110000000001</v>
      </c>
      <c r="G54" s="265">
        <f t="shared" si="6"/>
        <v>62.206806451612906</v>
      </c>
      <c r="H54" s="265">
        <f t="shared" si="6"/>
        <v>62.206806451612906</v>
      </c>
    </row>
    <row r="55" spans="1:10" ht="31.2">
      <c r="A55" s="262">
        <v>19</v>
      </c>
      <c r="B55" s="263" t="s">
        <v>2274</v>
      </c>
      <c r="C55" s="286">
        <v>700</v>
      </c>
      <c r="D55" s="286">
        <f>C55</f>
        <v>700</v>
      </c>
      <c r="E55" s="286">
        <v>1209.3620000000001</v>
      </c>
      <c r="F55" s="286">
        <v>1209.3620000000001</v>
      </c>
      <c r="G55" s="265">
        <f t="shared" si="6"/>
        <v>172.76600000000002</v>
      </c>
      <c r="H55" s="265">
        <f t="shared" si="6"/>
        <v>172.76600000000002</v>
      </c>
    </row>
    <row r="56" spans="1:10" s="301" customFormat="1">
      <c r="A56" s="267" t="s">
        <v>29</v>
      </c>
      <c r="B56" s="268" t="s">
        <v>65</v>
      </c>
      <c r="C56" s="285"/>
      <c r="D56" s="285"/>
      <c r="E56" s="285"/>
      <c r="F56" s="285"/>
      <c r="G56" s="260">
        <f t="shared" si="6"/>
        <v>0</v>
      </c>
      <c r="H56" s="260">
        <f t="shared" si="6"/>
        <v>0</v>
      </c>
      <c r="J56" s="302"/>
    </row>
    <row r="57" spans="1:10" s="301" customFormat="1">
      <c r="A57" s="267" t="s">
        <v>33</v>
      </c>
      <c r="B57" s="268" t="s">
        <v>66</v>
      </c>
      <c r="C57" s="285">
        <f>SUM(C58:C61)</f>
        <v>252000</v>
      </c>
      <c r="D57" s="285">
        <f t="shared" ref="D57" si="11">SUM(D58:D61)</f>
        <v>0</v>
      </c>
      <c r="E57" s="285">
        <f>SUM(E58:E61)</f>
        <v>280900.42549200007</v>
      </c>
      <c r="F57" s="285">
        <f>SUM(F58:F61)</f>
        <v>0</v>
      </c>
      <c r="G57" s="260">
        <f t="shared" si="6"/>
        <v>111.46842281428574</v>
      </c>
      <c r="H57" s="260">
        <f t="shared" si="6"/>
        <v>0</v>
      </c>
      <c r="J57" s="302"/>
    </row>
    <row r="58" spans="1:10">
      <c r="A58" s="262">
        <v>1</v>
      </c>
      <c r="B58" s="263" t="s">
        <v>67</v>
      </c>
      <c r="C58" s="286">
        <v>4000</v>
      </c>
      <c r="D58" s="286"/>
      <c r="E58" s="286">
        <v>2273.7626329999998</v>
      </c>
      <c r="F58" s="286"/>
      <c r="G58" s="265">
        <f t="shared" si="6"/>
        <v>56.844065825000001</v>
      </c>
      <c r="H58" s="265">
        <f t="shared" si="6"/>
        <v>0</v>
      </c>
    </row>
    <row r="59" spans="1:10">
      <c r="A59" s="262">
        <v>2</v>
      </c>
      <c r="B59" s="263" t="s">
        <v>68</v>
      </c>
      <c r="C59" s="286">
        <v>101000</v>
      </c>
      <c r="D59" s="286"/>
      <c r="E59" s="286">
        <v>5829.5162039999996</v>
      </c>
      <c r="F59" s="286"/>
      <c r="G59" s="265">
        <f t="shared" si="6"/>
        <v>5.7717982217821779</v>
      </c>
      <c r="H59" s="265">
        <f t="shared" si="6"/>
        <v>0</v>
      </c>
    </row>
    <row r="60" spans="1:10">
      <c r="A60" s="262">
        <v>5</v>
      </c>
      <c r="B60" s="263" t="s">
        <v>69</v>
      </c>
      <c r="C60" s="286">
        <v>147000</v>
      </c>
      <c r="D60" s="286"/>
      <c r="E60" s="286">
        <v>272471.78061900003</v>
      </c>
      <c r="F60" s="286"/>
      <c r="G60" s="265">
        <f t="shared" si="6"/>
        <v>185.35495280204083</v>
      </c>
      <c r="H60" s="265">
        <f t="shared" si="6"/>
        <v>0</v>
      </c>
    </row>
    <row r="61" spans="1:10">
      <c r="A61" s="262">
        <v>6</v>
      </c>
      <c r="B61" s="263" t="s">
        <v>70</v>
      </c>
      <c r="C61" s="286"/>
      <c r="D61" s="286"/>
      <c r="E61" s="286">
        <v>325.36603600000001</v>
      </c>
      <c r="F61" s="286"/>
      <c r="G61" s="265">
        <f t="shared" si="6"/>
        <v>0</v>
      </c>
      <c r="H61" s="265">
        <f t="shared" si="6"/>
        <v>0</v>
      </c>
    </row>
    <row r="62" spans="1:10" s="301" customFormat="1">
      <c r="A62" s="267" t="s">
        <v>71</v>
      </c>
      <c r="B62" s="268" t="s">
        <v>248</v>
      </c>
      <c r="C62" s="285">
        <v>20000</v>
      </c>
      <c r="D62" s="285">
        <v>20000</v>
      </c>
      <c r="E62" s="285">
        <v>2999.4404530000002</v>
      </c>
      <c r="F62" s="285">
        <v>2999.4404530000002</v>
      </c>
      <c r="G62" s="260">
        <f t="shared" si="6"/>
        <v>14.997202265</v>
      </c>
      <c r="H62" s="260">
        <f t="shared" si="6"/>
        <v>14.997202265</v>
      </c>
      <c r="J62" s="302"/>
    </row>
    <row r="63" spans="1:10" s="301" customFormat="1">
      <c r="A63" s="267" t="s">
        <v>8</v>
      </c>
      <c r="B63" s="268" t="s">
        <v>72</v>
      </c>
      <c r="C63" s="285"/>
      <c r="D63" s="285"/>
      <c r="E63" s="285"/>
      <c r="F63" s="285"/>
      <c r="G63" s="260">
        <f t="shared" si="6"/>
        <v>0</v>
      </c>
      <c r="H63" s="260">
        <f t="shared" si="6"/>
        <v>0</v>
      </c>
      <c r="J63" s="302"/>
    </row>
    <row r="64" spans="1:10" s="301" customFormat="1">
      <c r="A64" s="267" t="s">
        <v>35</v>
      </c>
      <c r="B64" s="268" t="s">
        <v>73</v>
      </c>
      <c r="C64" s="285"/>
      <c r="D64" s="285"/>
      <c r="E64" s="285"/>
      <c r="F64" s="285">
        <v>108648.940846</v>
      </c>
      <c r="G64" s="260">
        <f t="shared" si="6"/>
        <v>0</v>
      </c>
      <c r="H64" s="260">
        <f t="shared" si="6"/>
        <v>0</v>
      </c>
      <c r="J64" s="302"/>
    </row>
    <row r="65" spans="1:10" s="301" customFormat="1" ht="31.2">
      <c r="A65" s="267" t="s">
        <v>36</v>
      </c>
      <c r="B65" s="268" t="s">
        <v>74</v>
      </c>
      <c r="C65" s="285"/>
      <c r="D65" s="285"/>
      <c r="E65" s="285"/>
      <c r="F65" s="285">
        <v>1185342.1747399999</v>
      </c>
      <c r="G65" s="260">
        <f t="shared" si="6"/>
        <v>0</v>
      </c>
      <c r="H65" s="260">
        <f>IF((D65&gt;0),F65/D65*100,0)</f>
        <v>0</v>
      </c>
      <c r="J65" s="302"/>
    </row>
    <row r="66" spans="1:10">
      <c r="A66" s="267" t="s">
        <v>37</v>
      </c>
      <c r="B66" s="268" t="s">
        <v>250</v>
      </c>
      <c r="C66" s="618"/>
      <c r="D66" s="618"/>
      <c r="E66" s="618"/>
      <c r="F66" s="619">
        <v>76662.459126000002</v>
      </c>
      <c r="G66" s="620"/>
      <c r="H66" s="620"/>
    </row>
    <row r="67" spans="1:10">
      <c r="A67" s="271" t="s">
        <v>2093</v>
      </c>
      <c r="B67" s="272" t="s">
        <v>2275</v>
      </c>
      <c r="C67" s="296"/>
      <c r="D67" s="296"/>
      <c r="E67" s="297"/>
      <c r="F67" s="297">
        <v>3454.547</v>
      </c>
      <c r="G67" s="298"/>
      <c r="H67" s="298"/>
    </row>
    <row r="68" spans="1:10">
      <c r="C68" s="280"/>
      <c r="D68" s="280"/>
      <c r="E68" s="280"/>
      <c r="F68" s="280"/>
    </row>
  </sheetData>
  <mergeCells count="7">
    <mergeCell ref="A3:H3"/>
    <mergeCell ref="A4:H4"/>
    <mergeCell ref="A6:A7"/>
    <mergeCell ref="B6:B7"/>
    <mergeCell ref="C6:D6"/>
    <mergeCell ref="E6:F6"/>
    <mergeCell ref="G6:H6"/>
  </mergeCells>
  <printOptions horizontalCentered="1"/>
  <pageMargins left="0" right="0" top="0.75" bottom="0.5" header="0.3" footer="0.3"/>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3"/>
  <sheetViews>
    <sheetView workbookViewId="0">
      <pane xSplit="2" ySplit="9" topLeftCell="C10" activePane="bottomRight" state="frozen"/>
      <selection pane="topRight" activeCell="C1" sqref="C1"/>
      <selection pane="bottomLeft" activeCell="A10" sqref="A10"/>
      <selection pane="bottomRight" activeCell="C14" sqref="C14"/>
    </sheetView>
  </sheetViews>
  <sheetFormatPr defaultRowHeight="14.4"/>
  <cols>
    <col min="1" max="1" width="5.44140625" customWidth="1"/>
    <col min="2" max="2" width="22" customWidth="1"/>
    <col min="3" max="3" width="10.5546875" customWidth="1"/>
    <col min="4" max="5" width="9.109375" style="7"/>
    <col min="6" max="6" width="10.33203125" style="7" customWidth="1"/>
    <col min="7" max="7" width="11.44140625" style="7" customWidth="1"/>
    <col min="8" max="8" width="11" style="7" customWidth="1"/>
    <col min="9" max="9" width="9.5546875" style="7" customWidth="1"/>
    <col min="10" max="12" width="9.109375" style="7"/>
    <col min="13" max="13" width="11.6640625" customWidth="1"/>
    <col min="14" max="14" width="13.109375" customWidth="1"/>
    <col min="15" max="15" width="12.5546875" customWidth="1"/>
    <col min="16" max="16" width="10.33203125" customWidth="1"/>
    <col min="17" max="17" width="12.6640625" customWidth="1"/>
    <col min="18" max="18" width="11.88671875" customWidth="1"/>
    <col min="19" max="19" width="11" customWidth="1"/>
    <col min="23" max="23" width="11.33203125" customWidth="1"/>
    <col min="24" max="24" width="13.109375" bestFit="1" customWidth="1"/>
    <col min="25" max="25" width="11.88671875" bestFit="1" customWidth="1"/>
    <col min="26" max="27" width="13.109375" bestFit="1" customWidth="1"/>
  </cols>
  <sheetData>
    <row r="1" spans="1:27" ht="15.6">
      <c r="AA1" s="8" t="s">
        <v>203</v>
      </c>
    </row>
    <row r="2" spans="1:27" ht="15.6">
      <c r="A2" s="802" t="s">
        <v>204</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row>
    <row r="3" spans="1:27" ht="15.6">
      <c r="A3" s="802" t="s">
        <v>205</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row>
    <row r="4" spans="1:27" ht="15.6">
      <c r="AA4" s="9" t="s">
        <v>1</v>
      </c>
    </row>
    <row r="5" spans="1:27" ht="15.75" customHeight="1">
      <c r="A5" s="901" t="s">
        <v>2</v>
      </c>
      <c r="B5" s="901" t="s">
        <v>206</v>
      </c>
      <c r="C5" s="902" t="s">
        <v>207</v>
      </c>
      <c r="D5" s="903"/>
      <c r="E5" s="903"/>
      <c r="F5" s="903"/>
      <c r="G5" s="903"/>
      <c r="H5" s="903"/>
      <c r="I5" s="903"/>
      <c r="J5" s="903"/>
      <c r="K5" s="903"/>
      <c r="L5" s="903"/>
      <c r="M5" s="901" t="s">
        <v>146</v>
      </c>
      <c r="N5" s="901"/>
      <c r="O5" s="901"/>
      <c r="P5" s="901"/>
      <c r="Q5" s="901"/>
      <c r="R5" s="901"/>
      <c r="S5" s="901"/>
      <c r="T5" s="901"/>
      <c r="U5" s="901"/>
      <c r="V5" s="901"/>
      <c r="W5" s="901"/>
      <c r="X5" s="901" t="s">
        <v>147</v>
      </c>
      <c r="Y5" s="901"/>
      <c r="Z5" s="901"/>
      <c r="AA5" s="901"/>
    </row>
    <row r="6" spans="1:27" ht="15.75" customHeight="1">
      <c r="A6" s="901"/>
      <c r="B6" s="901"/>
      <c r="C6" s="901" t="s">
        <v>148</v>
      </c>
      <c r="D6" s="904" t="s">
        <v>24</v>
      </c>
      <c r="E6" s="904"/>
      <c r="F6" s="904"/>
      <c r="G6" s="904" t="s">
        <v>25</v>
      </c>
      <c r="H6" s="904"/>
      <c r="I6" s="904"/>
      <c r="J6" s="904" t="s">
        <v>208</v>
      </c>
      <c r="K6" s="904"/>
      <c r="L6" s="904"/>
      <c r="M6" s="901" t="s">
        <v>148</v>
      </c>
      <c r="N6" s="901" t="s">
        <v>24</v>
      </c>
      <c r="O6" s="901"/>
      <c r="P6" s="901"/>
      <c r="Q6" s="901" t="s">
        <v>25</v>
      </c>
      <c r="R6" s="901"/>
      <c r="S6" s="901"/>
      <c r="T6" s="901" t="s">
        <v>208</v>
      </c>
      <c r="U6" s="901"/>
      <c r="V6" s="901"/>
      <c r="W6" s="901" t="s">
        <v>34</v>
      </c>
      <c r="X6" s="901" t="s">
        <v>148</v>
      </c>
      <c r="Y6" s="901" t="s">
        <v>24</v>
      </c>
      <c r="Z6" s="904" t="s">
        <v>25</v>
      </c>
      <c r="AA6" s="904" t="s">
        <v>208</v>
      </c>
    </row>
    <row r="7" spans="1:27" ht="15.6">
      <c r="A7" s="901"/>
      <c r="B7" s="901"/>
      <c r="C7" s="901"/>
      <c r="D7" s="904" t="s">
        <v>148</v>
      </c>
      <c r="E7" s="904" t="s">
        <v>162</v>
      </c>
      <c r="F7" s="904"/>
      <c r="G7" s="904" t="s">
        <v>148</v>
      </c>
      <c r="H7" s="904" t="s">
        <v>162</v>
      </c>
      <c r="I7" s="904"/>
      <c r="J7" s="904" t="s">
        <v>148</v>
      </c>
      <c r="K7" s="904" t="s">
        <v>162</v>
      </c>
      <c r="L7" s="904"/>
      <c r="M7" s="901"/>
      <c r="N7" s="901" t="s">
        <v>148</v>
      </c>
      <c r="O7" s="901" t="s">
        <v>162</v>
      </c>
      <c r="P7" s="901"/>
      <c r="Q7" s="901" t="s">
        <v>148</v>
      </c>
      <c r="R7" s="901" t="s">
        <v>162</v>
      </c>
      <c r="S7" s="901"/>
      <c r="T7" s="901" t="s">
        <v>148</v>
      </c>
      <c r="U7" s="901" t="s">
        <v>162</v>
      </c>
      <c r="V7" s="901"/>
      <c r="W7" s="901"/>
      <c r="X7" s="901"/>
      <c r="Y7" s="901"/>
      <c r="Z7" s="904"/>
      <c r="AA7" s="904"/>
    </row>
    <row r="8" spans="1:27" ht="62.4">
      <c r="A8" s="901"/>
      <c r="B8" s="901"/>
      <c r="C8" s="901"/>
      <c r="D8" s="904"/>
      <c r="E8" s="10" t="s">
        <v>209</v>
      </c>
      <c r="F8" s="10" t="s">
        <v>89</v>
      </c>
      <c r="G8" s="904"/>
      <c r="H8" s="10" t="s">
        <v>209</v>
      </c>
      <c r="I8" s="10" t="s">
        <v>210</v>
      </c>
      <c r="J8" s="904"/>
      <c r="K8" s="10" t="s">
        <v>24</v>
      </c>
      <c r="L8" s="10" t="s">
        <v>25</v>
      </c>
      <c r="M8" s="901"/>
      <c r="N8" s="901"/>
      <c r="O8" s="5" t="s">
        <v>209</v>
      </c>
      <c r="P8" s="5" t="s">
        <v>89</v>
      </c>
      <c r="Q8" s="901"/>
      <c r="R8" s="5" t="s">
        <v>209</v>
      </c>
      <c r="S8" s="5" t="s">
        <v>210</v>
      </c>
      <c r="T8" s="901"/>
      <c r="U8" s="5" t="s">
        <v>24</v>
      </c>
      <c r="V8" s="5" t="s">
        <v>25</v>
      </c>
      <c r="W8" s="901"/>
      <c r="X8" s="901"/>
      <c r="Y8" s="901"/>
      <c r="Z8" s="904"/>
      <c r="AA8" s="904"/>
    </row>
    <row r="9" spans="1:27" s="13" customFormat="1" ht="13.8">
      <c r="A9" s="11" t="s">
        <v>7</v>
      </c>
      <c r="B9" s="11" t="s">
        <v>8</v>
      </c>
      <c r="C9" s="12" t="s">
        <v>211</v>
      </c>
      <c r="D9" s="12" t="s">
        <v>212</v>
      </c>
      <c r="E9" s="12" t="s">
        <v>213</v>
      </c>
      <c r="F9" s="12" t="s">
        <v>214</v>
      </c>
      <c r="G9" s="12" t="s">
        <v>215</v>
      </c>
      <c r="H9" s="12" t="s">
        <v>216</v>
      </c>
      <c r="I9" s="12" t="s">
        <v>217</v>
      </c>
      <c r="J9" s="12" t="s">
        <v>218</v>
      </c>
      <c r="K9" s="12" t="s">
        <v>219</v>
      </c>
      <c r="L9" s="12" t="s">
        <v>220</v>
      </c>
      <c r="M9" s="12" t="s">
        <v>221</v>
      </c>
      <c r="N9" s="12" t="s">
        <v>222</v>
      </c>
      <c r="O9" s="12" t="s">
        <v>223</v>
      </c>
      <c r="P9" s="12" t="s">
        <v>224</v>
      </c>
      <c r="Q9" s="12" t="s">
        <v>225</v>
      </c>
      <c r="R9" s="12" t="s">
        <v>226</v>
      </c>
      <c r="S9" s="12" t="s">
        <v>227</v>
      </c>
      <c r="T9" s="12" t="s">
        <v>228</v>
      </c>
      <c r="U9" s="12" t="s">
        <v>229</v>
      </c>
      <c r="V9" s="12" t="s">
        <v>230</v>
      </c>
      <c r="W9" s="12" t="s">
        <v>231</v>
      </c>
      <c r="X9" s="11" t="s">
        <v>232</v>
      </c>
      <c r="Y9" s="11" t="s">
        <v>233</v>
      </c>
      <c r="Z9" s="11" t="s">
        <v>234</v>
      </c>
      <c r="AA9" s="11" t="s">
        <v>235</v>
      </c>
    </row>
    <row r="10" spans="1:27" s="6" customFormat="1" ht="15.6">
      <c r="A10" s="14"/>
      <c r="B10" s="14" t="s">
        <v>126</v>
      </c>
      <c r="C10" s="15">
        <f>SUM(C11:C20)</f>
        <v>2976292.3600000003</v>
      </c>
      <c r="D10" s="15">
        <f t="shared" ref="D10:W10" si="0">SUM(D11:D20)</f>
        <v>312417</v>
      </c>
      <c r="E10" s="15">
        <f t="shared" si="0"/>
        <v>58707</v>
      </c>
      <c r="F10" s="15">
        <f t="shared" si="0"/>
        <v>0</v>
      </c>
      <c r="G10" s="15">
        <f t="shared" si="0"/>
        <v>2404749</v>
      </c>
      <c r="H10" s="15">
        <f t="shared" si="0"/>
        <v>1372973</v>
      </c>
      <c r="I10" s="15">
        <f t="shared" si="0"/>
        <v>0</v>
      </c>
      <c r="J10" s="15">
        <f t="shared" si="0"/>
        <v>259126.36</v>
      </c>
      <c r="K10" s="15">
        <f t="shared" si="0"/>
        <v>184361</v>
      </c>
      <c r="L10" s="15">
        <f t="shared" si="0"/>
        <v>74765.359999999986</v>
      </c>
      <c r="M10" s="15">
        <f t="shared" si="0"/>
        <v>3180583.2493769997</v>
      </c>
      <c r="N10" s="15">
        <f t="shared" si="0"/>
        <v>353249.52914200007</v>
      </c>
      <c r="O10" s="15">
        <f t="shared" si="0"/>
        <v>122411.406569</v>
      </c>
      <c r="P10" s="15">
        <f t="shared" si="0"/>
        <v>2005.6787999999999</v>
      </c>
      <c r="Q10" s="15">
        <f t="shared" si="0"/>
        <v>2568223.6934150001</v>
      </c>
      <c r="R10" s="15">
        <f t="shared" si="0"/>
        <v>1423799.620112</v>
      </c>
      <c r="S10" s="15">
        <f t="shared" si="0"/>
        <v>2224.4102499999999</v>
      </c>
      <c r="T10" s="15">
        <f t="shared" si="0"/>
        <v>259110.02682</v>
      </c>
      <c r="U10" s="15">
        <f t="shared" si="0"/>
        <v>189069.90599999999</v>
      </c>
      <c r="V10" s="15">
        <f t="shared" si="0"/>
        <v>70040.120820000011</v>
      </c>
      <c r="W10" s="15">
        <f t="shared" si="0"/>
        <v>283522.50938799995</v>
      </c>
      <c r="X10" s="16">
        <f>M10/C10</f>
        <v>1.0686393891012103</v>
      </c>
      <c r="Y10" s="16">
        <f>N10/D10</f>
        <v>1.1306988068575017</v>
      </c>
      <c r="Z10" s="16">
        <f>Q10/G10</f>
        <v>1.0679799402827488</v>
      </c>
      <c r="AA10" s="16">
        <f>T10/J10</f>
        <v>0.99993696828064893</v>
      </c>
    </row>
    <row r="11" spans="1:27" ht="15.6">
      <c r="A11" s="17">
        <v>1</v>
      </c>
      <c r="B11" s="18" t="s">
        <v>188</v>
      </c>
      <c r="C11" s="19">
        <f>D11+G11+J11</f>
        <v>578515.9</v>
      </c>
      <c r="D11" s="20">
        <f>39840+33889</f>
        <v>73729</v>
      </c>
      <c r="E11" s="20">
        <f>3400+3130</f>
        <v>6530</v>
      </c>
      <c r="F11" s="20"/>
      <c r="G11" s="20">
        <f>479681+1839+10600</f>
        <v>492120</v>
      </c>
      <c r="H11" s="20">
        <f>272384</f>
        <v>272384</v>
      </c>
      <c r="I11" s="20"/>
      <c r="J11" s="20">
        <f>K11+L11</f>
        <v>12666.9</v>
      </c>
      <c r="K11" s="20">
        <v>9560</v>
      </c>
      <c r="L11" s="20">
        <v>3106.9</v>
      </c>
      <c r="M11" s="19">
        <f>N11+Q11+T11</f>
        <v>561362.89257499995</v>
      </c>
      <c r="N11" s="19">
        <f>50332.364103-U11</f>
        <v>41741.464102999998</v>
      </c>
      <c r="O11" s="19">
        <v>8750.6515739999995</v>
      </c>
      <c r="P11" s="19">
        <v>0</v>
      </c>
      <c r="Q11" s="19">
        <f>511030.528472-V11</f>
        <v>508717.928472</v>
      </c>
      <c r="R11" s="19">
        <v>278995.03836000001</v>
      </c>
      <c r="S11" s="19">
        <v>179.97970000000001</v>
      </c>
      <c r="T11" s="19">
        <f>U11+V11</f>
        <v>10903.500000000002</v>
      </c>
      <c r="U11" s="19">
        <v>8590.9000000000015</v>
      </c>
      <c r="V11" s="19">
        <v>2312.6000000000004</v>
      </c>
      <c r="W11" s="19">
        <v>19747.862512</v>
      </c>
      <c r="X11" s="21">
        <f>M11/C11</f>
        <v>0.97034998100311487</v>
      </c>
      <c r="Y11" s="21">
        <f>N11/D11</f>
        <v>0.56614716194441805</v>
      </c>
      <c r="Z11" s="21">
        <f>Q11/G11</f>
        <v>1.0337274007802975</v>
      </c>
      <c r="AA11" s="21">
        <f>T11/J11</f>
        <v>0.86078677498046108</v>
      </c>
    </row>
    <row r="12" spans="1:27" ht="15.6">
      <c r="A12" s="17">
        <v>2</v>
      </c>
      <c r="B12" s="18" t="s">
        <v>187</v>
      </c>
      <c r="C12" s="19">
        <f t="shared" ref="C12:C20" si="1">D12+G12+J12</f>
        <v>321992.23</v>
      </c>
      <c r="D12" s="20">
        <f>9110+13699</f>
        <v>22809</v>
      </c>
      <c r="E12" s="20">
        <f>2660+3080</f>
        <v>5740</v>
      </c>
      <c r="F12" s="20"/>
      <c r="G12" s="20">
        <f>271221+4008+5710</f>
        <v>280939</v>
      </c>
      <c r="H12" s="20">
        <f>176729+1349</f>
        <v>178078</v>
      </c>
      <c r="I12" s="20"/>
      <c r="J12" s="20">
        <f t="shared" ref="J12:J20" si="2">K12+L12</f>
        <v>18244.23</v>
      </c>
      <c r="K12" s="20">
        <v>14517</v>
      </c>
      <c r="L12" s="20">
        <v>3727.23</v>
      </c>
      <c r="M12" s="19">
        <f t="shared" ref="M12:M20" si="3">N12+Q12+T12</f>
        <v>345126.25569799996</v>
      </c>
      <c r="N12" s="19">
        <f>41954.845183-U12</f>
        <v>26335.225182999999</v>
      </c>
      <c r="O12" s="19">
        <v>9853.3885329999994</v>
      </c>
      <c r="P12" s="19">
        <v>1011.696</v>
      </c>
      <c r="Q12" s="19">
        <f>303171.410515-V12</f>
        <v>299439.74051500001</v>
      </c>
      <c r="R12" s="19">
        <v>187365.78606099999</v>
      </c>
      <c r="S12" s="19">
        <v>0</v>
      </c>
      <c r="T12" s="19">
        <f t="shared" ref="T12:T20" si="4">U12+V12</f>
        <v>19351.29</v>
      </c>
      <c r="U12" s="19">
        <v>15619.619999999999</v>
      </c>
      <c r="V12" s="19">
        <v>3731.67</v>
      </c>
      <c r="W12" s="19">
        <v>12482.419194</v>
      </c>
      <c r="X12" s="21">
        <f t="shared" ref="X12:Y20" si="5">M12/C12</f>
        <v>1.0718465339924506</v>
      </c>
      <c r="Y12" s="21">
        <f t="shared" si="5"/>
        <v>1.1545979737384364</v>
      </c>
      <c r="Z12" s="21">
        <f t="shared" ref="Z12:Z20" si="6">Q12/G12</f>
        <v>1.0658532297580614</v>
      </c>
      <c r="AA12" s="21">
        <f t="shared" ref="AA12:AA20" si="7">T12/J12</f>
        <v>1.0606800067747448</v>
      </c>
    </row>
    <row r="13" spans="1:27" ht="15.6">
      <c r="A13" s="17">
        <v>3</v>
      </c>
      <c r="B13" s="18" t="s">
        <v>189</v>
      </c>
      <c r="C13" s="19">
        <f t="shared" si="1"/>
        <v>253402.48</v>
      </c>
      <c r="D13" s="20">
        <f>8000+12999</f>
        <v>20999</v>
      </c>
      <c r="E13" s="20">
        <f>3680+1860</f>
        <v>5540</v>
      </c>
      <c r="F13" s="20"/>
      <c r="G13" s="20">
        <f>211208+3109+4470</f>
        <v>218787</v>
      </c>
      <c r="H13" s="20">
        <f>135083+988</f>
        <v>136071</v>
      </c>
      <c r="I13" s="20"/>
      <c r="J13" s="20">
        <f t="shared" si="2"/>
        <v>13616.48</v>
      </c>
      <c r="K13" s="20">
        <v>9822</v>
      </c>
      <c r="L13" s="20">
        <v>3794.48</v>
      </c>
      <c r="M13" s="19">
        <f t="shared" si="3"/>
        <v>270498.23483700003</v>
      </c>
      <c r="N13" s="19">
        <f>36880.1664-U13</f>
        <v>27010.456400000003</v>
      </c>
      <c r="O13" s="19">
        <v>11890.307000000001</v>
      </c>
      <c r="P13" s="19">
        <v>0</v>
      </c>
      <c r="Q13" s="19">
        <f>233618.068437-V13</f>
        <v>230628.45843700002</v>
      </c>
      <c r="R13" s="19">
        <v>142281.93744400001</v>
      </c>
      <c r="S13" s="19">
        <v>108.38500000000001</v>
      </c>
      <c r="T13" s="19">
        <f t="shared" si="4"/>
        <v>12859.32</v>
      </c>
      <c r="U13" s="19">
        <v>9869.7099999999991</v>
      </c>
      <c r="V13" s="19">
        <v>2989.6099999999997</v>
      </c>
      <c r="W13" s="19">
        <v>35456.55487</v>
      </c>
      <c r="X13" s="21">
        <f t="shared" si="5"/>
        <v>1.0674648284302506</v>
      </c>
      <c r="Y13" s="21">
        <f t="shared" si="5"/>
        <v>1.2862734606409831</v>
      </c>
      <c r="Z13" s="21">
        <f t="shared" si="6"/>
        <v>1.0541232268690555</v>
      </c>
      <c r="AA13" s="21">
        <f t="shared" si="7"/>
        <v>0.94439385215562321</v>
      </c>
    </row>
    <row r="14" spans="1:27" ht="15.6">
      <c r="A14" s="17">
        <v>4</v>
      </c>
      <c r="B14" s="18" t="s">
        <v>190</v>
      </c>
      <c r="C14" s="19">
        <f t="shared" si="1"/>
        <v>289700.71000000002</v>
      </c>
      <c r="D14" s="20">
        <f>14490+22939</f>
        <v>37429</v>
      </c>
      <c r="E14" s="20">
        <f>2530+2950</f>
        <v>5480</v>
      </c>
      <c r="F14" s="20"/>
      <c r="G14" s="20">
        <f>232170+3523+5030</f>
        <v>240723</v>
      </c>
      <c r="H14" s="20">
        <f>133929+665</f>
        <v>134594</v>
      </c>
      <c r="I14" s="20"/>
      <c r="J14" s="20">
        <f t="shared" si="2"/>
        <v>11548.71</v>
      </c>
      <c r="K14" s="20">
        <v>8428</v>
      </c>
      <c r="L14" s="20">
        <v>3120.71</v>
      </c>
      <c r="M14" s="19">
        <f t="shared" si="3"/>
        <v>305740.62539</v>
      </c>
      <c r="N14" s="19">
        <f>56620.14772-U14</f>
        <v>46020.925719999999</v>
      </c>
      <c r="O14" s="19">
        <v>25475.748974999999</v>
      </c>
      <c r="P14" s="19">
        <v>480</v>
      </c>
      <c r="Q14" s="19">
        <f>249120.47767-V14</f>
        <v>246323.55867</v>
      </c>
      <c r="R14" s="19">
        <v>126157.31806400001</v>
      </c>
      <c r="S14" s="19">
        <v>123.239</v>
      </c>
      <c r="T14" s="19">
        <f t="shared" si="4"/>
        <v>13396.141</v>
      </c>
      <c r="U14" s="19">
        <v>10599.222</v>
      </c>
      <c r="V14" s="19">
        <v>2796.9189999999999</v>
      </c>
      <c r="W14" s="19">
        <v>38235.710682999998</v>
      </c>
      <c r="X14" s="21">
        <f t="shared" si="5"/>
        <v>1.0553671939223068</v>
      </c>
      <c r="Y14" s="21">
        <f t="shared" si="5"/>
        <v>1.2295526388629137</v>
      </c>
      <c r="Z14" s="21">
        <f t="shared" si="6"/>
        <v>1.0232655735845764</v>
      </c>
      <c r="AA14" s="21">
        <f t="shared" si="7"/>
        <v>1.1599686025538785</v>
      </c>
    </row>
    <row r="15" spans="1:27" ht="15.6">
      <c r="A15" s="17">
        <v>5</v>
      </c>
      <c r="B15" s="18" t="s">
        <v>184</v>
      </c>
      <c r="C15" s="19">
        <f t="shared" si="1"/>
        <v>333713.05</v>
      </c>
      <c r="D15" s="20">
        <f>8830+18059</f>
        <v>26889</v>
      </c>
      <c r="E15" s="20">
        <f>4000+3100</f>
        <v>7100</v>
      </c>
      <c r="F15" s="20"/>
      <c r="G15" s="20">
        <f>249614+7073+5270</f>
        <v>261957</v>
      </c>
      <c r="H15" s="20">
        <f>147324+1097</f>
        <v>148421</v>
      </c>
      <c r="I15" s="20"/>
      <c r="J15" s="20">
        <f t="shared" si="2"/>
        <v>44867.05</v>
      </c>
      <c r="K15" s="20">
        <v>32597</v>
      </c>
      <c r="L15" s="20">
        <v>12270.05</v>
      </c>
      <c r="M15" s="19">
        <f t="shared" si="3"/>
        <v>354503.88692199998</v>
      </c>
      <c r="N15" s="19">
        <f>63630.553411-U15</f>
        <v>30960.843411000002</v>
      </c>
      <c r="O15" s="19">
        <v>16708.316642999998</v>
      </c>
      <c r="P15" s="19">
        <v>513.9828</v>
      </c>
      <c r="Q15" s="19">
        <f>290873.333511-V15</f>
        <v>278927.233511</v>
      </c>
      <c r="R15" s="19">
        <v>156951.77273699999</v>
      </c>
      <c r="S15" s="19">
        <v>140</v>
      </c>
      <c r="T15" s="19">
        <f t="shared" si="4"/>
        <v>44615.81</v>
      </c>
      <c r="U15" s="19">
        <v>32669.71</v>
      </c>
      <c r="V15" s="19">
        <v>11946.100000000002</v>
      </c>
      <c r="W15" s="19">
        <v>45677.266333</v>
      </c>
      <c r="X15" s="21">
        <f t="shared" si="5"/>
        <v>1.0623015399667468</v>
      </c>
      <c r="Y15" s="21">
        <f t="shared" si="5"/>
        <v>1.1514315672207966</v>
      </c>
      <c r="Z15" s="21">
        <f t="shared" si="6"/>
        <v>1.0647825158747428</v>
      </c>
      <c r="AA15" s="21">
        <f t="shared" si="7"/>
        <v>0.99440034501934038</v>
      </c>
    </row>
    <row r="16" spans="1:27" ht="15.6">
      <c r="A16" s="17">
        <v>6</v>
      </c>
      <c r="B16" s="18" t="s">
        <v>185</v>
      </c>
      <c r="C16" s="19">
        <f t="shared" si="1"/>
        <v>290984</v>
      </c>
      <c r="D16" s="20">
        <f>8280+16639</f>
        <v>24919</v>
      </c>
      <c r="E16" s="20">
        <f>3640+3040</f>
        <v>6680</v>
      </c>
      <c r="F16" s="20"/>
      <c r="G16" s="20">
        <f>225509+3801+4760</f>
        <v>234070</v>
      </c>
      <c r="H16" s="20">
        <f>139249+1287</f>
        <v>140536</v>
      </c>
      <c r="I16" s="20"/>
      <c r="J16" s="20">
        <f t="shared" si="2"/>
        <v>31995</v>
      </c>
      <c r="K16" s="20">
        <v>21112</v>
      </c>
      <c r="L16" s="20">
        <v>10883</v>
      </c>
      <c r="M16" s="19">
        <f t="shared" si="3"/>
        <v>337420.25051400001</v>
      </c>
      <c r="N16" s="19">
        <f>72847.897394-U16</f>
        <v>50899.096394</v>
      </c>
      <c r="O16" s="19">
        <v>17349.192999999999</v>
      </c>
      <c r="P16" s="19">
        <v>0</v>
      </c>
      <c r="Q16" s="19">
        <f>264572.35312-V16</f>
        <v>254144.25211999999</v>
      </c>
      <c r="R16" s="19">
        <v>146649.894558</v>
      </c>
      <c r="S16" s="19">
        <v>96.697550000000007</v>
      </c>
      <c r="T16" s="19">
        <f t="shared" si="4"/>
        <v>32376.902000000002</v>
      </c>
      <c r="U16" s="19">
        <v>21948.800999999999</v>
      </c>
      <c r="V16" s="19">
        <v>10428.101000000001</v>
      </c>
      <c r="W16" s="19">
        <v>43243.409426999999</v>
      </c>
      <c r="X16" s="21">
        <f t="shared" si="5"/>
        <v>1.1595835183858907</v>
      </c>
      <c r="Y16" s="21">
        <f t="shared" si="5"/>
        <v>2.042581820859585</v>
      </c>
      <c r="Z16" s="21">
        <f t="shared" si="6"/>
        <v>1.085761746998761</v>
      </c>
      <c r="AA16" s="21">
        <f t="shared" si="7"/>
        <v>1.011936302547273</v>
      </c>
    </row>
    <row r="17" spans="1:27" ht="15.6">
      <c r="A17" s="17">
        <v>7</v>
      </c>
      <c r="B17" s="18" t="s">
        <v>191</v>
      </c>
      <c r="C17" s="19">
        <f t="shared" si="1"/>
        <v>99373</v>
      </c>
      <c r="D17" s="20">
        <f>7720+15599</f>
        <v>23319</v>
      </c>
      <c r="E17" s="20">
        <f>2090+3050</f>
        <v>5140</v>
      </c>
      <c r="F17" s="20"/>
      <c r="G17" s="20">
        <f>61177+2553+1410</f>
        <v>65140</v>
      </c>
      <c r="H17" s="20">
        <f>23220</f>
        <v>23220</v>
      </c>
      <c r="I17" s="20"/>
      <c r="J17" s="20">
        <f t="shared" si="2"/>
        <v>10914</v>
      </c>
      <c r="K17" s="20">
        <v>8650</v>
      </c>
      <c r="L17" s="20">
        <v>2264</v>
      </c>
      <c r="M17" s="19">
        <f t="shared" si="3"/>
        <v>145444.04858</v>
      </c>
      <c r="N17" s="19">
        <f>61190.265343-U17</f>
        <v>54626.402343000002</v>
      </c>
      <c r="O17" s="19">
        <v>13204.115844</v>
      </c>
      <c r="P17" s="19">
        <v>0</v>
      </c>
      <c r="Q17" s="19">
        <f>84253.783237-V17</f>
        <v>82035.177337000001</v>
      </c>
      <c r="R17" s="19">
        <v>21816.752371999999</v>
      </c>
      <c r="S17" s="19">
        <v>195.001</v>
      </c>
      <c r="T17" s="19">
        <f t="shared" si="4"/>
        <v>8782.4688999999998</v>
      </c>
      <c r="U17" s="19">
        <v>6563.8629999999994</v>
      </c>
      <c r="V17" s="19">
        <v>2218.6059000000005</v>
      </c>
      <c r="W17" s="19">
        <v>28090.149487999999</v>
      </c>
      <c r="X17" s="21">
        <f t="shared" si="5"/>
        <v>1.463617366689141</v>
      </c>
      <c r="Y17" s="21">
        <f t="shared" si="5"/>
        <v>2.342570536601055</v>
      </c>
      <c r="Z17" s="21">
        <f t="shared" si="6"/>
        <v>1.2593671682069389</v>
      </c>
      <c r="AA17" s="21">
        <f t="shared" si="7"/>
        <v>0.80469753527579257</v>
      </c>
    </row>
    <row r="18" spans="1:27" ht="15.6">
      <c r="A18" s="17">
        <v>8</v>
      </c>
      <c r="B18" s="18" t="s">
        <v>186</v>
      </c>
      <c r="C18" s="19">
        <f t="shared" si="1"/>
        <v>215948</v>
      </c>
      <c r="D18" s="20">
        <f>5960+13277</f>
        <v>19237</v>
      </c>
      <c r="E18" s="20">
        <f>3370+1948</f>
        <v>5318</v>
      </c>
      <c r="F18" s="20"/>
      <c r="G18" s="20">
        <f>162543+3848+3440</f>
        <v>169831</v>
      </c>
      <c r="H18" s="20">
        <f>95365+875</f>
        <v>96240</v>
      </c>
      <c r="I18" s="20"/>
      <c r="J18" s="20">
        <f t="shared" si="2"/>
        <v>26880</v>
      </c>
      <c r="K18" s="20">
        <v>18082</v>
      </c>
      <c r="L18" s="20">
        <v>8798</v>
      </c>
      <c r="M18" s="19">
        <f t="shared" si="3"/>
        <v>232509.595742</v>
      </c>
      <c r="N18" s="19">
        <f>39572.950988-U18</f>
        <v>18891.380987999997</v>
      </c>
      <c r="O18" s="19">
        <v>6887.4530000000004</v>
      </c>
      <c r="P18" s="19">
        <v>0</v>
      </c>
      <c r="Q18" s="19">
        <f>192936.644754-V18</f>
        <v>184113.17475400001</v>
      </c>
      <c r="R18" s="19">
        <v>103372.600082</v>
      </c>
      <c r="S18" s="19">
        <v>150</v>
      </c>
      <c r="T18" s="19">
        <f t="shared" si="4"/>
        <v>29505.040000000001</v>
      </c>
      <c r="U18" s="19">
        <v>20681.57</v>
      </c>
      <c r="V18" s="19">
        <v>8823.4699999999993</v>
      </c>
      <c r="W18" s="19">
        <v>7060.3159999999998</v>
      </c>
      <c r="X18" s="21">
        <f t="shared" si="5"/>
        <v>1.0766925173745532</v>
      </c>
      <c r="Y18" s="21">
        <f t="shared" si="5"/>
        <v>0.9820336324790766</v>
      </c>
      <c r="Z18" s="21">
        <f t="shared" si="6"/>
        <v>1.0840963943802957</v>
      </c>
      <c r="AA18" s="21">
        <f t="shared" si="7"/>
        <v>1.0976577380952381</v>
      </c>
    </row>
    <row r="19" spans="1:27" ht="15.6">
      <c r="A19" s="17">
        <v>9</v>
      </c>
      <c r="B19" s="18" t="s">
        <v>183</v>
      </c>
      <c r="C19" s="19">
        <f t="shared" si="1"/>
        <v>294170.99</v>
      </c>
      <c r="D19" s="20">
        <f>21330+18438</f>
        <v>39768</v>
      </c>
      <c r="E19" s="20">
        <f>3940+2039</f>
        <v>5979</v>
      </c>
      <c r="F19" s="20"/>
      <c r="G19" s="20">
        <f>200956+3120+4530</f>
        <v>208606</v>
      </c>
      <c r="H19" s="20">
        <f>108543</f>
        <v>108543</v>
      </c>
      <c r="I19" s="20"/>
      <c r="J19" s="20">
        <f t="shared" si="2"/>
        <v>45796.99</v>
      </c>
      <c r="K19" s="20">
        <v>32632</v>
      </c>
      <c r="L19" s="20">
        <v>13164.99</v>
      </c>
      <c r="M19" s="19">
        <f t="shared" si="3"/>
        <v>323814.39312300005</v>
      </c>
      <c r="N19" s="19">
        <f>73234.3154-U19</f>
        <v>39383.805400000005</v>
      </c>
      <c r="O19" s="19">
        <v>5865.3559999999998</v>
      </c>
      <c r="P19" s="19">
        <v>0</v>
      </c>
      <c r="Q19" s="19">
        <f>250580.077723-V19</f>
        <v>239785.03280300001</v>
      </c>
      <c r="R19" s="19">
        <v>122237.238293</v>
      </c>
      <c r="S19" s="19">
        <v>727.94299999999998</v>
      </c>
      <c r="T19" s="19">
        <f t="shared" si="4"/>
        <v>44645.554920000002</v>
      </c>
      <c r="U19" s="19">
        <v>33850.51</v>
      </c>
      <c r="V19" s="19">
        <v>10795.044919999998</v>
      </c>
      <c r="W19" s="19">
        <v>50564.884813999997</v>
      </c>
      <c r="X19" s="21">
        <f t="shared" si="5"/>
        <v>1.100769294494335</v>
      </c>
      <c r="Y19" s="21">
        <f t="shared" si="5"/>
        <v>0.99033910179038431</v>
      </c>
      <c r="Z19" s="21">
        <f t="shared" si="6"/>
        <v>1.1494637393123881</v>
      </c>
      <c r="AA19" s="21">
        <f t="shared" si="7"/>
        <v>0.97485784371418305</v>
      </c>
    </row>
    <row r="20" spans="1:27" ht="15.6">
      <c r="A20" s="17">
        <v>10</v>
      </c>
      <c r="B20" s="18" t="s">
        <v>182</v>
      </c>
      <c r="C20" s="19">
        <f t="shared" si="1"/>
        <v>298492</v>
      </c>
      <c r="D20" s="20">
        <f>9990+13329</f>
        <v>23319</v>
      </c>
      <c r="E20" s="20">
        <f>3850+1350</f>
        <v>5200</v>
      </c>
      <c r="F20" s="20"/>
      <c r="G20" s="20">
        <f>221877+5979+4720</f>
        <v>232576</v>
      </c>
      <c r="H20" s="20">
        <v>134886</v>
      </c>
      <c r="I20" s="20"/>
      <c r="J20" s="20">
        <f t="shared" si="2"/>
        <v>42597</v>
      </c>
      <c r="K20" s="20">
        <v>28961</v>
      </c>
      <c r="L20" s="20">
        <v>13636</v>
      </c>
      <c r="M20" s="19">
        <f t="shared" si="3"/>
        <v>304163.06599600002</v>
      </c>
      <c r="N20" s="19">
        <f>46055.9292-U20</f>
        <v>17379.929199999999</v>
      </c>
      <c r="O20" s="19">
        <v>6426.8760000000002</v>
      </c>
      <c r="P20" s="19">
        <v>0</v>
      </c>
      <c r="Q20" s="19">
        <f>258107.136796-V20</f>
        <v>244109.13679600001</v>
      </c>
      <c r="R20" s="19">
        <v>137971.282141</v>
      </c>
      <c r="S20" s="19">
        <v>503.16500000000002</v>
      </c>
      <c r="T20" s="19">
        <f t="shared" si="4"/>
        <v>42674</v>
      </c>
      <c r="U20" s="19">
        <v>28676</v>
      </c>
      <c r="V20" s="19">
        <v>13998.000000000002</v>
      </c>
      <c r="W20" s="19">
        <v>2963.9360670000001</v>
      </c>
      <c r="X20" s="21">
        <f t="shared" si="5"/>
        <v>1.0189990552376613</v>
      </c>
      <c r="Y20" s="21">
        <f t="shared" si="5"/>
        <v>0.74531194305073112</v>
      </c>
      <c r="Z20" s="21">
        <f t="shared" si="6"/>
        <v>1.0495886798121905</v>
      </c>
      <c r="AA20" s="21">
        <f t="shared" si="7"/>
        <v>1.0018076390356128</v>
      </c>
    </row>
    <row r="21" spans="1:27" ht="15.6">
      <c r="A21" s="17"/>
      <c r="B21" s="18"/>
      <c r="C21" s="17"/>
      <c r="D21" s="22"/>
      <c r="E21" s="22"/>
      <c r="F21" s="22"/>
      <c r="G21" s="22"/>
      <c r="H21" s="22"/>
      <c r="I21" s="22"/>
      <c r="J21" s="22"/>
      <c r="K21" s="22"/>
      <c r="L21" s="22"/>
      <c r="M21" s="17"/>
      <c r="N21" s="17"/>
      <c r="O21" s="17"/>
      <c r="P21" s="17"/>
      <c r="Q21" s="17"/>
      <c r="R21" s="17"/>
      <c r="S21" s="17"/>
      <c r="T21" s="17"/>
      <c r="U21" s="17"/>
      <c r="V21" s="17"/>
      <c r="W21" s="17"/>
      <c r="X21" s="17"/>
      <c r="Y21" s="17"/>
      <c r="Z21" s="17"/>
      <c r="AA21" s="17"/>
    </row>
    <row r="22" spans="1:27" ht="16.2">
      <c r="A22" s="23" t="s">
        <v>236</v>
      </c>
    </row>
    <row r="23" spans="1:27" s="25" customFormat="1" ht="15.6">
      <c r="A23" s="24" t="s">
        <v>237</v>
      </c>
      <c r="D23" s="7"/>
      <c r="E23" s="7"/>
      <c r="F23" s="7"/>
      <c r="G23" s="7"/>
      <c r="H23" s="7"/>
      <c r="I23" s="7"/>
      <c r="J23" s="7"/>
      <c r="K23" s="7"/>
      <c r="L23" s="7"/>
      <c r="M23" s="26"/>
    </row>
    <row r="24" spans="1:27" ht="15.6">
      <c r="A24" s="24" t="s">
        <v>238</v>
      </c>
      <c r="M24" s="26"/>
    </row>
    <row r="25" spans="1:27" ht="15.6">
      <c r="A25" s="24" t="s">
        <v>239</v>
      </c>
      <c r="M25" s="26"/>
    </row>
    <row r="26" spans="1:27">
      <c r="A26" s="3"/>
      <c r="M26" s="27"/>
    </row>
    <row r="27" spans="1:27">
      <c r="A27" s="3"/>
    </row>
    <row r="28" spans="1:27">
      <c r="A28" s="3"/>
    </row>
    <row r="29" spans="1:27">
      <c r="A29" s="3"/>
    </row>
    <row r="30" spans="1:27">
      <c r="A30" s="3"/>
    </row>
    <row r="31" spans="1:27">
      <c r="A31" s="3"/>
      <c r="M31" s="26"/>
    </row>
    <row r="32" spans="1:27">
      <c r="A32" s="3"/>
      <c r="M32" s="26">
        <f>3464105758765/1000000</f>
        <v>3464105.7587649999</v>
      </c>
      <c r="N32" t="s">
        <v>240</v>
      </c>
    </row>
    <row r="33" spans="1:14">
      <c r="A33" s="3"/>
      <c r="D33"/>
      <c r="E33"/>
      <c r="F33"/>
      <c r="G33"/>
      <c r="H33"/>
      <c r="I33"/>
      <c r="J33"/>
      <c r="K33"/>
      <c r="L33"/>
      <c r="M33" s="27">
        <f>M32-M10-W10</f>
        <v>0</v>
      </c>
      <c r="N33" t="s">
        <v>241</v>
      </c>
    </row>
  </sheetData>
  <mergeCells count="32">
    <mergeCell ref="Y6:Y8"/>
    <mergeCell ref="Z6:Z8"/>
    <mergeCell ref="Q6:S6"/>
    <mergeCell ref="T6:V6"/>
    <mergeCell ref="W6:W8"/>
    <mergeCell ref="Q7:Q8"/>
    <mergeCell ref="T7:T8"/>
    <mergeCell ref="U7:V7"/>
    <mergeCell ref="R7:S7"/>
    <mergeCell ref="X6:X8"/>
    <mergeCell ref="K7:L7"/>
    <mergeCell ref="J6:L6"/>
    <mergeCell ref="M6:M8"/>
    <mergeCell ref="N6:P6"/>
    <mergeCell ref="N7:N8"/>
    <mergeCell ref="O7:P7"/>
    <mergeCell ref="A2:AA2"/>
    <mergeCell ref="A3:AA3"/>
    <mergeCell ref="A5:A8"/>
    <mergeCell ref="B5:B8"/>
    <mergeCell ref="C5:L5"/>
    <mergeCell ref="M5:W5"/>
    <mergeCell ref="X5:AA5"/>
    <mergeCell ref="C6:C8"/>
    <mergeCell ref="D6:F6"/>
    <mergeCell ref="G6:I6"/>
    <mergeCell ref="AA6:AA8"/>
    <mergeCell ref="D7:D8"/>
    <mergeCell ref="E7:F7"/>
    <mergeCell ref="G7:G8"/>
    <mergeCell ref="H7:I7"/>
    <mergeCell ref="J7:J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131"/>
  <sheetViews>
    <sheetView topLeftCell="A4" workbookViewId="0">
      <selection activeCell="H101" sqref="H101:K101"/>
    </sheetView>
  </sheetViews>
  <sheetFormatPr defaultColWidth="9.109375" defaultRowHeight="15.6" outlineLevelCol="1"/>
  <cols>
    <col min="1" max="1" width="7" style="254" customWidth="1"/>
    <col min="2" max="2" width="48" style="254" customWidth="1"/>
    <col min="3" max="3" width="13.33203125" style="254" customWidth="1"/>
    <col min="4" max="4" width="11.33203125" style="254" customWidth="1"/>
    <col min="5" max="5" width="11.33203125" style="254" bestFit="1" customWidth="1"/>
    <col min="6" max="6" width="11.33203125" style="254" customWidth="1"/>
    <col min="7" max="7" width="11.33203125" style="279" bestFit="1" customWidth="1"/>
    <col min="8" max="9" width="11.33203125" style="279" hidden="1" customWidth="1" outlineLevel="1"/>
    <col min="10" max="10" width="11.33203125" style="279" bestFit="1" customWidth="1" collapsed="1"/>
    <col min="11" max="12" width="11.33203125" style="279" hidden="1" customWidth="1" outlineLevel="1"/>
    <col min="13" max="13" width="10.109375" style="279" customWidth="1" collapsed="1"/>
    <col min="14" max="14" width="9" style="279" customWidth="1"/>
    <col min="15" max="15" width="8.6640625" style="254" customWidth="1"/>
    <col min="16" max="16" width="11.6640625" style="254" bestFit="1" customWidth="1"/>
    <col min="17" max="17" width="14.5546875" style="107" bestFit="1" customWidth="1"/>
    <col min="18" max="18" width="11.6640625" style="107" customWidth="1"/>
    <col min="19" max="19" width="11" style="254" customWidth="1"/>
    <col min="20" max="21" width="10" style="254" bestFit="1" customWidth="1"/>
    <col min="22" max="22" width="9.44140625" style="254" bestFit="1" customWidth="1"/>
    <col min="23" max="23" width="12.88671875" style="254" customWidth="1"/>
    <col min="24" max="24" width="9.44140625" style="254" bestFit="1" customWidth="1"/>
    <col min="25" max="25" width="10.88671875" style="254" bestFit="1" customWidth="1"/>
    <col min="26" max="26" width="9.88671875" style="254" bestFit="1" customWidth="1"/>
    <col min="27" max="27" width="11.88671875" style="254" customWidth="1"/>
    <col min="28" max="28" width="9.88671875" style="254" bestFit="1" customWidth="1"/>
    <col min="29" max="29" width="9.44140625" style="254" bestFit="1" customWidth="1"/>
    <col min="30" max="16384" width="9.109375" style="254"/>
  </cols>
  <sheetData>
    <row r="1" spans="1:30">
      <c r="A1" s="252" t="s">
        <v>202</v>
      </c>
      <c r="B1" s="613"/>
      <c r="F1" s="256"/>
      <c r="G1" s="276"/>
      <c r="H1" s="276"/>
      <c r="I1" s="276"/>
      <c r="M1" s="299" t="s">
        <v>75</v>
      </c>
      <c r="N1" s="276"/>
    </row>
    <row r="2" spans="1:30">
      <c r="A2" s="303"/>
      <c r="F2" s="270"/>
      <c r="G2" s="276"/>
      <c r="H2" s="276"/>
      <c r="I2" s="276"/>
      <c r="J2" s="276"/>
      <c r="K2" s="276"/>
      <c r="L2" s="276"/>
    </row>
    <row r="3" spans="1:30" ht="20.25" customHeight="1">
      <c r="A3" s="802" t="s">
        <v>2267</v>
      </c>
      <c r="B3" s="802"/>
      <c r="C3" s="802"/>
      <c r="D3" s="802"/>
      <c r="E3" s="802"/>
      <c r="F3" s="802"/>
      <c r="G3" s="802"/>
      <c r="H3" s="802"/>
      <c r="I3" s="802"/>
      <c r="J3" s="802"/>
      <c r="K3" s="802"/>
      <c r="L3" s="802"/>
      <c r="M3" s="802"/>
      <c r="N3" s="802"/>
      <c r="O3" s="802"/>
    </row>
    <row r="4" spans="1:30">
      <c r="A4" s="803" t="s">
        <v>2043</v>
      </c>
      <c r="B4" s="803"/>
      <c r="C4" s="803"/>
      <c r="D4" s="803"/>
      <c r="E4" s="803"/>
      <c r="F4" s="803"/>
      <c r="G4" s="803"/>
      <c r="H4" s="803"/>
      <c r="I4" s="803"/>
      <c r="J4" s="803"/>
      <c r="K4" s="803"/>
      <c r="L4" s="803"/>
      <c r="M4" s="803"/>
      <c r="N4" s="803"/>
      <c r="O4" s="803"/>
    </row>
    <row r="5" spans="1:30">
      <c r="B5" s="306" t="s">
        <v>2264</v>
      </c>
      <c r="C5" s="256"/>
      <c r="D5" s="256"/>
      <c r="E5" s="256"/>
      <c r="F5" s="256"/>
      <c r="M5" s="281" t="s">
        <v>1</v>
      </c>
      <c r="Q5" s="351">
        <f>G11+'68_QT '!G12</f>
        <v>1542724.2175159999</v>
      </c>
    </row>
    <row r="6" spans="1:30" ht="22.5" customHeight="1">
      <c r="A6" s="800" t="s">
        <v>2</v>
      </c>
      <c r="B6" s="800" t="s">
        <v>3</v>
      </c>
      <c r="C6" s="800" t="s">
        <v>39</v>
      </c>
      <c r="D6" s="800" t="s">
        <v>76</v>
      </c>
      <c r="E6" s="800"/>
      <c r="F6" s="800" t="s">
        <v>5</v>
      </c>
      <c r="G6" s="804" t="s">
        <v>76</v>
      </c>
      <c r="H6" s="805"/>
      <c r="I6" s="805"/>
      <c r="J6" s="805"/>
      <c r="K6" s="805"/>
      <c r="L6" s="806"/>
      <c r="M6" s="800" t="s">
        <v>6</v>
      </c>
      <c r="N6" s="800"/>
      <c r="O6" s="800"/>
    </row>
    <row r="7" spans="1:30" ht="71.25" customHeight="1">
      <c r="A7" s="800"/>
      <c r="B7" s="800"/>
      <c r="C7" s="800"/>
      <c r="D7" s="612" t="s">
        <v>77</v>
      </c>
      <c r="E7" s="612" t="s">
        <v>78</v>
      </c>
      <c r="F7" s="800"/>
      <c r="G7" s="612" t="s">
        <v>77</v>
      </c>
      <c r="H7" s="612" t="s">
        <v>341</v>
      </c>
      <c r="I7" s="612" t="s">
        <v>340</v>
      </c>
      <c r="J7" s="612" t="s">
        <v>78</v>
      </c>
      <c r="K7" s="612" t="s">
        <v>341</v>
      </c>
      <c r="L7" s="612" t="s">
        <v>340</v>
      </c>
      <c r="M7" s="612" t="s">
        <v>79</v>
      </c>
      <c r="N7" s="612" t="s">
        <v>77</v>
      </c>
      <c r="O7" s="612" t="s">
        <v>78</v>
      </c>
      <c r="Q7" s="108" t="s">
        <v>355</v>
      </c>
      <c r="R7" s="108"/>
      <c r="S7" s="304" t="s">
        <v>560</v>
      </c>
      <c r="T7" s="304" t="s">
        <v>402</v>
      </c>
      <c r="U7" s="304" t="s">
        <v>561</v>
      </c>
      <c r="V7" s="304" t="s">
        <v>562</v>
      </c>
      <c r="W7" s="304" t="s">
        <v>563</v>
      </c>
      <c r="X7" s="304" t="s">
        <v>564</v>
      </c>
      <c r="Y7" s="304" t="s">
        <v>565</v>
      </c>
      <c r="Z7" s="304" t="s">
        <v>566</v>
      </c>
      <c r="AA7" s="304" t="s">
        <v>567</v>
      </c>
      <c r="AB7" s="304" t="s">
        <v>568</v>
      </c>
    </row>
    <row r="8" spans="1:30">
      <c r="A8" s="614" t="s">
        <v>7</v>
      </c>
      <c r="B8" s="614" t="s">
        <v>8</v>
      </c>
      <c r="C8" s="614" t="s">
        <v>80</v>
      </c>
      <c r="D8" s="614">
        <v>2</v>
      </c>
      <c r="E8" s="614">
        <v>3</v>
      </c>
      <c r="F8" s="614" t="s">
        <v>81</v>
      </c>
      <c r="G8" s="614">
        <v>5</v>
      </c>
      <c r="H8" s="614"/>
      <c r="I8" s="614"/>
      <c r="J8" s="614">
        <v>6</v>
      </c>
      <c r="K8" s="614"/>
      <c r="L8" s="614"/>
      <c r="M8" s="614" t="s">
        <v>82</v>
      </c>
      <c r="N8" s="614" t="s">
        <v>83</v>
      </c>
      <c r="O8" s="614" t="s">
        <v>84</v>
      </c>
      <c r="Q8" s="107" t="s">
        <v>2016</v>
      </c>
      <c r="R8" s="107" t="s">
        <v>2017</v>
      </c>
    </row>
    <row r="9" spans="1:30" s="261" customFormat="1" ht="24.75" customHeight="1">
      <c r="A9" s="54"/>
      <c r="B9" s="54" t="s">
        <v>21</v>
      </c>
      <c r="C9" s="601">
        <f>C10+C29</f>
        <v>7026301.2066990007</v>
      </c>
      <c r="D9" s="601">
        <f>D10+D29</f>
        <v>3904363.5700790007</v>
      </c>
      <c r="E9" s="601">
        <f t="shared" ref="E9:L9" si="0">E10+E29</f>
        <v>3121937.63662</v>
      </c>
      <c r="F9" s="601">
        <f t="shared" si="0"/>
        <v>7873558.3044180004</v>
      </c>
      <c r="G9" s="601">
        <f t="shared" si="0"/>
        <v>3911209.2971790005</v>
      </c>
      <c r="H9" s="601">
        <f t="shared" si="0"/>
        <v>0</v>
      </c>
      <c r="I9" s="601">
        <f t="shared" si="0"/>
        <v>0</v>
      </c>
      <c r="J9" s="601">
        <f t="shared" si="0"/>
        <v>3962349.0072390004</v>
      </c>
      <c r="K9" s="601">
        <f t="shared" si="0"/>
        <v>0</v>
      </c>
      <c r="L9" s="601">
        <f t="shared" si="0"/>
        <v>0</v>
      </c>
      <c r="M9" s="315">
        <f t="shared" ref="M9:N28" si="1">IF((C9&gt;0),F9/C9*100,0)</f>
        <v>112.05836574314819</v>
      </c>
      <c r="N9" s="315">
        <f t="shared" si="1"/>
        <v>100.17533528773966</v>
      </c>
      <c r="O9" s="315">
        <f t="shared" ref="O9:O31" si="2">IF((E9&gt;0),J9/E9*100,0)</f>
        <v>126.91954383588779</v>
      </c>
      <c r="Q9" s="353"/>
      <c r="R9" s="353"/>
      <c r="S9" s="295"/>
      <c r="T9" s="295"/>
      <c r="U9" s="295"/>
      <c r="V9" s="295"/>
      <c r="W9" s="295"/>
      <c r="X9" s="295"/>
      <c r="Y9" s="295"/>
      <c r="Z9" s="295"/>
      <c r="AA9" s="295"/>
      <c r="AB9" s="295"/>
      <c r="AC9" s="295"/>
      <c r="AD9" s="295"/>
    </row>
    <row r="10" spans="1:30" s="261" customFormat="1">
      <c r="A10" s="105" t="s">
        <v>7</v>
      </c>
      <c r="B10" s="57" t="s">
        <v>85</v>
      </c>
      <c r="C10" s="58">
        <f>C11+C21+C25+C26+C27+C28</f>
        <v>4501918.6834350005</v>
      </c>
      <c r="D10" s="58">
        <f>D11+D21+D25+D26+D27+D28</f>
        <v>1864299.045349</v>
      </c>
      <c r="E10" s="58">
        <f t="shared" ref="E10:L10" si="3">E11+E21+E25+E26+E27+E28</f>
        <v>2637619.638086</v>
      </c>
      <c r="F10" s="58">
        <f t="shared" si="3"/>
        <v>6448602.5471330006</v>
      </c>
      <c r="G10" s="58">
        <f t="shared" si="3"/>
        <v>2939659.2285350002</v>
      </c>
      <c r="H10" s="58">
        <f t="shared" si="3"/>
        <v>0</v>
      </c>
      <c r="I10" s="58">
        <f t="shared" si="3"/>
        <v>0</v>
      </c>
      <c r="J10" s="58">
        <f t="shared" si="3"/>
        <v>3508943.3185980003</v>
      </c>
      <c r="K10" s="58">
        <f t="shared" si="3"/>
        <v>0</v>
      </c>
      <c r="L10" s="58">
        <f t="shared" si="3"/>
        <v>0</v>
      </c>
      <c r="M10" s="316">
        <f t="shared" si="1"/>
        <v>143.24120448600962</v>
      </c>
      <c r="N10" s="316">
        <f t="shared" si="1"/>
        <v>157.68174295152798</v>
      </c>
      <c r="O10" s="316">
        <f t="shared" si="2"/>
        <v>133.03447047218228</v>
      </c>
      <c r="P10" s="108" t="s">
        <v>2018</v>
      </c>
      <c r="Q10" s="353"/>
      <c r="R10" s="353"/>
      <c r="S10" s="295"/>
      <c r="T10" s="295"/>
      <c r="U10" s="295"/>
      <c r="V10" s="295"/>
      <c r="W10" s="295"/>
      <c r="X10" s="295"/>
      <c r="Y10" s="295"/>
      <c r="Z10" s="295"/>
      <c r="AA10" s="295"/>
      <c r="AB10" s="295"/>
      <c r="AC10" s="295"/>
      <c r="AD10" s="295"/>
    </row>
    <row r="11" spans="1:30" s="261" customFormat="1">
      <c r="A11" s="105" t="s">
        <v>45</v>
      </c>
      <c r="B11" s="57" t="s">
        <v>24</v>
      </c>
      <c r="C11" s="58">
        <f t="shared" ref="C11:C28" si="4">D11+E11</f>
        <v>740920</v>
      </c>
      <c r="D11" s="58">
        <f>D12+D19+D20</f>
        <v>460621</v>
      </c>
      <c r="E11" s="58">
        <f>E12+E19+E20</f>
        <v>280299</v>
      </c>
      <c r="F11" s="58">
        <f t="shared" ref="F11:J11" si="5">F12+F19+F20</f>
        <v>1913197.7696189999</v>
      </c>
      <c r="G11" s="58">
        <f t="shared" si="5"/>
        <v>1255540.2626</v>
      </c>
      <c r="H11" s="58">
        <f t="shared" si="5"/>
        <v>0</v>
      </c>
      <c r="I11" s="58">
        <f t="shared" si="5"/>
        <v>0</v>
      </c>
      <c r="J11" s="58">
        <f t="shared" si="5"/>
        <v>657657.5070189999</v>
      </c>
      <c r="K11" s="58"/>
      <c r="L11" s="58"/>
      <c r="M11" s="316">
        <f t="shared" si="1"/>
        <v>258.21920984978135</v>
      </c>
      <c r="N11" s="316">
        <f t="shared" si="1"/>
        <v>272.57555834406162</v>
      </c>
      <c r="O11" s="316">
        <f t="shared" si="2"/>
        <v>234.62713281852587</v>
      </c>
      <c r="Q11" s="352"/>
      <c r="R11" s="108"/>
      <c r="S11" s="295"/>
      <c r="T11" s="295"/>
      <c r="U11" s="295"/>
      <c r="V11" s="295"/>
      <c r="W11" s="295"/>
      <c r="X11" s="295"/>
      <c r="Y11" s="295"/>
      <c r="Z11" s="295"/>
      <c r="AA11" s="295"/>
      <c r="AB11" s="295"/>
      <c r="AC11" s="295"/>
      <c r="AD11" s="295"/>
    </row>
    <row r="12" spans="1:30">
      <c r="A12" s="106">
        <v>1</v>
      </c>
      <c r="B12" s="60" t="s">
        <v>86</v>
      </c>
      <c r="C12" s="61">
        <f t="shared" si="4"/>
        <v>734130</v>
      </c>
      <c r="D12" s="61">
        <f>460621-D19</f>
        <v>453831</v>
      </c>
      <c r="E12" s="61">
        <v>280299</v>
      </c>
      <c r="F12" s="61">
        <f>G12+J12</f>
        <v>1899487.7696189999</v>
      </c>
      <c r="G12" s="62">
        <f>'Chi NSDP_trinh HDND'!H11</f>
        <v>1243190.2626</v>
      </c>
      <c r="H12" s="62"/>
      <c r="I12" s="62"/>
      <c r="J12" s="62">
        <f>'Chi NSDP_trinh HDND'!I11+'Chi NSDP_trinh HDND'!J11</f>
        <v>656297.5070189999</v>
      </c>
      <c r="K12" s="623"/>
      <c r="L12" s="623"/>
      <c r="M12" s="320">
        <f t="shared" si="1"/>
        <v>258.73997379469574</v>
      </c>
      <c r="N12" s="320">
        <f t="shared" si="1"/>
        <v>273.93242475723343</v>
      </c>
      <c r="O12" s="320">
        <f t="shared" si="2"/>
        <v>234.14193665300266</v>
      </c>
      <c r="P12" s="350"/>
      <c r="Q12" s="354"/>
      <c r="R12" s="354"/>
      <c r="S12" s="266"/>
      <c r="T12" s="266"/>
      <c r="U12" s="266"/>
      <c r="V12" s="266"/>
      <c r="W12" s="266"/>
      <c r="X12" s="266"/>
      <c r="Y12" s="266"/>
      <c r="Z12" s="266"/>
      <c r="AA12" s="266"/>
      <c r="AB12" s="266"/>
      <c r="AC12" s="266"/>
      <c r="AD12" s="266"/>
    </row>
    <row r="13" spans="1:30">
      <c r="A13" s="106"/>
      <c r="B13" s="60" t="s">
        <v>87</v>
      </c>
      <c r="C13" s="61">
        <f t="shared" si="4"/>
        <v>0</v>
      </c>
      <c r="D13" s="61"/>
      <c r="E13" s="61"/>
      <c r="F13" s="61">
        <f t="shared" ref="F13:F32" si="6">G13+J13</f>
        <v>0</v>
      </c>
      <c r="G13" s="62"/>
      <c r="H13" s="62"/>
      <c r="I13" s="62"/>
      <c r="J13" s="62"/>
      <c r="K13" s="61"/>
      <c r="L13" s="61"/>
      <c r="M13" s="320">
        <f t="shared" si="1"/>
        <v>0</v>
      </c>
      <c r="N13" s="320">
        <f t="shared" si="1"/>
        <v>0</v>
      </c>
      <c r="O13" s="320">
        <f t="shared" si="2"/>
        <v>0</v>
      </c>
      <c r="S13" s="266"/>
      <c r="T13" s="266"/>
      <c r="U13" s="266"/>
      <c r="V13" s="266"/>
      <c r="W13" s="266"/>
      <c r="X13" s="266"/>
      <c r="Y13" s="266"/>
      <c r="Z13" s="266"/>
      <c r="AA13" s="266"/>
      <c r="AB13" s="266"/>
      <c r="AC13" s="266"/>
      <c r="AD13" s="266"/>
    </row>
    <row r="14" spans="1:30" s="361" customFormat="1">
      <c r="A14" s="603" t="s">
        <v>12</v>
      </c>
      <c r="B14" s="64" t="s">
        <v>88</v>
      </c>
      <c r="C14" s="65">
        <f t="shared" si="4"/>
        <v>153105</v>
      </c>
      <c r="D14" s="65">
        <f>'Chi NSDP_trinh HDND'!E14</f>
        <v>74516</v>
      </c>
      <c r="E14" s="65">
        <f>'Chi NSDP_trinh HDND'!F14</f>
        <v>78589</v>
      </c>
      <c r="F14" s="65">
        <f t="shared" si="6"/>
        <v>226870.35271000001</v>
      </c>
      <c r="G14" s="604">
        <f>'Chi NSDP_trinh HDND'!H14</f>
        <v>109331.94187</v>
      </c>
      <c r="H14" s="604"/>
      <c r="I14" s="604"/>
      <c r="J14" s="604">
        <f>'Chi NSDP_trinh HDND'!I14+'Chi NSDP_trinh HDND'!J14</f>
        <v>117538.41084</v>
      </c>
      <c r="K14" s="65"/>
      <c r="L14" s="65"/>
      <c r="M14" s="605">
        <f t="shared" si="1"/>
        <v>148.17958440939225</v>
      </c>
      <c r="N14" s="605">
        <f t="shared" si="1"/>
        <v>146.72277345804926</v>
      </c>
      <c r="O14" s="605">
        <f t="shared" si="2"/>
        <v>149.56089381465597</v>
      </c>
      <c r="Q14" s="362"/>
      <c r="R14" s="362"/>
      <c r="S14" s="363"/>
      <c r="T14" s="363"/>
      <c r="U14" s="363"/>
      <c r="V14" s="363"/>
      <c r="W14" s="363"/>
      <c r="X14" s="363"/>
      <c r="Y14" s="363"/>
      <c r="Z14" s="363"/>
      <c r="AA14" s="363"/>
      <c r="AB14" s="363"/>
      <c r="AC14" s="363"/>
      <c r="AD14" s="363"/>
    </row>
    <row r="15" spans="1:30" s="361" customFormat="1">
      <c r="A15" s="603" t="s">
        <v>12</v>
      </c>
      <c r="B15" s="64" t="s">
        <v>89</v>
      </c>
      <c r="C15" s="65">
        <f t="shared" si="4"/>
        <v>10000</v>
      </c>
      <c r="D15" s="65">
        <f>'Chi NSDP_trinh HDND'!E15</f>
        <v>10000</v>
      </c>
      <c r="E15" s="65"/>
      <c r="F15" s="65">
        <f t="shared" si="6"/>
        <v>13548.91</v>
      </c>
      <c r="G15" s="604">
        <f>'Chi NSDP_trinh HDND'!H15</f>
        <v>13548.91</v>
      </c>
      <c r="H15" s="604"/>
      <c r="I15" s="604"/>
      <c r="J15" s="604"/>
      <c r="K15" s="65"/>
      <c r="L15" s="65"/>
      <c r="M15" s="605">
        <f t="shared" si="1"/>
        <v>135.48910000000001</v>
      </c>
      <c r="N15" s="605">
        <f t="shared" si="1"/>
        <v>135.48910000000001</v>
      </c>
      <c r="O15" s="605">
        <f t="shared" si="2"/>
        <v>0</v>
      </c>
      <c r="P15" s="364"/>
      <c r="Q15" s="362"/>
      <c r="R15" s="362"/>
      <c r="S15" s="363"/>
      <c r="T15" s="363"/>
      <c r="U15" s="363"/>
      <c r="V15" s="363"/>
      <c r="W15" s="363"/>
      <c r="X15" s="363"/>
      <c r="Y15" s="363"/>
      <c r="Z15" s="363"/>
      <c r="AA15" s="363"/>
      <c r="AB15" s="363"/>
      <c r="AC15" s="363"/>
      <c r="AD15" s="363"/>
    </row>
    <row r="16" spans="1:30">
      <c r="A16" s="106"/>
      <c r="B16" s="60" t="s">
        <v>90</v>
      </c>
      <c r="C16" s="61">
        <f t="shared" si="4"/>
        <v>0</v>
      </c>
      <c r="D16" s="61"/>
      <c r="E16" s="61"/>
      <c r="F16" s="61">
        <f t="shared" si="6"/>
        <v>0</v>
      </c>
      <c r="G16" s="62"/>
      <c r="H16" s="62"/>
      <c r="I16" s="62"/>
      <c r="J16" s="62"/>
      <c r="K16" s="61"/>
      <c r="L16" s="61"/>
      <c r="M16" s="320">
        <f t="shared" si="1"/>
        <v>0</v>
      </c>
      <c r="N16" s="320">
        <f t="shared" si="1"/>
        <v>0</v>
      </c>
      <c r="O16" s="320">
        <f t="shared" si="2"/>
        <v>0</v>
      </c>
      <c r="Q16" s="255" t="s">
        <v>2019</v>
      </c>
      <c r="R16" s="108"/>
      <c r="S16" s="295"/>
      <c r="T16" s="295"/>
      <c r="U16" s="295"/>
      <c r="V16" s="295"/>
      <c r="W16" s="295"/>
      <c r="X16" s="295"/>
      <c r="Y16" s="295"/>
      <c r="Z16" s="295"/>
      <c r="AA16" s="295"/>
      <c r="AB16" s="295"/>
      <c r="AC16" s="295"/>
      <c r="AD16" s="266"/>
    </row>
    <row r="17" spans="1:30" s="356" customFormat="1" ht="16.2">
      <c r="A17" s="603" t="s">
        <v>12</v>
      </c>
      <c r="B17" s="64" t="s">
        <v>91</v>
      </c>
      <c r="C17" s="604">
        <f t="shared" si="4"/>
        <v>180000</v>
      </c>
      <c r="D17" s="604">
        <v>124475</v>
      </c>
      <c r="E17" s="604">
        <v>55525</v>
      </c>
      <c r="F17" s="604">
        <f t="shared" si="6"/>
        <v>286041.19045400003</v>
      </c>
      <c r="G17" s="604">
        <v>145248.33724299999</v>
      </c>
      <c r="H17" s="604"/>
      <c r="I17" s="604"/>
      <c r="J17" s="604">
        <v>140792.85321100001</v>
      </c>
      <c r="K17" s="604"/>
      <c r="L17" s="604"/>
      <c r="M17" s="606">
        <f t="shared" si="1"/>
        <v>158.91177247444446</v>
      </c>
      <c r="N17" s="605">
        <f t="shared" si="1"/>
        <v>116.6887625973087</v>
      </c>
      <c r="O17" s="605">
        <f t="shared" si="2"/>
        <v>253.56659740837463</v>
      </c>
      <c r="Q17" s="357">
        <f>SUM(S17:AB17)</f>
        <v>81994</v>
      </c>
      <c r="R17" s="357"/>
      <c r="S17" s="358"/>
      <c r="T17" s="358">
        <v>637</v>
      </c>
      <c r="U17" s="358">
        <v>52</v>
      </c>
      <c r="V17" s="358">
        <v>16546</v>
      </c>
      <c r="W17" s="358">
        <v>18721</v>
      </c>
      <c r="X17" s="358"/>
      <c r="Y17" s="358">
        <v>39436</v>
      </c>
      <c r="Z17" s="358">
        <v>6602</v>
      </c>
      <c r="AA17" s="358"/>
      <c r="AB17" s="358"/>
      <c r="AC17" s="358"/>
      <c r="AD17" s="359"/>
    </row>
    <row r="18" spans="1:30" s="356" customFormat="1" ht="16.2">
      <c r="A18" s="603" t="s">
        <v>12</v>
      </c>
      <c r="B18" s="64" t="s">
        <v>92</v>
      </c>
      <c r="C18" s="604">
        <f t="shared" si="4"/>
        <v>66000</v>
      </c>
      <c r="D18" s="604">
        <v>44693</v>
      </c>
      <c r="E18" s="604">
        <v>21307</v>
      </c>
      <c r="F18" s="604">
        <f t="shared" si="6"/>
        <v>72044.306318000003</v>
      </c>
      <c r="G18" s="604">
        <v>47313.777818000002</v>
      </c>
      <c r="H18" s="604"/>
      <c r="I18" s="604"/>
      <c r="J18" s="604">
        <v>24730.528499999997</v>
      </c>
      <c r="K18" s="604"/>
      <c r="L18" s="604"/>
      <c r="M18" s="606">
        <f t="shared" si="1"/>
        <v>109.15803987575758</v>
      </c>
      <c r="N18" s="605">
        <f t="shared" si="1"/>
        <v>105.86395591703399</v>
      </c>
      <c r="O18" s="605">
        <f t="shared" si="2"/>
        <v>116.06762331628101</v>
      </c>
      <c r="Q18" s="357">
        <f>SUM(S18:AB18)</f>
        <v>12970</v>
      </c>
      <c r="R18" s="357"/>
      <c r="S18" s="358">
        <v>3928</v>
      </c>
      <c r="T18" s="358">
        <v>4294</v>
      </c>
      <c r="U18" s="358">
        <v>2018</v>
      </c>
      <c r="V18" s="358">
        <v>1595</v>
      </c>
      <c r="W18" s="358">
        <v>1135</v>
      </c>
      <c r="X18" s="358"/>
      <c r="Y18" s="358"/>
      <c r="Z18" s="358"/>
      <c r="AA18" s="360"/>
      <c r="AB18" s="358"/>
      <c r="AC18" s="358"/>
      <c r="AD18" s="359"/>
    </row>
    <row r="19" spans="1:30" ht="62.4">
      <c r="A19" s="106">
        <v>2</v>
      </c>
      <c r="B19" s="416" t="s">
        <v>93</v>
      </c>
      <c r="C19" s="62">
        <f t="shared" si="4"/>
        <v>6790</v>
      </c>
      <c r="D19" s="62">
        <f>'Chi NSDP_trinh HDND'!E25</f>
        <v>6790</v>
      </c>
      <c r="E19" s="62"/>
      <c r="F19" s="62">
        <f t="shared" si="6"/>
        <v>12350</v>
      </c>
      <c r="G19" s="62">
        <f>'Chi NSDP_trinh HDND'!H25</f>
        <v>12350</v>
      </c>
      <c r="H19" s="62"/>
      <c r="I19" s="62"/>
      <c r="J19" s="62">
        <f>'Chi NSDP_trinh HDND'!I25+'Chi NSDP_trinh HDND'!J25</f>
        <v>0</v>
      </c>
      <c r="K19" s="62"/>
      <c r="L19" s="62"/>
      <c r="M19" s="330">
        <f t="shared" si="1"/>
        <v>181.88512518409425</v>
      </c>
      <c r="N19" s="320">
        <f t="shared" si="1"/>
        <v>181.88512518409425</v>
      </c>
      <c r="O19" s="320">
        <f t="shared" si="2"/>
        <v>0</v>
      </c>
      <c r="Q19" s="108"/>
      <c r="R19" s="108"/>
      <c r="S19" s="266"/>
      <c r="T19" s="266"/>
      <c r="U19" s="266"/>
      <c r="V19" s="266"/>
      <c r="W19" s="266"/>
      <c r="X19" s="266"/>
      <c r="Y19" s="266"/>
      <c r="Z19" s="266"/>
      <c r="AA19" s="266"/>
      <c r="AB19" s="266"/>
      <c r="AC19" s="266"/>
      <c r="AD19" s="266"/>
    </row>
    <row r="20" spans="1:30">
      <c r="A20" s="106">
        <v>3</v>
      </c>
      <c r="B20" s="60" t="s">
        <v>94</v>
      </c>
      <c r="C20" s="61">
        <f t="shared" si="4"/>
        <v>0</v>
      </c>
      <c r="D20" s="61"/>
      <c r="E20" s="61"/>
      <c r="F20" s="61">
        <f t="shared" si="6"/>
        <v>1360</v>
      </c>
      <c r="G20" s="62">
        <f>'Chi NSDP_trinh HDND'!H26</f>
        <v>0</v>
      </c>
      <c r="H20" s="62"/>
      <c r="I20" s="62"/>
      <c r="J20" s="62">
        <f>'Chi NSDP_trinh HDND'!I26+'Chi NSDP_trinh HDND'!J26</f>
        <v>1360</v>
      </c>
      <c r="K20" s="61"/>
      <c r="L20" s="61"/>
      <c r="M20" s="320">
        <f t="shared" si="1"/>
        <v>0</v>
      </c>
      <c r="N20" s="320">
        <f t="shared" si="1"/>
        <v>0</v>
      </c>
      <c r="O20" s="320">
        <f t="shared" si="2"/>
        <v>0</v>
      </c>
    </row>
    <row r="21" spans="1:30" s="261" customFormat="1">
      <c r="A21" s="105" t="s">
        <v>29</v>
      </c>
      <c r="B21" s="57" t="s">
        <v>25</v>
      </c>
      <c r="C21" s="58">
        <f t="shared" si="4"/>
        <v>3648760.683435</v>
      </c>
      <c r="D21" s="58">
        <f>'Chi NSDP_trinh HDND'!E28-CTMTQG_CTMT2018!E10-CTMTQG_CTMT2018!K10</f>
        <v>1343000.045349</v>
      </c>
      <c r="E21" s="58">
        <f>'Chi NSDP_trinh HDND'!F28-CTMTQG_CTMT2018!G10-CTMTQG_CTMT2018!N10</f>
        <v>2305760.638086</v>
      </c>
      <c r="F21" s="58">
        <f>G21+J21</f>
        <v>4494904.7775140004</v>
      </c>
      <c r="G21" s="602">
        <f>'Chi NSDP_trinh HDND'!H28</f>
        <v>1643618.965935</v>
      </c>
      <c r="H21" s="602"/>
      <c r="I21" s="602"/>
      <c r="J21" s="602">
        <f>'Chi NSDP_trinh HDND'!I28+'Chi NSDP_trinh HDND'!J28+'Chi NSDP_trinh HDND'!J48</f>
        <v>2851285.8115790002</v>
      </c>
      <c r="K21" s="622"/>
      <c r="L21" s="622"/>
      <c r="M21" s="316">
        <f t="shared" si="1"/>
        <v>123.18990384654187</v>
      </c>
      <c r="N21" s="316">
        <f t="shared" si="1"/>
        <v>122.38413331608484</v>
      </c>
      <c r="O21" s="316">
        <f t="shared" si="2"/>
        <v>123.65922830332632</v>
      </c>
      <c r="P21" s="350">
        <v>1522778</v>
      </c>
      <c r="Q21" s="354"/>
      <c r="R21" s="354"/>
    </row>
    <row r="22" spans="1:30">
      <c r="A22" s="106"/>
      <c r="B22" s="64" t="s">
        <v>95</v>
      </c>
      <c r="C22" s="61">
        <f t="shared" si="4"/>
        <v>0</v>
      </c>
      <c r="D22" s="61"/>
      <c r="E22" s="61"/>
      <c r="F22" s="61">
        <f t="shared" si="6"/>
        <v>0</v>
      </c>
      <c r="G22" s="62"/>
      <c r="H22" s="62"/>
      <c r="I22" s="62"/>
      <c r="J22" s="62"/>
      <c r="K22" s="61"/>
      <c r="L22" s="61"/>
      <c r="M22" s="320">
        <f t="shared" si="1"/>
        <v>0</v>
      </c>
      <c r="N22" s="320">
        <f t="shared" si="1"/>
        <v>0</v>
      </c>
      <c r="O22" s="320">
        <f t="shared" si="2"/>
        <v>0</v>
      </c>
    </row>
    <row r="23" spans="1:30">
      <c r="A23" s="106">
        <v>1</v>
      </c>
      <c r="B23" s="60" t="s">
        <v>88</v>
      </c>
      <c r="C23" s="61">
        <f t="shared" si="4"/>
        <v>1868450.3</v>
      </c>
      <c r="D23" s="61">
        <f>'Chi NSDP_trinh HDND'!E31</f>
        <v>428705</v>
      </c>
      <c r="E23" s="61">
        <f>'Chi NSDP_trinh HDND'!F31</f>
        <v>1439745.3</v>
      </c>
      <c r="F23" s="61">
        <f t="shared" si="6"/>
        <v>1860661.408116</v>
      </c>
      <c r="G23" s="62">
        <f>'Chi NSDP_trinh HDND'!H31</f>
        <v>347269.08179000003</v>
      </c>
      <c r="H23" s="62"/>
      <c r="I23" s="62"/>
      <c r="J23" s="62">
        <f>'Chi NSDP_trinh HDND'!I31+'Chi NSDP_trinh HDND'!J31</f>
        <v>1513392.326326</v>
      </c>
      <c r="K23" s="61"/>
      <c r="L23" s="61"/>
      <c r="M23" s="320">
        <f t="shared" si="1"/>
        <v>99.583136255537539</v>
      </c>
      <c r="N23" s="320">
        <f t="shared" si="1"/>
        <v>81.004206106763405</v>
      </c>
      <c r="O23" s="320">
        <f t="shared" si="2"/>
        <v>105.11528159362631</v>
      </c>
    </row>
    <row r="24" spans="1:30">
      <c r="A24" s="106">
        <v>2</v>
      </c>
      <c r="B24" s="60" t="s">
        <v>89</v>
      </c>
      <c r="C24" s="61">
        <f t="shared" si="4"/>
        <v>14541</v>
      </c>
      <c r="D24" s="61">
        <f>'Chi NSDP_trinh HDND'!E32</f>
        <v>13086</v>
      </c>
      <c r="E24" s="61">
        <f>'Chi NSDP_trinh HDND'!F32</f>
        <v>1455</v>
      </c>
      <c r="F24" s="61">
        <f t="shared" si="6"/>
        <v>16496.109494</v>
      </c>
      <c r="G24" s="62">
        <f>'Chi NSDP_trinh HDND'!H32</f>
        <v>14779.462194</v>
      </c>
      <c r="H24" s="62"/>
      <c r="I24" s="62"/>
      <c r="J24" s="62">
        <f>'Chi NSDP_trinh HDND'!I32</f>
        <v>1716.6473000000001</v>
      </c>
      <c r="K24" s="61"/>
      <c r="L24" s="61"/>
      <c r="M24" s="320">
        <f t="shared" si="1"/>
        <v>113.44549545423286</v>
      </c>
      <c r="N24" s="320">
        <f t="shared" si="1"/>
        <v>112.94102242090784</v>
      </c>
      <c r="O24" s="320">
        <f t="shared" si="2"/>
        <v>117.98263230240551</v>
      </c>
    </row>
    <row r="25" spans="1:30" s="261" customFormat="1">
      <c r="A25" s="105" t="s">
        <v>33</v>
      </c>
      <c r="B25" s="45" t="s">
        <v>294</v>
      </c>
      <c r="C25" s="58">
        <f t="shared" si="4"/>
        <v>0</v>
      </c>
      <c r="D25" s="58"/>
      <c r="E25" s="58"/>
      <c r="F25" s="58">
        <f t="shared" si="6"/>
        <v>38500</v>
      </c>
      <c r="G25" s="602">
        <f>'Chi NSDP_trinh HDND'!H27</f>
        <v>38500</v>
      </c>
      <c r="H25" s="602"/>
      <c r="I25" s="602"/>
      <c r="J25" s="602"/>
      <c r="K25" s="58"/>
      <c r="L25" s="58"/>
      <c r="M25" s="316">
        <f t="shared" si="1"/>
        <v>0</v>
      </c>
      <c r="N25" s="316">
        <f t="shared" si="1"/>
        <v>0</v>
      </c>
      <c r="O25" s="316">
        <f t="shared" si="2"/>
        <v>0</v>
      </c>
      <c r="Q25" s="108"/>
      <c r="R25" s="108"/>
    </row>
    <row r="26" spans="1:30" s="261" customFormat="1">
      <c r="A26" s="105" t="s">
        <v>71</v>
      </c>
      <c r="B26" s="57" t="s">
        <v>26</v>
      </c>
      <c r="C26" s="58">
        <f t="shared" si="4"/>
        <v>1000</v>
      </c>
      <c r="D26" s="58">
        <f>'Chi NSDP_trinh HDND'!E42</f>
        <v>1000</v>
      </c>
      <c r="E26" s="58"/>
      <c r="F26" s="58">
        <f t="shared" si="6"/>
        <v>2000</v>
      </c>
      <c r="G26" s="602">
        <f>'Chi NSDP_trinh HDND'!H42</f>
        <v>2000</v>
      </c>
      <c r="H26" s="602"/>
      <c r="I26" s="602"/>
      <c r="J26" s="602"/>
      <c r="K26" s="58"/>
      <c r="L26" s="58"/>
      <c r="M26" s="316">
        <f t="shared" si="1"/>
        <v>200</v>
      </c>
      <c r="N26" s="316">
        <f t="shared" si="1"/>
        <v>200</v>
      </c>
      <c r="O26" s="316">
        <f t="shared" si="2"/>
        <v>0</v>
      </c>
      <c r="Q26" s="108"/>
      <c r="R26" s="108"/>
    </row>
    <row r="27" spans="1:30" s="261" customFormat="1">
      <c r="A27" s="105" t="s">
        <v>96</v>
      </c>
      <c r="B27" s="57" t="s">
        <v>27</v>
      </c>
      <c r="C27" s="58">
        <f t="shared" si="4"/>
        <v>96738</v>
      </c>
      <c r="D27" s="58">
        <f>'Chi NSDP_trinh HDND'!E45</f>
        <v>45178</v>
      </c>
      <c r="E27" s="58">
        <f>'Chi NSDP_trinh HDND'!F45</f>
        <v>51560</v>
      </c>
      <c r="F27" s="58">
        <f t="shared" si="6"/>
        <v>0</v>
      </c>
      <c r="G27" s="602">
        <v>0</v>
      </c>
      <c r="H27" s="602"/>
      <c r="I27" s="602"/>
      <c r="J27" s="602">
        <v>0</v>
      </c>
      <c r="K27" s="58"/>
      <c r="L27" s="58"/>
      <c r="M27" s="316">
        <f t="shared" si="1"/>
        <v>0</v>
      </c>
      <c r="N27" s="316">
        <f t="shared" si="1"/>
        <v>0</v>
      </c>
      <c r="O27" s="316">
        <f t="shared" si="2"/>
        <v>0</v>
      </c>
      <c r="Q27" s="108"/>
      <c r="R27" s="108"/>
    </row>
    <row r="28" spans="1:30" s="261" customFormat="1">
      <c r="A28" s="105" t="s">
        <v>97</v>
      </c>
      <c r="B28" s="57" t="s">
        <v>28</v>
      </c>
      <c r="C28" s="58">
        <f t="shared" si="4"/>
        <v>14500</v>
      </c>
      <c r="D28" s="58">
        <f>'Chi NSDP_trinh HDND'!E46</f>
        <v>14500</v>
      </c>
      <c r="E28" s="58"/>
      <c r="F28" s="58">
        <f t="shared" si="6"/>
        <v>0</v>
      </c>
      <c r="G28" s="602">
        <v>0</v>
      </c>
      <c r="H28" s="602"/>
      <c r="I28" s="602"/>
      <c r="J28" s="602"/>
      <c r="K28" s="58"/>
      <c r="L28" s="58"/>
      <c r="M28" s="316">
        <f t="shared" si="1"/>
        <v>0</v>
      </c>
      <c r="N28" s="316">
        <f t="shared" si="1"/>
        <v>0</v>
      </c>
      <c r="O28" s="316">
        <f t="shared" si="2"/>
        <v>0</v>
      </c>
      <c r="Q28" s="108"/>
      <c r="R28" s="108"/>
    </row>
    <row r="29" spans="1:30" s="261" customFormat="1">
      <c r="A29" s="105" t="s">
        <v>8</v>
      </c>
      <c r="B29" s="57" t="s">
        <v>98</v>
      </c>
      <c r="C29" s="58">
        <f>C30+C33</f>
        <v>2524382.5232640002</v>
      </c>
      <c r="D29" s="58">
        <f>D30+D33</f>
        <v>2040064.5247300004</v>
      </c>
      <c r="E29" s="58">
        <f t="shared" ref="E29:M29" si="7">E30+E33</f>
        <v>484317.99853400001</v>
      </c>
      <c r="F29" s="58">
        <f>F30+F33</f>
        <v>1424955.7572849998</v>
      </c>
      <c r="G29" s="58">
        <f t="shared" ref="G29:J29" si="8">G30+G33</f>
        <v>971550.06864399998</v>
      </c>
      <c r="H29" s="58">
        <f t="shared" si="8"/>
        <v>0</v>
      </c>
      <c r="I29" s="58">
        <f t="shared" si="8"/>
        <v>0</v>
      </c>
      <c r="J29" s="58">
        <f t="shared" si="8"/>
        <v>453405.68864100007</v>
      </c>
      <c r="K29" s="58">
        <f t="shared" si="7"/>
        <v>0</v>
      </c>
      <c r="L29" s="58">
        <f t="shared" si="7"/>
        <v>0</v>
      </c>
      <c r="M29" s="607">
        <f t="shared" si="7"/>
        <v>152.55063130584361</v>
      </c>
      <c r="N29" s="316">
        <f>IF((D29&gt;0),G29/D29*100,0)</f>
        <v>47.623497044662514</v>
      </c>
      <c r="O29" s="316">
        <f t="shared" si="2"/>
        <v>93.617352651239571</v>
      </c>
      <c r="P29" s="637"/>
      <c r="Q29" s="600">
        <f>CTMTQG_CTMT2018!O10</f>
        <v>1424955.7572850001</v>
      </c>
      <c r="R29" s="108"/>
    </row>
    <row r="30" spans="1:30" s="261" customFormat="1">
      <c r="A30" s="105" t="s">
        <v>45</v>
      </c>
      <c r="B30" s="57" t="s">
        <v>31</v>
      </c>
      <c r="C30" s="58">
        <f>D30+E30</f>
        <v>385707</v>
      </c>
      <c r="D30" s="58">
        <f>D31+D32</f>
        <v>100595</v>
      </c>
      <c r="E30" s="58">
        <f>E31+E32</f>
        <v>285112</v>
      </c>
      <c r="F30" s="58">
        <f>F31+F32</f>
        <v>404330.12465000001</v>
      </c>
      <c r="G30" s="58">
        <f t="shared" ref="G30:L30" si="9">G31+G32</f>
        <v>109391.58300899999</v>
      </c>
      <c r="H30" s="58">
        <f t="shared" si="9"/>
        <v>0</v>
      </c>
      <c r="I30" s="58">
        <f t="shared" si="9"/>
        <v>0</v>
      </c>
      <c r="J30" s="58">
        <f t="shared" si="9"/>
        <v>294938.54164100002</v>
      </c>
      <c r="K30" s="58">
        <f t="shared" si="9"/>
        <v>0</v>
      </c>
      <c r="L30" s="58">
        <f t="shared" si="9"/>
        <v>0</v>
      </c>
      <c r="M30" s="455">
        <f>IF((C30&gt;0),F30/C30*100,0)</f>
        <v>104.82830870323848</v>
      </c>
      <c r="N30" s="316">
        <f>IF((D30&gt;0),G30/D30*100,0)</f>
        <v>108.74455291913117</v>
      </c>
      <c r="O30" s="316">
        <f t="shared" si="2"/>
        <v>103.44655491210473</v>
      </c>
      <c r="P30" s="637"/>
      <c r="Q30" s="352">
        <f>Q29-F29</f>
        <v>0</v>
      </c>
      <c r="R30" s="108"/>
    </row>
    <row r="31" spans="1:30" ht="40.5" customHeight="1">
      <c r="A31" s="106">
        <v>1</v>
      </c>
      <c r="B31" s="60" t="s">
        <v>169</v>
      </c>
      <c r="C31" s="61">
        <f>D31+E31</f>
        <v>127100</v>
      </c>
      <c r="D31" s="61">
        <v>2772</v>
      </c>
      <c r="E31" s="61">
        <v>124328</v>
      </c>
      <c r="F31" s="61">
        <f t="shared" si="6"/>
        <v>135796.07137200001</v>
      </c>
      <c r="G31" s="62">
        <f>CTMTQG_CTMT2018!R13+CTMTQG_CTMT2018!R178</f>
        <v>13603.197730999998</v>
      </c>
      <c r="H31" s="62"/>
      <c r="I31" s="62"/>
      <c r="J31" s="62">
        <f>CTMTQG_CTMT2018!U13+CTMTQG_CTMT2018!U178</f>
        <v>122192.87364100001</v>
      </c>
      <c r="K31" s="62"/>
      <c r="L31" s="62"/>
      <c r="M31" s="330">
        <f>IF((C31&gt;0),F31/C31*100,0)</f>
        <v>106.84191295987414</v>
      </c>
      <c r="N31" s="320">
        <f>IF((D31&gt;0),G31/D31*100,0)</f>
        <v>490.73584888167386</v>
      </c>
      <c r="O31" s="320">
        <f t="shared" si="2"/>
        <v>98.282666528054833</v>
      </c>
      <c r="P31" s="270"/>
      <c r="Q31" s="638"/>
    </row>
    <row r="32" spans="1:30" ht="34.5" customHeight="1">
      <c r="A32" s="106">
        <v>2</v>
      </c>
      <c r="B32" s="60" t="s">
        <v>170</v>
      </c>
      <c r="C32" s="61">
        <f>D32+E32</f>
        <v>258607</v>
      </c>
      <c r="D32" s="61">
        <v>97823</v>
      </c>
      <c r="E32" s="61">
        <v>160784</v>
      </c>
      <c r="F32" s="61">
        <f t="shared" si="6"/>
        <v>268534.05327799998</v>
      </c>
      <c r="G32" s="62">
        <f>CTMTQG_CTMT2018!R34+CTMTQG_CTMT2018!R139</f>
        <v>95788.385278000002</v>
      </c>
      <c r="H32" s="62"/>
      <c r="I32" s="62"/>
      <c r="J32" s="62">
        <f>CTMTQG_CTMT2018!U34+CTMTQG_CTMT2018!U139</f>
        <v>172745.66800000001</v>
      </c>
      <c r="K32" s="62"/>
      <c r="L32" s="62"/>
      <c r="M32" s="330"/>
      <c r="N32" s="320"/>
      <c r="O32" s="320"/>
    </row>
    <row r="33" spans="1:29" s="261" customFormat="1">
      <c r="A33" s="105" t="s">
        <v>29</v>
      </c>
      <c r="B33" s="57" t="s">
        <v>32</v>
      </c>
      <c r="C33" s="58">
        <f t="shared" ref="C33:J33" si="10">SUM(C34:C131)</f>
        <v>2138675.5232640002</v>
      </c>
      <c r="D33" s="58">
        <f t="shared" si="10"/>
        <v>1939469.5247300004</v>
      </c>
      <c r="E33" s="58">
        <f t="shared" si="10"/>
        <v>199205.99853400004</v>
      </c>
      <c r="F33" s="58">
        <f t="shared" si="10"/>
        <v>1020625.6326349997</v>
      </c>
      <c r="G33" s="58">
        <f t="shared" si="10"/>
        <v>862158.48563500005</v>
      </c>
      <c r="H33" s="58">
        <f t="shared" si="10"/>
        <v>0</v>
      </c>
      <c r="I33" s="58">
        <f t="shared" si="10"/>
        <v>0</v>
      </c>
      <c r="J33" s="58">
        <f t="shared" si="10"/>
        <v>158467.14700000003</v>
      </c>
      <c r="K33" s="602"/>
      <c r="L33" s="602"/>
      <c r="M33" s="316">
        <f t="shared" ref="M33:N36" si="11">IF((C33&gt;0),F33/C33*100,0)</f>
        <v>47.722322602605139</v>
      </c>
      <c r="N33" s="316">
        <f t="shared" si="11"/>
        <v>44.453314405908174</v>
      </c>
      <c r="O33" s="316">
        <f t="shared" ref="O33:O38" si="12">IF((E33&gt;0),J33/E33*100,0)</f>
        <v>79.549385142111177</v>
      </c>
      <c r="P33" s="309">
        <f>Q33+R33</f>
        <v>1020625.6326349999</v>
      </c>
      <c r="Q33" s="600">
        <f>CTMTQG_CTMT2018!R183+CTMTQG_CTMT2018!R234+CTMTQG_CTMT2018!R583</f>
        <v>862158.48563499993</v>
      </c>
      <c r="R33" s="352">
        <f>CTMTQG_CTMT2018!U183+CTMTQG_CTMT2018!U234+CTMTQG_CTMT2018!U583</f>
        <v>158467.147</v>
      </c>
      <c r="S33" s="254"/>
    </row>
    <row r="34" spans="1:29" ht="31.2">
      <c r="A34" s="541">
        <v>1</v>
      </c>
      <c r="B34" s="626" t="s">
        <v>2294</v>
      </c>
      <c r="C34" s="61">
        <f>D34+E34</f>
        <v>163163.36790300003</v>
      </c>
      <c r="D34" s="61">
        <v>163163.36790300003</v>
      </c>
      <c r="E34" s="61">
        <v>0</v>
      </c>
      <c r="F34" s="61">
        <v>160591.00545600001</v>
      </c>
      <c r="G34" s="62">
        <v>160591.00545600001</v>
      </c>
      <c r="H34" s="62"/>
      <c r="I34" s="62"/>
      <c r="J34" s="62">
        <v>0</v>
      </c>
      <c r="K34" s="61"/>
      <c r="L34" s="61"/>
      <c r="M34" s="320">
        <f t="shared" si="11"/>
        <v>98.423443644207396</v>
      </c>
      <c r="N34" s="320">
        <f t="shared" si="11"/>
        <v>98.423443644207396</v>
      </c>
      <c r="O34" s="320">
        <f t="shared" si="12"/>
        <v>0</v>
      </c>
      <c r="P34" s="256">
        <f>C33-'62_QT'!C32</f>
        <v>557540.52326400019</v>
      </c>
      <c r="U34" s="270"/>
      <c r="V34" s="270"/>
      <c r="W34" s="270"/>
      <c r="X34" s="270"/>
      <c r="Z34" s="256"/>
      <c r="AA34" s="256"/>
      <c r="AB34" s="256"/>
      <c r="AC34" s="256"/>
    </row>
    <row r="35" spans="1:29" ht="31.2">
      <c r="A35" s="541">
        <v>2</v>
      </c>
      <c r="B35" s="626" t="s">
        <v>423</v>
      </c>
      <c r="C35" s="61">
        <f t="shared" ref="C35:C98" si="13">D35+E35</f>
        <v>66379.988005000007</v>
      </c>
      <c r="D35" s="61">
        <v>66379.988005000007</v>
      </c>
      <c r="E35" s="61">
        <v>0</v>
      </c>
      <c r="F35" s="61">
        <f>G35+J35</f>
        <v>50000</v>
      </c>
      <c r="G35" s="62">
        <v>50000</v>
      </c>
      <c r="H35" s="62"/>
      <c r="I35" s="62"/>
      <c r="J35" s="62">
        <v>0</v>
      </c>
      <c r="K35" s="61"/>
      <c r="L35" s="61"/>
      <c r="M35" s="320">
        <f t="shared" si="11"/>
        <v>75.323906349958662</v>
      </c>
      <c r="N35" s="320">
        <f t="shared" si="11"/>
        <v>75.323906349958662</v>
      </c>
      <c r="O35" s="320">
        <f t="shared" si="12"/>
        <v>0</v>
      </c>
      <c r="U35" s="270"/>
      <c r="V35" s="270"/>
      <c r="W35" s="270"/>
      <c r="X35" s="270"/>
      <c r="Z35" s="256"/>
      <c r="AA35" s="256"/>
      <c r="AB35" s="256"/>
      <c r="AC35" s="256"/>
    </row>
    <row r="36" spans="1:29">
      <c r="A36" s="541">
        <v>3</v>
      </c>
      <c r="B36" s="626" t="s">
        <v>426</v>
      </c>
      <c r="C36" s="61">
        <f t="shared" si="13"/>
        <v>2300</v>
      </c>
      <c r="D36" s="61">
        <v>2300</v>
      </c>
      <c r="E36" s="61">
        <v>0</v>
      </c>
      <c r="F36" s="61">
        <f t="shared" ref="F36:F99" si="14">G36+J36</f>
        <v>1970.2950000000001</v>
      </c>
      <c r="G36" s="62">
        <v>1970.2950000000001</v>
      </c>
      <c r="H36" s="62"/>
      <c r="I36" s="62"/>
      <c r="J36" s="62">
        <v>0</v>
      </c>
      <c r="K36" s="61"/>
      <c r="L36" s="61"/>
      <c r="M36" s="320">
        <f t="shared" si="11"/>
        <v>85.665000000000006</v>
      </c>
      <c r="N36" s="320">
        <f t="shared" si="11"/>
        <v>85.665000000000006</v>
      </c>
      <c r="O36" s="320">
        <f t="shared" si="12"/>
        <v>0</v>
      </c>
      <c r="U36" s="270"/>
      <c r="V36" s="270"/>
      <c r="W36" s="270"/>
      <c r="X36" s="270"/>
      <c r="Z36" s="256"/>
      <c r="AA36" s="256"/>
      <c r="AB36" s="256"/>
      <c r="AC36" s="256"/>
    </row>
    <row r="37" spans="1:29">
      <c r="A37" s="541">
        <v>4</v>
      </c>
      <c r="B37" s="626" t="s">
        <v>2295</v>
      </c>
      <c r="C37" s="61">
        <f t="shared" si="13"/>
        <v>1413.870539</v>
      </c>
      <c r="D37" s="61">
        <f>1263.878539+149.992</f>
        <v>1413.870539</v>
      </c>
      <c r="E37" s="61">
        <v>0</v>
      </c>
      <c r="F37" s="61">
        <f t="shared" si="14"/>
        <v>0</v>
      </c>
      <c r="G37" s="62">
        <v>0</v>
      </c>
      <c r="H37" s="62"/>
      <c r="I37" s="62"/>
      <c r="J37" s="62">
        <v>0</v>
      </c>
      <c r="K37" s="61"/>
      <c r="L37" s="61"/>
      <c r="M37" s="320">
        <f>IF((C37&gt;0),F37/C37*100,0)</f>
        <v>0</v>
      </c>
      <c r="N37" s="320">
        <f>IF((D37&gt;0),G37/D37*100,0)</f>
        <v>0</v>
      </c>
      <c r="O37" s="320">
        <f t="shared" si="12"/>
        <v>0</v>
      </c>
      <c r="U37" s="270"/>
      <c r="V37" s="270"/>
      <c r="W37" s="270"/>
      <c r="X37" s="270"/>
      <c r="Z37" s="256"/>
      <c r="AA37" s="256"/>
      <c r="AB37" s="256"/>
      <c r="AC37" s="256"/>
    </row>
    <row r="38" spans="1:29" ht="31.2">
      <c r="A38" s="541">
        <v>5</v>
      </c>
      <c r="B38" s="626" t="s">
        <v>431</v>
      </c>
      <c r="C38" s="61">
        <f t="shared" si="13"/>
        <v>34889.837006000002</v>
      </c>
      <c r="D38" s="61">
        <v>34889.837006000002</v>
      </c>
      <c r="E38" s="61">
        <v>0</v>
      </c>
      <c r="F38" s="61">
        <f t="shared" si="14"/>
        <v>34769.975722000003</v>
      </c>
      <c r="G38" s="62">
        <v>34769.975722000003</v>
      </c>
      <c r="H38" s="62"/>
      <c r="I38" s="62"/>
      <c r="J38" s="62">
        <v>0</v>
      </c>
      <c r="K38" s="61"/>
      <c r="L38" s="61"/>
      <c r="M38" s="320">
        <f>IF((C38&gt;0),F38/C38*100,0)</f>
        <v>99.656457884915355</v>
      </c>
      <c r="N38" s="320">
        <f>IF((D38&gt;0),G38/D38*100,0)</f>
        <v>99.656457884915355</v>
      </c>
      <c r="O38" s="320">
        <f t="shared" si="12"/>
        <v>0</v>
      </c>
      <c r="U38" s="270"/>
      <c r="V38" s="270"/>
      <c r="W38" s="270"/>
      <c r="X38" s="270"/>
      <c r="Z38" s="256"/>
      <c r="AA38" s="256"/>
      <c r="AB38" s="256"/>
      <c r="AC38" s="256"/>
    </row>
    <row r="39" spans="1:29" ht="31.2">
      <c r="A39" s="541">
        <v>6</v>
      </c>
      <c r="B39" s="626" t="s">
        <v>432</v>
      </c>
      <c r="C39" s="61">
        <f t="shared" si="13"/>
        <v>10000</v>
      </c>
      <c r="D39" s="61">
        <v>10000</v>
      </c>
      <c r="E39" s="61">
        <v>0</v>
      </c>
      <c r="F39" s="61">
        <f t="shared" si="14"/>
        <v>10000</v>
      </c>
      <c r="G39" s="62">
        <v>10000</v>
      </c>
      <c r="H39" s="62"/>
      <c r="I39" s="62"/>
      <c r="J39" s="62">
        <v>0</v>
      </c>
      <c r="K39" s="61"/>
      <c r="L39" s="61"/>
      <c r="M39" s="320"/>
      <c r="N39" s="320"/>
      <c r="O39" s="320"/>
      <c r="U39" s="270"/>
      <c r="V39" s="270"/>
      <c r="W39" s="270"/>
      <c r="X39" s="270"/>
      <c r="Z39" s="256"/>
      <c r="AA39" s="256"/>
      <c r="AB39" s="256"/>
      <c r="AC39" s="256"/>
    </row>
    <row r="40" spans="1:29">
      <c r="A40" s="541">
        <v>7</v>
      </c>
      <c r="B40" s="626" t="s">
        <v>433</v>
      </c>
      <c r="C40" s="61">
        <f t="shared" si="13"/>
        <v>220</v>
      </c>
      <c r="D40" s="61">
        <v>220</v>
      </c>
      <c r="E40" s="61">
        <v>0</v>
      </c>
      <c r="F40" s="61">
        <f t="shared" si="14"/>
        <v>0</v>
      </c>
      <c r="G40" s="62">
        <v>0</v>
      </c>
      <c r="H40" s="62"/>
      <c r="I40" s="62"/>
      <c r="J40" s="62">
        <v>0</v>
      </c>
      <c r="K40" s="61"/>
      <c r="L40" s="61"/>
      <c r="M40" s="320"/>
      <c r="N40" s="320"/>
      <c r="O40" s="320"/>
      <c r="U40" s="270"/>
      <c r="V40" s="270"/>
      <c r="W40" s="270"/>
      <c r="X40" s="270"/>
      <c r="Z40" s="256"/>
      <c r="AA40" s="256"/>
      <c r="AB40" s="256"/>
      <c r="AC40" s="256"/>
    </row>
    <row r="41" spans="1:29">
      <c r="A41" s="541">
        <v>8</v>
      </c>
      <c r="B41" s="626" t="s">
        <v>434</v>
      </c>
      <c r="C41" s="61">
        <f t="shared" si="13"/>
        <v>297.52256899999975</v>
      </c>
      <c r="D41" s="61">
        <v>297.52256899999975</v>
      </c>
      <c r="E41" s="61">
        <v>0</v>
      </c>
      <c r="F41" s="61">
        <f t="shared" si="14"/>
        <v>170.40199999999999</v>
      </c>
      <c r="G41" s="62">
        <v>170.40199999999999</v>
      </c>
      <c r="H41" s="62"/>
      <c r="I41" s="62"/>
      <c r="J41" s="62">
        <v>0</v>
      </c>
      <c r="K41" s="61"/>
      <c r="L41" s="61"/>
      <c r="M41" s="320">
        <f t="shared" ref="M41:N43" si="15">IF((C41&gt;0),F41/C41*100,0)</f>
        <v>57.273638289940997</v>
      </c>
      <c r="N41" s="320">
        <f t="shared" si="15"/>
        <v>57.273638289940997</v>
      </c>
      <c r="O41" s="320">
        <f>IF((E41&gt;0),J41/E41*100,0)</f>
        <v>0</v>
      </c>
      <c r="U41" s="270"/>
      <c r="V41" s="270"/>
      <c r="W41" s="270"/>
      <c r="X41" s="270"/>
      <c r="Z41" s="256"/>
      <c r="AA41" s="256"/>
      <c r="AB41" s="256"/>
      <c r="AC41" s="256"/>
    </row>
    <row r="42" spans="1:29">
      <c r="A42" s="541">
        <v>9</v>
      </c>
      <c r="B42" s="626" t="s">
        <v>436</v>
      </c>
      <c r="C42" s="61">
        <f t="shared" si="13"/>
        <v>28482.265282</v>
      </c>
      <c r="D42" s="61">
        <v>28482.265282</v>
      </c>
      <c r="E42" s="61">
        <v>0</v>
      </c>
      <c r="F42" s="61">
        <f t="shared" si="14"/>
        <v>28167.762179000001</v>
      </c>
      <c r="G42" s="62">
        <v>28167.762179000001</v>
      </c>
      <c r="H42" s="62"/>
      <c r="I42" s="62"/>
      <c r="J42" s="62">
        <v>0</v>
      </c>
      <c r="K42" s="61"/>
      <c r="L42" s="61"/>
      <c r="M42" s="320">
        <f t="shared" si="15"/>
        <v>98.895793224709706</v>
      </c>
      <c r="N42" s="320">
        <f t="shared" si="15"/>
        <v>98.895793224709706</v>
      </c>
      <c r="O42" s="320">
        <f>IF((E42&gt;0),J42/E42*100,0)</f>
        <v>0</v>
      </c>
      <c r="U42" s="270"/>
      <c r="V42" s="270"/>
      <c r="W42" s="270"/>
      <c r="X42" s="270"/>
      <c r="Z42" s="256"/>
      <c r="AA42" s="256"/>
      <c r="AB42" s="256"/>
      <c r="AC42" s="256"/>
    </row>
    <row r="43" spans="1:29">
      <c r="A43" s="541">
        <v>10</v>
      </c>
      <c r="B43" s="626" t="s">
        <v>437</v>
      </c>
      <c r="C43" s="61">
        <f t="shared" si="13"/>
        <v>3451.6869999999999</v>
      </c>
      <c r="D43" s="61">
        <v>3451.6869999999999</v>
      </c>
      <c r="E43" s="61">
        <v>0</v>
      </c>
      <c r="F43" s="61">
        <f t="shared" si="14"/>
        <v>3391.9689499999999</v>
      </c>
      <c r="G43" s="62">
        <v>3391.9689499999999</v>
      </c>
      <c r="H43" s="62"/>
      <c r="I43" s="62"/>
      <c r="J43" s="62">
        <v>0</v>
      </c>
      <c r="K43" s="61"/>
      <c r="L43" s="61"/>
      <c r="M43" s="320">
        <f t="shared" si="15"/>
        <v>98.269888028665406</v>
      </c>
      <c r="N43" s="320">
        <f t="shared" si="15"/>
        <v>98.269888028665406</v>
      </c>
      <c r="O43" s="320">
        <f>IF((E43&gt;0),J43/E43*100,0)</f>
        <v>0</v>
      </c>
      <c r="U43" s="270"/>
      <c r="V43" s="270"/>
      <c r="W43" s="270"/>
      <c r="X43" s="270"/>
      <c r="Z43" s="256"/>
      <c r="AA43" s="256"/>
      <c r="AB43" s="256"/>
      <c r="AC43" s="256"/>
    </row>
    <row r="44" spans="1:29">
      <c r="A44" s="541">
        <v>11</v>
      </c>
      <c r="B44" s="626" t="s">
        <v>439</v>
      </c>
      <c r="C44" s="61">
        <f t="shared" si="13"/>
        <v>37.5</v>
      </c>
      <c r="D44" s="61">
        <v>37.5</v>
      </c>
      <c r="E44" s="61">
        <v>0</v>
      </c>
      <c r="F44" s="61">
        <f t="shared" si="14"/>
        <v>0</v>
      </c>
      <c r="G44" s="62">
        <v>0</v>
      </c>
      <c r="H44" s="62"/>
      <c r="I44" s="62"/>
      <c r="J44" s="62">
        <v>0</v>
      </c>
      <c r="K44" s="61"/>
      <c r="L44" s="61"/>
      <c r="M44" s="320"/>
      <c r="N44" s="320"/>
      <c r="O44" s="320"/>
      <c r="U44" s="270"/>
      <c r="V44" s="270"/>
      <c r="W44" s="270"/>
      <c r="X44" s="270"/>
      <c r="Z44" s="256"/>
      <c r="AA44" s="256"/>
      <c r="AB44" s="256"/>
      <c r="AC44" s="256"/>
    </row>
    <row r="45" spans="1:29">
      <c r="A45" s="541">
        <v>12</v>
      </c>
      <c r="B45" s="626" t="s">
        <v>2296</v>
      </c>
      <c r="C45" s="61">
        <f t="shared" si="13"/>
        <v>2587.8010000000004</v>
      </c>
      <c r="D45" s="61">
        <v>2587.8010000000004</v>
      </c>
      <c r="E45" s="61">
        <v>0</v>
      </c>
      <c r="F45" s="61">
        <f t="shared" si="14"/>
        <v>1630.539</v>
      </c>
      <c r="G45" s="62">
        <v>1630.539</v>
      </c>
      <c r="H45" s="62"/>
      <c r="I45" s="62"/>
      <c r="J45" s="62">
        <v>0</v>
      </c>
      <c r="K45" s="61"/>
      <c r="L45" s="61"/>
      <c r="M45" s="320"/>
      <c r="N45" s="320"/>
      <c r="O45" s="320"/>
      <c r="U45" s="270"/>
      <c r="V45" s="270"/>
      <c r="W45" s="270"/>
      <c r="X45" s="270"/>
      <c r="Z45" s="256"/>
      <c r="AA45" s="256"/>
      <c r="AB45" s="256"/>
      <c r="AC45" s="256"/>
    </row>
    <row r="46" spans="1:29">
      <c r="A46" s="541">
        <v>13</v>
      </c>
      <c r="B46" s="626" t="s">
        <v>2297</v>
      </c>
      <c r="C46" s="61">
        <f t="shared" si="13"/>
        <v>42159.958999999995</v>
      </c>
      <c r="D46" s="61">
        <v>42159.958999999995</v>
      </c>
      <c r="E46" s="61">
        <v>0</v>
      </c>
      <c r="F46" s="61">
        <f t="shared" si="14"/>
        <v>0</v>
      </c>
      <c r="G46" s="62">
        <v>0</v>
      </c>
      <c r="H46" s="62"/>
      <c r="I46" s="62"/>
      <c r="J46" s="62">
        <v>0</v>
      </c>
      <c r="K46" s="61"/>
      <c r="L46" s="61"/>
      <c r="M46" s="320">
        <f t="shared" ref="M46:N52" si="16">IF((C46&gt;0),F46/C46*100,0)</f>
        <v>0</v>
      </c>
      <c r="N46" s="320">
        <f t="shared" si="16"/>
        <v>0</v>
      </c>
      <c r="O46" s="320">
        <f t="shared" ref="O46:O52" si="17">IF((E46&gt;0),J46/E46*100,0)</f>
        <v>0</v>
      </c>
      <c r="U46" s="270"/>
      <c r="V46" s="270"/>
      <c r="W46" s="270"/>
      <c r="X46" s="270"/>
      <c r="Z46" s="256"/>
      <c r="AA46" s="256"/>
      <c r="AB46" s="256"/>
      <c r="AC46" s="256"/>
    </row>
    <row r="47" spans="1:29" ht="31.2">
      <c r="A47" s="541">
        <v>14</v>
      </c>
      <c r="B47" s="626" t="s">
        <v>443</v>
      </c>
      <c r="C47" s="61">
        <f t="shared" si="13"/>
        <v>394.88400000000001</v>
      </c>
      <c r="D47" s="61">
        <v>394.88400000000001</v>
      </c>
      <c r="E47" s="61">
        <v>0</v>
      </c>
      <c r="F47" s="61">
        <f t="shared" si="14"/>
        <v>0</v>
      </c>
      <c r="G47" s="62">
        <v>0</v>
      </c>
      <c r="H47" s="62"/>
      <c r="I47" s="62"/>
      <c r="J47" s="62">
        <v>0</v>
      </c>
      <c r="K47" s="61"/>
      <c r="L47" s="61"/>
      <c r="M47" s="320">
        <f t="shared" si="16"/>
        <v>0</v>
      </c>
      <c r="N47" s="320">
        <f t="shared" si="16"/>
        <v>0</v>
      </c>
      <c r="O47" s="320">
        <f t="shared" si="17"/>
        <v>0</v>
      </c>
      <c r="U47" s="270"/>
      <c r="V47" s="270"/>
      <c r="W47" s="270"/>
      <c r="X47" s="270"/>
      <c r="Z47" s="256"/>
      <c r="AA47" s="256"/>
      <c r="AB47" s="256"/>
      <c r="AC47" s="256"/>
    </row>
    <row r="48" spans="1:29">
      <c r="A48" s="541">
        <v>15</v>
      </c>
      <c r="B48" s="626" t="s">
        <v>2151</v>
      </c>
      <c r="C48" s="61">
        <f t="shared" si="13"/>
        <v>597645</v>
      </c>
      <c r="D48" s="61">
        <v>597645</v>
      </c>
      <c r="E48" s="61">
        <v>0</v>
      </c>
      <c r="F48" s="61">
        <f t="shared" si="14"/>
        <v>15451.897999999999</v>
      </c>
      <c r="G48" s="62">
        <v>15451.897999999999</v>
      </c>
      <c r="H48" s="62"/>
      <c r="I48" s="62"/>
      <c r="J48" s="62">
        <v>0</v>
      </c>
      <c r="K48" s="61"/>
      <c r="L48" s="61"/>
      <c r="M48" s="320">
        <f t="shared" si="16"/>
        <v>2.5854642806348247</v>
      </c>
      <c r="N48" s="320">
        <f t="shared" si="16"/>
        <v>2.5854642806348247</v>
      </c>
      <c r="O48" s="320">
        <f t="shared" si="17"/>
        <v>0</v>
      </c>
      <c r="U48" s="270"/>
      <c r="V48" s="270"/>
      <c r="W48" s="270"/>
      <c r="X48" s="270"/>
      <c r="Z48" s="256"/>
      <c r="AA48" s="256"/>
      <c r="AB48" s="256"/>
      <c r="AC48" s="256"/>
    </row>
    <row r="49" spans="1:29" ht="31.2">
      <c r="A49" s="541">
        <v>16</v>
      </c>
      <c r="B49" s="626" t="s">
        <v>2152</v>
      </c>
      <c r="C49" s="61">
        <f t="shared" si="13"/>
        <v>26733</v>
      </c>
      <c r="D49" s="61">
        <v>0</v>
      </c>
      <c r="E49" s="61">
        <v>26733</v>
      </c>
      <c r="F49" s="61">
        <f t="shared" si="14"/>
        <v>26570</v>
      </c>
      <c r="G49" s="62">
        <v>0</v>
      </c>
      <c r="H49" s="62"/>
      <c r="I49" s="62"/>
      <c r="J49" s="62">
        <v>26570</v>
      </c>
      <c r="K49" s="61"/>
      <c r="L49" s="61"/>
      <c r="M49" s="320">
        <f t="shared" si="16"/>
        <v>99.390266711555014</v>
      </c>
      <c r="N49" s="320">
        <f t="shared" si="16"/>
        <v>0</v>
      </c>
      <c r="O49" s="320">
        <f t="shared" si="17"/>
        <v>99.390266711555014</v>
      </c>
      <c r="U49" s="270"/>
      <c r="V49" s="270"/>
      <c r="W49" s="270"/>
      <c r="X49" s="270"/>
      <c r="Z49" s="256"/>
      <c r="AA49" s="256"/>
      <c r="AB49" s="256"/>
      <c r="AC49" s="256"/>
    </row>
    <row r="50" spans="1:29" ht="31.2">
      <c r="A50" s="541">
        <v>17</v>
      </c>
      <c r="B50" s="627" t="s">
        <v>446</v>
      </c>
      <c r="C50" s="61">
        <f t="shared" si="13"/>
        <v>222.68900000000005</v>
      </c>
      <c r="D50" s="61">
        <v>222.68900000000005</v>
      </c>
      <c r="E50" s="61">
        <v>0</v>
      </c>
      <c r="F50" s="61">
        <f t="shared" si="14"/>
        <v>0</v>
      </c>
      <c r="G50" s="62">
        <v>0</v>
      </c>
      <c r="H50" s="62"/>
      <c r="I50" s="62"/>
      <c r="J50" s="62">
        <v>0</v>
      </c>
      <c r="K50" s="61"/>
      <c r="L50" s="61"/>
      <c r="M50" s="320">
        <f t="shared" si="16"/>
        <v>0</v>
      </c>
      <c r="N50" s="320">
        <f t="shared" si="16"/>
        <v>0</v>
      </c>
      <c r="O50" s="320">
        <f t="shared" si="17"/>
        <v>0</v>
      </c>
      <c r="U50" s="270"/>
      <c r="V50" s="270"/>
      <c r="W50" s="270"/>
      <c r="X50" s="270"/>
      <c r="Z50" s="256"/>
      <c r="AA50" s="256"/>
      <c r="AB50" s="256"/>
      <c r="AC50" s="256"/>
    </row>
    <row r="51" spans="1:29" ht="31.2">
      <c r="A51" s="541">
        <v>18</v>
      </c>
      <c r="B51" s="627" t="s">
        <v>454</v>
      </c>
      <c r="C51" s="61">
        <f t="shared" si="13"/>
        <v>64500</v>
      </c>
      <c r="D51" s="61">
        <v>64500</v>
      </c>
      <c r="E51" s="61">
        <v>0</v>
      </c>
      <c r="F51" s="61">
        <f t="shared" si="14"/>
        <v>24905.83</v>
      </c>
      <c r="G51" s="62">
        <v>24905.83</v>
      </c>
      <c r="H51" s="62"/>
      <c r="I51" s="62"/>
      <c r="J51" s="62">
        <v>0</v>
      </c>
      <c r="K51" s="61"/>
      <c r="L51" s="61"/>
      <c r="M51" s="320">
        <f t="shared" si="16"/>
        <v>38.613689922480617</v>
      </c>
      <c r="N51" s="320">
        <f t="shared" si="16"/>
        <v>38.613689922480617</v>
      </c>
      <c r="O51" s="320">
        <f t="shared" si="17"/>
        <v>0</v>
      </c>
      <c r="U51" s="270"/>
      <c r="V51" s="270"/>
      <c r="W51" s="270"/>
      <c r="X51" s="270"/>
      <c r="Z51" s="256"/>
      <c r="AA51" s="256"/>
      <c r="AB51" s="256"/>
      <c r="AC51" s="256"/>
    </row>
    <row r="52" spans="1:29" ht="46.8" collapsed="1">
      <c r="A52" s="541">
        <v>19</v>
      </c>
      <c r="B52" s="627" t="s">
        <v>447</v>
      </c>
      <c r="C52" s="61">
        <f t="shared" si="13"/>
        <v>197794</v>
      </c>
      <c r="D52" s="61">
        <v>197794</v>
      </c>
      <c r="E52" s="61">
        <v>0</v>
      </c>
      <c r="F52" s="61">
        <f t="shared" si="14"/>
        <v>143105.01</v>
      </c>
      <c r="G52" s="62">
        <v>143105.01</v>
      </c>
      <c r="H52" s="62"/>
      <c r="I52" s="62"/>
      <c r="J52" s="62">
        <v>0</v>
      </c>
      <c r="K52" s="61"/>
      <c r="L52" s="61"/>
      <c r="M52" s="320">
        <f t="shared" si="16"/>
        <v>72.35053136091085</v>
      </c>
      <c r="N52" s="320">
        <f t="shared" si="16"/>
        <v>72.35053136091085</v>
      </c>
      <c r="O52" s="320">
        <f t="shared" si="17"/>
        <v>0</v>
      </c>
      <c r="U52" s="270"/>
      <c r="V52" s="270"/>
      <c r="W52" s="270"/>
      <c r="X52" s="270"/>
      <c r="Z52" s="256"/>
      <c r="AA52" s="256"/>
      <c r="AB52" s="256"/>
      <c r="AC52" s="256"/>
    </row>
    <row r="53" spans="1:29" ht="31.2">
      <c r="A53" s="541">
        <v>20</v>
      </c>
      <c r="B53" s="627" t="s">
        <v>448</v>
      </c>
      <c r="C53" s="61">
        <f t="shared" si="13"/>
        <v>95816</v>
      </c>
      <c r="D53" s="61">
        <v>95816</v>
      </c>
      <c r="E53" s="61">
        <v>0</v>
      </c>
      <c r="F53" s="61">
        <f t="shared" si="14"/>
        <v>54805.15</v>
      </c>
      <c r="G53" s="62">
        <v>54805.15</v>
      </c>
      <c r="H53" s="62"/>
      <c r="I53" s="62"/>
      <c r="J53" s="62">
        <v>0</v>
      </c>
      <c r="K53" s="61"/>
      <c r="L53" s="61"/>
      <c r="M53" s="320"/>
      <c r="N53" s="320"/>
      <c r="O53" s="320"/>
      <c r="U53" s="270"/>
      <c r="V53" s="270"/>
      <c r="W53" s="270"/>
      <c r="X53" s="270"/>
      <c r="Z53" s="256"/>
      <c r="AA53" s="256"/>
      <c r="AB53" s="256"/>
      <c r="AC53" s="256"/>
    </row>
    <row r="54" spans="1:29" ht="31.2" collapsed="1">
      <c r="A54" s="541">
        <v>21</v>
      </c>
      <c r="B54" s="628" t="s">
        <v>450</v>
      </c>
      <c r="C54" s="61">
        <f t="shared" si="13"/>
        <v>16709.861000000001</v>
      </c>
      <c r="D54" s="61">
        <v>16709.861000000001</v>
      </c>
      <c r="E54" s="61">
        <v>0</v>
      </c>
      <c r="F54" s="61">
        <f t="shared" si="14"/>
        <v>9160.1440000000002</v>
      </c>
      <c r="G54" s="62">
        <v>9160.1440000000002</v>
      </c>
      <c r="H54" s="62"/>
      <c r="I54" s="62"/>
      <c r="J54" s="62">
        <v>0</v>
      </c>
      <c r="K54" s="61"/>
      <c r="L54" s="61"/>
      <c r="M54" s="320"/>
      <c r="N54" s="320"/>
      <c r="O54" s="320"/>
      <c r="U54" s="270"/>
      <c r="V54" s="270"/>
      <c r="W54" s="270"/>
      <c r="X54" s="270"/>
      <c r="Z54" s="256"/>
      <c r="AA54" s="256"/>
      <c r="AB54" s="256"/>
      <c r="AC54" s="256"/>
    </row>
    <row r="55" spans="1:29">
      <c r="A55" s="541">
        <v>22</v>
      </c>
      <c r="B55" s="628" t="s">
        <v>2300</v>
      </c>
      <c r="C55" s="61">
        <f t="shared" si="13"/>
        <v>1974.1979999999999</v>
      </c>
      <c r="D55" s="61">
        <v>1974.1979999999999</v>
      </c>
      <c r="E55" s="61">
        <v>0</v>
      </c>
      <c r="F55" s="61">
        <f t="shared" si="14"/>
        <v>1939.2860000000001</v>
      </c>
      <c r="G55" s="62">
        <v>1939.2860000000001</v>
      </c>
      <c r="H55" s="62"/>
      <c r="I55" s="62"/>
      <c r="J55" s="62">
        <v>0</v>
      </c>
      <c r="K55" s="61"/>
      <c r="L55" s="61"/>
      <c r="M55" s="320"/>
      <c r="N55" s="320"/>
      <c r="O55" s="320"/>
      <c r="U55" s="270"/>
      <c r="V55" s="270"/>
      <c r="W55" s="270"/>
      <c r="X55" s="270"/>
      <c r="Z55" s="256"/>
      <c r="AA55" s="256"/>
      <c r="AB55" s="256"/>
      <c r="AC55" s="256"/>
    </row>
    <row r="56" spans="1:29" collapsed="1">
      <c r="A56" s="541">
        <v>23</v>
      </c>
      <c r="B56" s="628" t="s">
        <v>452</v>
      </c>
      <c r="C56" s="61">
        <f t="shared" si="13"/>
        <v>25000</v>
      </c>
      <c r="D56" s="61">
        <v>25000</v>
      </c>
      <c r="E56" s="61">
        <v>0</v>
      </c>
      <c r="F56" s="61">
        <f t="shared" si="14"/>
        <v>24864.842407</v>
      </c>
      <c r="G56" s="62">
        <v>24864.842407</v>
      </c>
      <c r="H56" s="62"/>
      <c r="I56" s="62"/>
      <c r="J56" s="62">
        <v>0</v>
      </c>
      <c r="K56" s="61"/>
      <c r="L56" s="61"/>
      <c r="M56" s="320"/>
      <c r="N56" s="320"/>
      <c r="O56" s="320"/>
      <c r="U56" s="270"/>
      <c r="V56" s="270"/>
      <c r="W56" s="270"/>
      <c r="X56" s="270"/>
      <c r="Z56" s="256"/>
      <c r="AA56" s="256"/>
      <c r="AB56" s="256"/>
      <c r="AC56" s="256"/>
    </row>
    <row r="57" spans="1:29">
      <c r="A57" s="541">
        <v>24</v>
      </c>
      <c r="B57" s="628" t="s">
        <v>453</v>
      </c>
      <c r="C57" s="61">
        <f t="shared" si="13"/>
        <v>83190.320000000007</v>
      </c>
      <c r="D57" s="61">
        <v>83190.320000000007</v>
      </c>
      <c r="E57" s="61">
        <v>0</v>
      </c>
      <c r="F57" s="61">
        <f t="shared" si="14"/>
        <v>56191.851769999994</v>
      </c>
      <c r="G57" s="62">
        <v>56191.851769999994</v>
      </c>
      <c r="H57" s="62"/>
      <c r="I57" s="62"/>
      <c r="J57" s="62">
        <v>0</v>
      </c>
      <c r="K57" s="61"/>
      <c r="L57" s="61"/>
      <c r="M57" s="320"/>
      <c r="N57" s="320"/>
      <c r="O57" s="320"/>
      <c r="U57" s="270"/>
      <c r="V57" s="270"/>
      <c r="W57" s="270"/>
      <c r="X57" s="270"/>
      <c r="Z57" s="256"/>
      <c r="AA57" s="256"/>
      <c r="AB57" s="256"/>
      <c r="AC57" s="256"/>
    </row>
    <row r="58" spans="1:29" ht="31.2">
      <c r="A58" s="541">
        <v>25</v>
      </c>
      <c r="B58" s="628" t="s">
        <v>2298</v>
      </c>
      <c r="C58" s="61">
        <f t="shared" si="13"/>
        <v>4045.4252809999998</v>
      </c>
      <c r="D58" s="61">
        <v>4045.4252809999998</v>
      </c>
      <c r="E58" s="61">
        <v>0</v>
      </c>
      <c r="F58" s="61">
        <f t="shared" si="14"/>
        <v>1383.0070000000001</v>
      </c>
      <c r="G58" s="62">
        <v>1383.0070000000001</v>
      </c>
      <c r="H58" s="62"/>
      <c r="I58" s="62"/>
      <c r="J58" s="62">
        <v>0</v>
      </c>
      <c r="K58" s="61"/>
      <c r="L58" s="61"/>
      <c r="M58" s="320">
        <f t="shared" ref="M58:N104" si="18">IF((C58&gt;0),F58/C58*100,0)</f>
        <v>34.186937192871127</v>
      </c>
      <c r="N58" s="320">
        <f t="shared" si="18"/>
        <v>34.186937192871127</v>
      </c>
      <c r="O58" s="320">
        <f t="shared" ref="O58:O106" si="19">IF((E58&gt;0),J58/E58*100,0)</f>
        <v>0</v>
      </c>
      <c r="U58" s="270"/>
      <c r="V58" s="270"/>
      <c r="W58" s="270"/>
      <c r="X58" s="270"/>
      <c r="Z58" s="256"/>
      <c r="AA58" s="256"/>
      <c r="AB58" s="256"/>
      <c r="AC58" s="256"/>
    </row>
    <row r="59" spans="1:29" ht="20.25" customHeight="1">
      <c r="A59" s="541">
        <v>26</v>
      </c>
      <c r="B59" s="628" t="s">
        <v>457</v>
      </c>
      <c r="C59" s="61">
        <f t="shared" si="13"/>
        <v>857.85000000000582</v>
      </c>
      <c r="D59" s="61">
        <v>857.85000000000582</v>
      </c>
      <c r="E59" s="61">
        <v>0</v>
      </c>
      <c r="F59" s="61">
        <f t="shared" si="14"/>
        <v>0</v>
      </c>
      <c r="G59" s="62">
        <v>0</v>
      </c>
      <c r="H59" s="62"/>
      <c r="I59" s="62"/>
      <c r="J59" s="62">
        <v>0</v>
      </c>
      <c r="K59" s="61"/>
      <c r="L59" s="61"/>
      <c r="M59" s="320">
        <f t="shared" si="18"/>
        <v>0</v>
      </c>
      <c r="N59" s="320">
        <f t="shared" si="18"/>
        <v>0</v>
      </c>
      <c r="O59" s="320">
        <f t="shared" si="19"/>
        <v>0</v>
      </c>
      <c r="U59" s="270"/>
      <c r="V59" s="270"/>
      <c r="W59" s="270"/>
      <c r="X59" s="270"/>
      <c r="Z59" s="256"/>
      <c r="AA59" s="256"/>
      <c r="AB59" s="256"/>
      <c r="AC59" s="256"/>
    </row>
    <row r="60" spans="1:29" ht="31.2">
      <c r="A60" s="541">
        <v>27</v>
      </c>
      <c r="B60" s="629" t="s">
        <v>463</v>
      </c>
      <c r="C60" s="61">
        <f t="shared" si="13"/>
        <v>5.1519109999999841</v>
      </c>
      <c r="D60" s="61">
        <v>0</v>
      </c>
      <c r="E60" s="61">
        <v>5.1519109999999841</v>
      </c>
      <c r="F60" s="61">
        <f t="shared" si="14"/>
        <v>0</v>
      </c>
      <c r="G60" s="62">
        <v>0</v>
      </c>
      <c r="H60" s="62"/>
      <c r="I60" s="62"/>
      <c r="J60" s="62">
        <v>0</v>
      </c>
      <c r="K60" s="61"/>
      <c r="L60" s="61"/>
      <c r="M60" s="320">
        <f t="shared" si="18"/>
        <v>0</v>
      </c>
      <c r="N60" s="320">
        <f t="shared" si="18"/>
        <v>0</v>
      </c>
      <c r="O60" s="320">
        <f t="shared" si="19"/>
        <v>0</v>
      </c>
      <c r="U60" s="270"/>
      <c r="V60" s="270"/>
      <c r="W60" s="270"/>
      <c r="X60" s="270"/>
      <c r="Z60" s="256"/>
      <c r="AA60" s="256"/>
      <c r="AB60" s="256"/>
      <c r="AC60" s="256"/>
    </row>
    <row r="61" spans="1:29" ht="46.8">
      <c r="A61" s="541">
        <v>28</v>
      </c>
      <c r="B61" s="629" t="s">
        <v>2153</v>
      </c>
      <c r="C61" s="61">
        <f t="shared" si="13"/>
        <v>800</v>
      </c>
      <c r="D61" s="61">
        <v>800</v>
      </c>
      <c r="E61" s="61">
        <v>0</v>
      </c>
      <c r="F61" s="61">
        <f t="shared" si="14"/>
        <v>68.197000000000003</v>
      </c>
      <c r="G61" s="62">
        <v>68.197000000000003</v>
      </c>
      <c r="H61" s="62"/>
      <c r="I61" s="62"/>
      <c r="J61" s="62">
        <v>0</v>
      </c>
      <c r="K61" s="61"/>
      <c r="L61" s="61"/>
      <c r="M61" s="320">
        <f t="shared" si="18"/>
        <v>8.5246250000000003</v>
      </c>
      <c r="N61" s="320">
        <f t="shared" si="18"/>
        <v>8.5246250000000003</v>
      </c>
      <c r="O61" s="320">
        <f t="shared" si="19"/>
        <v>0</v>
      </c>
      <c r="U61" s="270"/>
      <c r="V61" s="270"/>
      <c r="W61" s="270"/>
      <c r="X61" s="270"/>
      <c r="Z61" s="256"/>
      <c r="AA61" s="256"/>
      <c r="AB61" s="256"/>
      <c r="AC61" s="256"/>
    </row>
    <row r="62" spans="1:29" ht="46.8">
      <c r="A62" s="541">
        <v>29</v>
      </c>
      <c r="B62" s="629" t="s">
        <v>2154</v>
      </c>
      <c r="C62" s="61">
        <f t="shared" si="13"/>
        <v>1400</v>
      </c>
      <c r="D62" s="61">
        <v>1400</v>
      </c>
      <c r="E62" s="61">
        <v>0</v>
      </c>
      <c r="F62" s="61">
        <f t="shared" si="14"/>
        <v>544.67999999999995</v>
      </c>
      <c r="G62" s="62">
        <v>544.67999999999995</v>
      </c>
      <c r="H62" s="62"/>
      <c r="I62" s="62"/>
      <c r="J62" s="62">
        <v>0</v>
      </c>
      <c r="K62" s="61"/>
      <c r="L62" s="61"/>
      <c r="M62" s="320">
        <f t="shared" si="18"/>
        <v>38.905714285714282</v>
      </c>
      <c r="N62" s="320">
        <f t="shared" si="18"/>
        <v>38.905714285714282</v>
      </c>
      <c r="O62" s="320">
        <f t="shared" si="19"/>
        <v>0</v>
      </c>
      <c r="U62" s="270"/>
      <c r="V62" s="270"/>
      <c r="W62" s="270"/>
      <c r="X62" s="270"/>
      <c r="Z62" s="256"/>
      <c r="AA62" s="256"/>
      <c r="AB62" s="256"/>
      <c r="AC62" s="256"/>
    </row>
    <row r="63" spans="1:29" ht="62.4">
      <c r="A63" s="541">
        <v>30</v>
      </c>
      <c r="B63" s="629" t="s">
        <v>2155</v>
      </c>
      <c r="C63" s="61">
        <f t="shared" si="13"/>
        <v>44900</v>
      </c>
      <c r="D63" s="61">
        <v>44900</v>
      </c>
      <c r="E63" s="61">
        <v>0</v>
      </c>
      <c r="F63" s="61">
        <f t="shared" si="14"/>
        <v>16382.337525999999</v>
      </c>
      <c r="G63" s="62">
        <v>16382.337525999999</v>
      </c>
      <c r="H63" s="62"/>
      <c r="I63" s="62"/>
      <c r="J63" s="62">
        <v>0</v>
      </c>
      <c r="K63" s="61"/>
      <c r="L63" s="61"/>
      <c r="M63" s="320">
        <f t="shared" si="18"/>
        <v>36.486275113585741</v>
      </c>
      <c r="N63" s="320">
        <f t="shared" si="18"/>
        <v>36.486275113585741</v>
      </c>
      <c r="O63" s="320">
        <f t="shared" si="19"/>
        <v>0</v>
      </c>
      <c r="U63" s="270"/>
      <c r="V63" s="270"/>
      <c r="W63" s="270"/>
      <c r="X63" s="270"/>
      <c r="Z63" s="256"/>
      <c r="AA63" s="256"/>
      <c r="AB63" s="256"/>
      <c r="AC63" s="256"/>
    </row>
    <row r="64" spans="1:29" ht="62.4">
      <c r="A64" s="541">
        <v>31</v>
      </c>
      <c r="B64" s="629" t="s">
        <v>2156</v>
      </c>
      <c r="C64" s="61">
        <f t="shared" si="13"/>
        <v>900</v>
      </c>
      <c r="D64" s="61">
        <v>900</v>
      </c>
      <c r="E64" s="61">
        <v>0</v>
      </c>
      <c r="F64" s="61">
        <f t="shared" si="14"/>
        <v>0</v>
      </c>
      <c r="G64" s="62">
        <v>0</v>
      </c>
      <c r="H64" s="62"/>
      <c r="I64" s="62"/>
      <c r="J64" s="62">
        <v>0</v>
      </c>
      <c r="K64" s="61"/>
      <c r="L64" s="61"/>
      <c r="M64" s="320">
        <f t="shared" si="18"/>
        <v>0</v>
      </c>
      <c r="N64" s="320">
        <f t="shared" si="18"/>
        <v>0</v>
      </c>
      <c r="O64" s="320">
        <f t="shared" si="19"/>
        <v>0</v>
      </c>
      <c r="U64" s="270"/>
      <c r="V64" s="270"/>
      <c r="W64" s="270"/>
      <c r="X64" s="270"/>
      <c r="Z64" s="256"/>
      <c r="AA64" s="256"/>
      <c r="AB64" s="256"/>
      <c r="AC64" s="256"/>
    </row>
    <row r="65" spans="1:29" ht="62.4">
      <c r="A65" s="541">
        <v>32</v>
      </c>
      <c r="B65" s="629" t="s">
        <v>2157</v>
      </c>
      <c r="C65" s="61">
        <f t="shared" si="13"/>
        <v>1500</v>
      </c>
      <c r="D65" s="61">
        <v>1500</v>
      </c>
      <c r="E65" s="61">
        <v>0</v>
      </c>
      <c r="F65" s="61">
        <f t="shared" si="14"/>
        <v>1488.5340000000001</v>
      </c>
      <c r="G65" s="62">
        <v>1488.5340000000001</v>
      </c>
      <c r="H65" s="62"/>
      <c r="I65" s="62"/>
      <c r="J65" s="62">
        <v>0</v>
      </c>
      <c r="K65" s="61"/>
      <c r="L65" s="61"/>
      <c r="M65" s="320">
        <f t="shared" si="18"/>
        <v>99.235600000000005</v>
      </c>
      <c r="N65" s="320">
        <f t="shared" si="18"/>
        <v>99.235600000000005</v>
      </c>
      <c r="O65" s="320">
        <f t="shared" si="19"/>
        <v>0</v>
      </c>
      <c r="U65" s="270"/>
      <c r="V65" s="270"/>
      <c r="W65" s="270"/>
      <c r="X65" s="270"/>
      <c r="Z65" s="256"/>
      <c r="AA65" s="256"/>
      <c r="AB65" s="256"/>
      <c r="AC65" s="256"/>
    </row>
    <row r="66" spans="1:29" ht="46.8">
      <c r="A66" s="541">
        <v>33</v>
      </c>
      <c r="B66" s="629" t="s">
        <v>2159</v>
      </c>
      <c r="C66" s="61">
        <f t="shared" si="13"/>
        <v>7700</v>
      </c>
      <c r="D66" s="61">
        <v>7700</v>
      </c>
      <c r="E66" s="61">
        <v>0</v>
      </c>
      <c r="F66" s="61">
        <f t="shared" si="14"/>
        <v>7348.1469120000002</v>
      </c>
      <c r="G66" s="62">
        <v>7348.1469120000002</v>
      </c>
      <c r="H66" s="62"/>
      <c r="I66" s="62"/>
      <c r="J66" s="62">
        <v>0</v>
      </c>
      <c r="K66" s="61"/>
      <c r="L66" s="61"/>
      <c r="M66" s="320">
        <f t="shared" si="18"/>
        <v>95.430479376623381</v>
      </c>
      <c r="N66" s="320">
        <f t="shared" si="18"/>
        <v>95.430479376623381</v>
      </c>
      <c r="O66" s="320">
        <f t="shared" si="19"/>
        <v>0</v>
      </c>
      <c r="U66" s="270"/>
      <c r="V66" s="270"/>
      <c r="W66" s="270"/>
      <c r="X66" s="270"/>
      <c r="Z66" s="256"/>
      <c r="AA66" s="256"/>
      <c r="AB66" s="256"/>
      <c r="AC66" s="256"/>
    </row>
    <row r="67" spans="1:29" ht="46.8">
      <c r="A67" s="541">
        <v>34</v>
      </c>
      <c r="B67" s="629" t="s">
        <v>2299</v>
      </c>
      <c r="C67" s="61">
        <f t="shared" si="13"/>
        <v>18100</v>
      </c>
      <c r="D67" s="61">
        <v>18100</v>
      </c>
      <c r="E67" s="61">
        <v>0</v>
      </c>
      <c r="F67" s="61">
        <f t="shared" si="14"/>
        <v>16112.287</v>
      </c>
      <c r="G67" s="62">
        <v>16112.287</v>
      </c>
      <c r="H67" s="62"/>
      <c r="I67" s="62"/>
      <c r="J67" s="62">
        <v>0</v>
      </c>
      <c r="K67" s="61"/>
      <c r="L67" s="61"/>
      <c r="M67" s="320">
        <f t="shared" si="18"/>
        <v>89.018160220994474</v>
      </c>
      <c r="N67" s="320">
        <f t="shared" si="18"/>
        <v>89.018160220994474</v>
      </c>
      <c r="O67" s="320">
        <f t="shared" si="19"/>
        <v>0</v>
      </c>
      <c r="U67" s="270"/>
      <c r="V67" s="270"/>
      <c r="W67" s="270"/>
      <c r="X67" s="270"/>
      <c r="Z67" s="256"/>
      <c r="AA67" s="256"/>
      <c r="AB67" s="256"/>
      <c r="AC67" s="256"/>
    </row>
    <row r="68" spans="1:29" ht="46.8">
      <c r="A68" s="541">
        <v>35</v>
      </c>
      <c r="B68" s="629" t="s">
        <v>2301</v>
      </c>
      <c r="C68" s="61">
        <f t="shared" si="13"/>
        <v>13000</v>
      </c>
      <c r="D68" s="61">
        <v>13000</v>
      </c>
      <c r="E68" s="61">
        <v>0</v>
      </c>
      <c r="F68" s="61">
        <f t="shared" si="14"/>
        <v>0</v>
      </c>
      <c r="G68" s="62">
        <v>0</v>
      </c>
      <c r="H68" s="62"/>
      <c r="I68" s="62"/>
      <c r="J68" s="62">
        <v>0</v>
      </c>
      <c r="K68" s="61"/>
      <c r="L68" s="61"/>
      <c r="M68" s="320">
        <f t="shared" si="18"/>
        <v>0</v>
      </c>
      <c r="N68" s="320">
        <f t="shared" si="18"/>
        <v>0</v>
      </c>
      <c r="O68" s="320">
        <f t="shared" si="19"/>
        <v>0</v>
      </c>
      <c r="U68" s="270"/>
      <c r="V68" s="270"/>
      <c r="W68" s="270"/>
      <c r="X68" s="270"/>
      <c r="Z68" s="256"/>
      <c r="AA68" s="256"/>
      <c r="AB68" s="256"/>
      <c r="AC68" s="256"/>
    </row>
    <row r="69" spans="1:29" ht="46.8">
      <c r="A69" s="541">
        <v>36</v>
      </c>
      <c r="B69" s="628" t="s">
        <v>2163</v>
      </c>
      <c r="C69" s="61">
        <f t="shared" si="13"/>
        <v>1489.0716969999999</v>
      </c>
      <c r="D69" s="61">
        <v>1489.0716969999999</v>
      </c>
      <c r="E69" s="61">
        <v>0</v>
      </c>
      <c r="F69" s="61">
        <f t="shared" si="14"/>
        <v>1238.1884969999999</v>
      </c>
      <c r="G69" s="62">
        <v>1238.1884969999999</v>
      </c>
      <c r="H69" s="62"/>
      <c r="I69" s="62"/>
      <c r="J69" s="62">
        <v>0</v>
      </c>
      <c r="K69" s="61"/>
      <c r="L69" s="61"/>
      <c r="M69" s="320">
        <f t="shared" si="18"/>
        <v>83.151704481023387</v>
      </c>
      <c r="N69" s="320">
        <f t="shared" si="18"/>
        <v>83.151704481023387</v>
      </c>
      <c r="O69" s="320">
        <f t="shared" si="19"/>
        <v>0</v>
      </c>
      <c r="U69" s="270"/>
      <c r="V69" s="270"/>
      <c r="W69" s="270"/>
      <c r="X69" s="270"/>
      <c r="Z69" s="256"/>
      <c r="AA69" s="256"/>
      <c r="AB69" s="256"/>
      <c r="AC69" s="256"/>
    </row>
    <row r="70" spans="1:29" ht="31.2">
      <c r="A70" s="541">
        <v>37</v>
      </c>
      <c r="B70" s="628" t="s">
        <v>466</v>
      </c>
      <c r="C70" s="61">
        <f t="shared" si="13"/>
        <v>374</v>
      </c>
      <c r="D70" s="61">
        <v>374</v>
      </c>
      <c r="E70" s="61">
        <v>0</v>
      </c>
      <c r="F70" s="61">
        <f t="shared" si="14"/>
        <v>24.293499999999995</v>
      </c>
      <c r="G70" s="62">
        <v>24.293499999999995</v>
      </c>
      <c r="H70" s="62"/>
      <c r="I70" s="62"/>
      <c r="J70" s="62">
        <v>0</v>
      </c>
      <c r="K70" s="61"/>
      <c r="L70" s="61"/>
      <c r="M70" s="320">
        <f t="shared" si="18"/>
        <v>6.4955882352941154</v>
      </c>
      <c r="N70" s="320">
        <f t="shared" si="18"/>
        <v>6.4955882352941154</v>
      </c>
      <c r="O70" s="320">
        <f t="shared" si="19"/>
        <v>0</v>
      </c>
      <c r="U70" s="270"/>
      <c r="V70" s="270"/>
      <c r="W70" s="270"/>
      <c r="X70" s="270"/>
      <c r="Z70" s="256"/>
      <c r="AA70" s="256"/>
      <c r="AB70" s="256"/>
      <c r="AC70" s="256"/>
    </row>
    <row r="71" spans="1:29">
      <c r="A71" s="541">
        <v>38</v>
      </c>
      <c r="B71" s="628" t="s">
        <v>519</v>
      </c>
      <c r="C71" s="61">
        <f t="shared" si="13"/>
        <v>103234.21444</v>
      </c>
      <c r="D71" s="61">
        <v>33822.495999999999</v>
      </c>
      <c r="E71" s="61">
        <v>69411.718439999997</v>
      </c>
      <c r="F71" s="61">
        <f t="shared" si="14"/>
        <v>63177.003999999994</v>
      </c>
      <c r="G71" s="62">
        <v>9483</v>
      </c>
      <c r="H71" s="62"/>
      <c r="I71" s="62"/>
      <c r="J71" s="62">
        <v>53694.003999999994</v>
      </c>
      <c r="K71" s="61"/>
      <c r="L71" s="61"/>
      <c r="M71" s="320">
        <f t="shared" si="18"/>
        <v>61.19773792313655</v>
      </c>
      <c r="N71" s="320">
        <f t="shared" si="18"/>
        <v>28.037552284727894</v>
      </c>
      <c r="O71" s="320">
        <f t="shared" si="19"/>
        <v>77.355820035508103</v>
      </c>
      <c r="U71" s="270"/>
      <c r="V71" s="270"/>
      <c r="W71" s="270"/>
      <c r="X71" s="270"/>
      <c r="Z71" s="256"/>
      <c r="AA71" s="256"/>
      <c r="AB71" s="256"/>
      <c r="AC71" s="256"/>
    </row>
    <row r="72" spans="1:29" ht="31.2">
      <c r="A72" s="541">
        <v>39</v>
      </c>
      <c r="B72" s="628" t="s">
        <v>515</v>
      </c>
      <c r="C72" s="61">
        <f t="shared" si="13"/>
        <v>2424</v>
      </c>
      <c r="D72" s="61">
        <v>2424</v>
      </c>
      <c r="E72" s="61">
        <v>0</v>
      </c>
      <c r="F72" s="61">
        <f t="shared" si="14"/>
        <v>2058</v>
      </c>
      <c r="G72" s="62">
        <v>2058</v>
      </c>
      <c r="H72" s="62"/>
      <c r="I72" s="62"/>
      <c r="J72" s="62">
        <v>0</v>
      </c>
      <c r="K72" s="61"/>
      <c r="L72" s="61"/>
      <c r="M72" s="320">
        <f t="shared" si="18"/>
        <v>84.900990099009903</v>
      </c>
      <c r="N72" s="320">
        <f t="shared" si="18"/>
        <v>84.900990099009903</v>
      </c>
      <c r="O72" s="320">
        <f t="shared" si="19"/>
        <v>0</v>
      </c>
      <c r="U72" s="270"/>
      <c r="V72" s="270"/>
      <c r="W72" s="270"/>
      <c r="X72" s="270"/>
      <c r="Z72" s="256"/>
      <c r="AA72" s="256"/>
      <c r="AB72" s="256"/>
      <c r="AC72" s="256"/>
    </row>
    <row r="73" spans="1:29" ht="31.2">
      <c r="A73" s="541">
        <v>40</v>
      </c>
      <c r="B73" s="628" t="s">
        <v>2178</v>
      </c>
      <c r="C73" s="61">
        <f t="shared" si="13"/>
        <v>24141.3</v>
      </c>
      <c r="D73" s="61">
        <v>22236.3</v>
      </c>
      <c r="E73" s="61">
        <v>1905</v>
      </c>
      <c r="F73" s="61">
        <f t="shared" si="14"/>
        <v>2300.75</v>
      </c>
      <c r="G73" s="62">
        <v>2098</v>
      </c>
      <c r="H73" s="62"/>
      <c r="I73" s="62"/>
      <c r="J73" s="62">
        <v>202.75</v>
      </c>
      <c r="K73" s="61"/>
      <c r="L73" s="61"/>
      <c r="M73" s="320">
        <f t="shared" si="18"/>
        <v>9.5303484070866116</v>
      </c>
      <c r="N73" s="320">
        <f t="shared" si="18"/>
        <v>9.435022912984623</v>
      </c>
      <c r="O73" s="320">
        <f t="shared" si="19"/>
        <v>10.643044619422572</v>
      </c>
      <c r="U73" s="270"/>
      <c r="V73" s="270"/>
      <c r="W73" s="270"/>
      <c r="X73" s="270"/>
      <c r="Z73" s="256"/>
      <c r="AA73" s="256"/>
      <c r="AB73" s="256"/>
      <c r="AC73" s="256"/>
    </row>
    <row r="74" spans="1:29">
      <c r="A74" s="541">
        <v>41</v>
      </c>
      <c r="B74" s="630" t="s">
        <v>2302</v>
      </c>
      <c r="C74" s="61">
        <f t="shared" si="13"/>
        <v>32788</v>
      </c>
      <c r="D74" s="61">
        <v>29316</v>
      </c>
      <c r="E74" s="61">
        <v>3472</v>
      </c>
      <c r="F74" s="61">
        <f t="shared" si="14"/>
        <v>31060.809000000001</v>
      </c>
      <c r="G74" s="62">
        <v>28987</v>
      </c>
      <c r="H74" s="62"/>
      <c r="I74" s="62"/>
      <c r="J74" s="62">
        <v>2073.8090000000002</v>
      </c>
      <c r="K74" s="61"/>
      <c r="L74" s="61"/>
      <c r="M74" s="320">
        <f t="shared" si="18"/>
        <v>94.732246553617188</v>
      </c>
      <c r="N74" s="320">
        <f t="shared" si="18"/>
        <v>98.877745940783186</v>
      </c>
      <c r="O74" s="320">
        <f t="shared" si="19"/>
        <v>59.729521889400928</v>
      </c>
      <c r="U74" s="270"/>
      <c r="V74" s="270"/>
      <c r="W74" s="270"/>
      <c r="X74" s="270"/>
      <c r="Z74" s="256"/>
      <c r="AA74" s="256"/>
      <c r="AB74" s="256"/>
      <c r="AC74" s="256"/>
    </row>
    <row r="75" spans="1:29">
      <c r="A75" s="541">
        <v>42</v>
      </c>
      <c r="B75" s="630" t="s">
        <v>2182</v>
      </c>
      <c r="C75" s="61">
        <f t="shared" si="13"/>
        <v>7108</v>
      </c>
      <c r="D75" s="61">
        <v>7108</v>
      </c>
      <c r="E75" s="61">
        <v>0</v>
      </c>
      <c r="F75" s="61">
        <f t="shared" si="14"/>
        <v>7108</v>
      </c>
      <c r="G75" s="62">
        <v>7108</v>
      </c>
      <c r="H75" s="62"/>
      <c r="I75" s="62"/>
      <c r="J75" s="62">
        <v>0</v>
      </c>
      <c r="K75" s="61"/>
      <c r="L75" s="61"/>
      <c r="M75" s="320">
        <f t="shared" si="18"/>
        <v>100</v>
      </c>
      <c r="N75" s="320">
        <f t="shared" si="18"/>
        <v>100</v>
      </c>
      <c r="O75" s="320">
        <f t="shared" si="19"/>
        <v>0</v>
      </c>
      <c r="U75" s="270"/>
      <c r="V75" s="270"/>
      <c r="W75" s="270"/>
      <c r="X75" s="270"/>
      <c r="Z75" s="256"/>
      <c r="AA75" s="256"/>
      <c r="AB75" s="256"/>
      <c r="AC75" s="256"/>
    </row>
    <row r="76" spans="1:29" ht="31.2">
      <c r="A76" s="541">
        <v>43</v>
      </c>
      <c r="B76" s="628" t="s">
        <v>2183</v>
      </c>
      <c r="C76" s="61">
        <f t="shared" si="13"/>
        <v>139</v>
      </c>
      <c r="D76" s="61">
        <v>0</v>
      </c>
      <c r="E76" s="61">
        <v>139</v>
      </c>
      <c r="F76" s="61">
        <f t="shared" si="14"/>
        <v>139</v>
      </c>
      <c r="G76" s="62">
        <v>0</v>
      </c>
      <c r="H76" s="62"/>
      <c r="I76" s="62"/>
      <c r="J76" s="62">
        <v>139</v>
      </c>
      <c r="K76" s="61"/>
      <c r="L76" s="61"/>
      <c r="M76" s="320">
        <f t="shared" si="18"/>
        <v>100</v>
      </c>
      <c r="N76" s="320">
        <f t="shared" si="18"/>
        <v>0</v>
      </c>
      <c r="O76" s="320">
        <f t="shared" si="19"/>
        <v>100</v>
      </c>
      <c r="U76" s="270"/>
      <c r="V76" s="270"/>
      <c r="W76" s="270"/>
      <c r="X76" s="270"/>
      <c r="Z76" s="256"/>
      <c r="AA76" s="256"/>
      <c r="AB76" s="256"/>
      <c r="AC76" s="256"/>
    </row>
    <row r="77" spans="1:29" collapsed="1">
      <c r="A77" s="541">
        <v>44</v>
      </c>
      <c r="B77" s="630" t="s">
        <v>2186</v>
      </c>
      <c r="C77" s="61">
        <f t="shared" si="13"/>
        <v>575</v>
      </c>
      <c r="D77" s="61">
        <v>575</v>
      </c>
      <c r="E77" s="61">
        <v>0</v>
      </c>
      <c r="F77" s="61">
        <f t="shared" si="14"/>
        <v>575</v>
      </c>
      <c r="G77" s="62">
        <v>575</v>
      </c>
      <c r="H77" s="62"/>
      <c r="I77" s="62"/>
      <c r="J77" s="62">
        <v>0</v>
      </c>
      <c r="K77" s="61"/>
      <c r="L77" s="61"/>
      <c r="M77" s="320">
        <f t="shared" si="18"/>
        <v>100</v>
      </c>
      <c r="N77" s="320">
        <f t="shared" si="18"/>
        <v>100</v>
      </c>
      <c r="O77" s="320">
        <f t="shared" si="19"/>
        <v>0</v>
      </c>
      <c r="U77" s="270"/>
      <c r="V77" s="270"/>
      <c r="W77" s="270"/>
      <c r="X77" s="270"/>
      <c r="Z77" s="256"/>
      <c r="AA77" s="256"/>
      <c r="AB77" s="256"/>
      <c r="AC77" s="256"/>
    </row>
    <row r="78" spans="1:29" ht="46.8">
      <c r="A78" s="541">
        <v>45</v>
      </c>
      <c r="B78" s="631" t="s">
        <v>2187</v>
      </c>
      <c r="C78" s="61">
        <f t="shared" si="13"/>
        <v>2502</v>
      </c>
      <c r="D78" s="61">
        <v>2502</v>
      </c>
      <c r="E78" s="61">
        <v>0</v>
      </c>
      <c r="F78" s="61">
        <f t="shared" si="14"/>
        <v>2502</v>
      </c>
      <c r="G78" s="62">
        <v>2502</v>
      </c>
      <c r="H78" s="62"/>
      <c r="I78" s="62"/>
      <c r="J78" s="62">
        <v>0</v>
      </c>
      <c r="K78" s="61"/>
      <c r="L78" s="61"/>
      <c r="M78" s="320">
        <f t="shared" si="18"/>
        <v>100</v>
      </c>
      <c r="N78" s="320">
        <f t="shared" si="18"/>
        <v>100</v>
      </c>
      <c r="O78" s="320">
        <f t="shared" si="19"/>
        <v>0</v>
      </c>
      <c r="U78" s="270"/>
      <c r="V78" s="270"/>
      <c r="W78" s="270"/>
      <c r="X78" s="270"/>
      <c r="Z78" s="256"/>
      <c r="AA78" s="256"/>
      <c r="AB78" s="256"/>
      <c r="AC78" s="256"/>
    </row>
    <row r="79" spans="1:29">
      <c r="A79" s="541">
        <v>46</v>
      </c>
      <c r="B79" s="632" t="s">
        <v>2303</v>
      </c>
      <c r="C79" s="61">
        <f t="shared" si="13"/>
        <v>35872.043839999998</v>
      </c>
      <c r="D79" s="61">
        <v>1607.1800000000003</v>
      </c>
      <c r="E79" s="61">
        <v>34264.863839999998</v>
      </c>
      <c r="F79" s="61">
        <f t="shared" si="14"/>
        <v>32508</v>
      </c>
      <c r="G79" s="62">
        <v>679</v>
      </c>
      <c r="H79" s="62"/>
      <c r="I79" s="62"/>
      <c r="J79" s="62">
        <v>31829</v>
      </c>
      <c r="K79" s="61"/>
      <c r="L79" s="61"/>
      <c r="M79" s="320">
        <f t="shared" si="18"/>
        <v>90.62210155907303</v>
      </c>
      <c r="N79" s="320">
        <f t="shared" si="18"/>
        <v>42.247912492689046</v>
      </c>
      <c r="O79" s="320">
        <f t="shared" si="19"/>
        <v>92.891073925248094</v>
      </c>
      <c r="U79" s="270"/>
      <c r="V79" s="270"/>
      <c r="W79" s="270"/>
      <c r="X79" s="270"/>
      <c r="Z79" s="256"/>
      <c r="AA79" s="256"/>
      <c r="AB79" s="256"/>
      <c r="AC79" s="256"/>
    </row>
    <row r="80" spans="1:29">
      <c r="A80" s="541">
        <v>47</v>
      </c>
      <c r="B80" s="633" t="s">
        <v>480</v>
      </c>
      <c r="C80" s="61">
        <f t="shared" si="13"/>
        <v>18787.224000000002</v>
      </c>
      <c r="D80" s="61">
        <v>1461.6999999999998</v>
      </c>
      <c r="E80" s="61">
        <v>17325.524000000001</v>
      </c>
      <c r="F80" s="61">
        <f t="shared" si="14"/>
        <v>13912.441999999999</v>
      </c>
      <c r="G80" s="62">
        <v>0</v>
      </c>
      <c r="H80" s="62"/>
      <c r="I80" s="62"/>
      <c r="J80" s="62">
        <v>13912.441999999999</v>
      </c>
      <c r="K80" s="61"/>
      <c r="L80" s="61"/>
      <c r="M80" s="320">
        <f t="shared" si="18"/>
        <v>74.052675371305511</v>
      </c>
      <c r="N80" s="320">
        <f t="shared" si="18"/>
        <v>0</v>
      </c>
      <c r="O80" s="320">
        <f t="shared" si="19"/>
        <v>80.300266820212755</v>
      </c>
      <c r="U80" s="270"/>
      <c r="V80" s="270"/>
      <c r="W80" s="270"/>
      <c r="X80" s="270"/>
      <c r="Z80" s="256"/>
      <c r="AA80" s="256"/>
      <c r="AB80" s="256"/>
      <c r="AC80" s="256"/>
    </row>
    <row r="81" spans="1:29" ht="31.2">
      <c r="A81" s="541">
        <v>48</v>
      </c>
      <c r="B81" s="632" t="s">
        <v>483</v>
      </c>
      <c r="C81" s="61">
        <f t="shared" si="13"/>
        <v>3911.58</v>
      </c>
      <c r="D81" s="61">
        <v>234</v>
      </c>
      <c r="E81" s="61">
        <v>3677.58</v>
      </c>
      <c r="F81" s="61">
        <f t="shared" si="14"/>
        <v>3489.08</v>
      </c>
      <c r="G81" s="62">
        <v>0</v>
      </c>
      <c r="H81" s="62"/>
      <c r="I81" s="62"/>
      <c r="J81" s="62">
        <v>3489.08</v>
      </c>
      <c r="K81" s="61"/>
      <c r="L81" s="61"/>
      <c r="M81" s="320">
        <f t="shared" si="18"/>
        <v>89.198738105829349</v>
      </c>
      <c r="N81" s="320">
        <f t="shared" si="18"/>
        <v>0</v>
      </c>
      <c r="O81" s="320">
        <f t="shared" si="19"/>
        <v>94.874346717134642</v>
      </c>
      <c r="U81" s="270"/>
      <c r="V81" s="270"/>
      <c r="W81" s="270"/>
      <c r="X81" s="270"/>
      <c r="Z81" s="256"/>
      <c r="AA81" s="256"/>
      <c r="AB81" s="256"/>
      <c r="AC81" s="256"/>
    </row>
    <row r="82" spans="1:29">
      <c r="A82" s="541">
        <v>49</v>
      </c>
      <c r="B82" s="628" t="s">
        <v>2304</v>
      </c>
      <c r="C82" s="61">
        <f t="shared" si="13"/>
        <v>1599.3719999999998</v>
      </c>
      <c r="D82" s="61">
        <v>863</v>
      </c>
      <c r="E82" s="61">
        <v>736.37199999999996</v>
      </c>
      <c r="F82" s="61">
        <f t="shared" si="14"/>
        <v>1505.7</v>
      </c>
      <c r="G82" s="62">
        <v>821</v>
      </c>
      <c r="H82" s="62"/>
      <c r="I82" s="62"/>
      <c r="J82" s="62">
        <v>684.7</v>
      </c>
      <c r="K82" s="61"/>
      <c r="L82" s="61"/>
      <c r="M82" s="320">
        <f t="shared" si="18"/>
        <v>94.143201206473549</v>
      </c>
      <c r="N82" s="320">
        <f t="shared" si="18"/>
        <v>95.133256083429899</v>
      </c>
      <c r="O82" s="320">
        <f t="shared" si="19"/>
        <v>92.982894515272179</v>
      </c>
      <c r="U82" s="270"/>
      <c r="V82" s="270"/>
      <c r="W82" s="270"/>
      <c r="X82" s="270"/>
      <c r="Z82" s="256"/>
      <c r="AA82" s="256"/>
      <c r="AB82" s="256"/>
      <c r="AC82" s="256"/>
    </row>
    <row r="83" spans="1:29" ht="46.8">
      <c r="A83" s="541">
        <v>50</v>
      </c>
      <c r="B83" s="46" t="s">
        <v>507</v>
      </c>
      <c r="C83" s="61">
        <f t="shared" si="13"/>
        <v>523</v>
      </c>
      <c r="D83" s="61">
        <v>523</v>
      </c>
      <c r="E83" s="61">
        <v>0</v>
      </c>
      <c r="F83" s="61">
        <f t="shared" si="14"/>
        <v>515.41800000000001</v>
      </c>
      <c r="G83" s="62">
        <v>515.41800000000001</v>
      </c>
      <c r="H83" s="62"/>
      <c r="I83" s="62"/>
      <c r="J83" s="62">
        <v>0</v>
      </c>
      <c r="K83" s="61"/>
      <c r="L83" s="61"/>
      <c r="M83" s="320">
        <f t="shared" si="18"/>
        <v>98.550286806883364</v>
      </c>
      <c r="N83" s="320">
        <f t="shared" si="18"/>
        <v>98.550286806883364</v>
      </c>
      <c r="O83" s="320">
        <f t="shared" si="19"/>
        <v>0</v>
      </c>
      <c r="U83" s="270"/>
      <c r="V83" s="270"/>
      <c r="W83" s="270"/>
      <c r="X83" s="270"/>
      <c r="Z83" s="256"/>
      <c r="AA83" s="256"/>
      <c r="AB83" s="256"/>
      <c r="AC83" s="256"/>
    </row>
    <row r="84" spans="1:29" ht="31.2">
      <c r="A84" s="541">
        <v>51</v>
      </c>
      <c r="B84" s="631" t="s">
        <v>2197</v>
      </c>
      <c r="C84" s="61">
        <f t="shared" si="13"/>
        <v>10206</v>
      </c>
      <c r="D84" s="61">
        <v>10206</v>
      </c>
      <c r="E84" s="61">
        <v>0</v>
      </c>
      <c r="F84" s="61">
        <f t="shared" si="14"/>
        <v>10065.299999999999</v>
      </c>
      <c r="G84" s="62">
        <v>10065.299999999999</v>
      </c>
      <c r="H84" s="62"/>
      <c r="I84" s="62"/>
      <c r="J84" s="62">
        <v>0</v>
      </c>
      <c r="K84" s="61"/>
      <c r="L84" s="61"/>
      <c r="M84" s="320">
        <f t="shared" si="18"/>
        <v>98.621399176954725</v>
      </c>
      <c r="N84" s="320">
        <f t="shared" si="18"/>
        <v>98.621399176954725</v>
      </c>
      <c r="O84" s="320">
        <f t="shared" si="19"/>
        <v>0</v>
      </c>
      <c r="U84" s="270"/>
      <c r="V84" s="270"/>
      <c r="W84" s="270"/>
      <c r="X84" s="270"/>
      <c r="Z84" s="256"/>
      <c r="AA84" s="256"/>
      <c r="AB84" s="256"/>
      <c r="AC84" s="256"/>
    </row>
    <row r="85" spans="1:29" ht="46.8">
      <c r="A85" s="541">
        <v>52</v>
      </c>
      <c r="B85" s="628" t="s">
        <v>2202</v>
      </c>
      <c r="C85" s="61">
        <f t="shared" si="13"/>
        <v>5000</v>
      </c>
      <c r="D85" s="61">
        <v>5000</v>
      </c>
      <c r="E85" s="61">
        <v>0</v>
      </c>
      <c r="F85" s="61">
        <f t="shared" si="14"/>
        <v>2600</v>
      </c>
      <c r="G85" s="62">
        <v>2600</v>
      </c>
      <c r="H85" s="62"/>
      <c r="I85" s="62"/>
      <c r="J85" s="62">
        <v>0</v>
      </c>
      <c r="K85" s="61"/>
      <c r="L85" s="61"/>
      <c r="M85" s="320">
        <f t="shared" si="18"/>
        <v>52</v>
      </c>
      <c r="N85" s="320">
        <f t="shared" si="18"/>
        <v>52</v>
      </c>
      <c r="O85" s="320">
        <f t="shared" si="19"/>
        <v>0</v>
      </c>
      <c r="U85" s="270"/>
      <c r="V85" s="270"/>
      <c r="W85" s="270"/>
      <c r="X85" s="270"/>
      <c r="Z85" s="256"/>
      <c r="AA85" s="256"/>
      <c r="AB85" s="256"/>
      <c r="AC85" s="256"/>
    </row>
    <row r="86" spans="1:29" ht="31.2">
      <c r="A86" s="541">
        <v>53</v>
      </c>
      <c r="B86" s="631" t="s">
        <v>2305</v>
      </c>
      <c r="C86" s="61">
        <f t="shared" si="13"/>
        <v>6766</v>
      </c>
      <c r="D86" s="61">
        <v>5906</v>
      </c>
      <c r="E86" s="61">
        <v>860</v>
      </c>
      <c r="F86" s="61">
        <f t="shared" si="14"/>
        <v>6486</v>
      </c>
      <c r="G86" s="62">
        <v>5706</v>
      </c>
      <c r="H86" s="62"/>
      <c r="I86" s="62"/>
      <c r="J86" s="62">
        <v>780</v>
      </c>
      <c r="K86" s="61"/>
      <c r="L86" s="61"/>
      <c r="M86" s="320">
        <f t="shared" si="18"/>
        <v>95.861661247413537</v>
      </c>
      <c r="N86" s="320">
        <f t="shared" si="18"/>
        <v>96.613613274635966</v>
      </c>
      <c r="O86" s="320">
        <f t="shared" si="19"/>
        <v>90.697674418604649</v>
      </c>
      <c r="U86" s="270"/>
      <c r="V86" s="270"/>
      <c r="W86" s="270"/>
      <c r="X86" s="270"/>
      <c r="Z86" s="256"/>
      <c r="AA86" s="256"/>
      <c r="AB86" s="256"/>
      <c r="AC86" s="256"/>
    </row>
    <row r="87" spans="1:29" ht="31.2">
      <c r="A87" s="541">
        <v>54</v>
      </c>
      <c r="B87" s="628" t="s">
        <v>512</v>
      </c>
      <c r="C87" s="61">
        <f t="shared" si="13"/>
        <v>5087</v>
      </c>
      <c r="D87" s="61">
        <v>4695</v>
      </c>
      <c r="E87" s="61">
        <v>392</v>
      </c>
      <c r="F87" s="61">
        <f t="shared" si="14"/>
        <v>4646.1629999999996</v>
      </c>
      <c r="G87" s="62">
        <v>4400.7629999999999</v>
      </c>
      <c r="H87" s="62"/>
      <c r="I87" s="62"/>
      <c r="J87" s="62">
        <v>245.4</v>
      </c>
      <c r="K87" s="61"/>
      <c r="L87" s="61"/>
      <c r="M87" s="320">
        <f t="shared" si="18"/>
        <v>91.334047572242966</v>
      </c>
      <c r="N87" s="320">
        <f t="shared" si="18"/>
        <v>93.732971246006386</v>
      </c>
      <c r="O87" s="320">
        <f t="shared" si="19"/>
        <v>62.602040816326529</v>
      </c>
      <c r="U87" s="270"/>
      <c r="V87" s="270"/>
      <c r="W87" s="270"/>
      <c r="X87" s="270"/>
      <c r="Z87" s="256"/>
      <c r="AA87" s="256"/>
      <c r="AB87" s="256"/>
      <c r="AC87" s="256"/>
    </row>
    <row r="88" spans="1:29">
      <c r="A88" s="541">
        <v>55</v>
      </c>
      <c r="B88" s="628" t="s">
        <v>503</v>
      </c>
      <c r="C88" s="61">
        <f t="shared" si="13"/>
        <v>20096.014999999999</v>
      </c>
      <c r="D88" s="61">
        <v>19716.014999999999</v>
      </c>
      <c r="E88" s="61">
        <v>380</v>
      </c>
      <c r="F88" s="61">
        <f t="shared" si="14"/>
        <v>18578.878799999999</v>
      </c>
      <c r="G88" s="62">
        <v>18249.449799999999</v>
      </c>
      <c r="H88" s="62"/>
      <c r="I88" s="62"/>
      <c r="J88" s="62">
        <v>329.42899999999997</v>
      </c>
      <c r="K88" s="61"/>
      <c r="L88" s="61"/>
      <c r="M88" s="320">
        <f t="shared" si="18"/>
        <v>92.450561964648216</v>
      </c>
      <c r="N88" s="320">
        <f t="shared" si="18"/>
        <v>92.561553640530292</v>
      </c>
      <c r="O88" s="320">
        <f t="shared" si="19"/>
        <v>86.691842105263149</v>
      </c>
      <c r="U88" s="270"/>
      <c r="V88" s="270"/>
      <c r="W88" s="270"/>
      <c r="X88" s="270"/>
      <c r="Z88" s="256"/>
      <c r="AA88" s="256"/>
      <c r="AB88" s="256"/>
      <c r="AC88" s="256"/>
    </row>
    <row r="89" spans="1:29">
      <c r="A89" s="541">
        <v>56</v>
      </c>
      <c r="B89" s="628" t="s">
        <v>509</v>
      </c>
      <c r="C89" s="61">
        <f t="shared" si="13"/>
        <v>15596.111948</v>
      </c>
      <c r="D89" s="61">
        <v>15596.111948</v>
      </c>
      <c r="E89" s="61">
        <v>0</v>
      </c>
      <c r="F89" s="61">
        <f t="shared" si="14"/>
        <v>8366.3758440000001</v>
      </c>
      <c r="G89" s="62">
        <v>8366.3758440000001</v>
      </c>
      <c r="H89" s="62"/>
      <c r="I89" s="62"/>
      <c r="J89" s="62">
        <v>0</v>
      </c>
      <c r="K89" s="61"/>
      <c r="L89" s="61"/>
      <c r="M89" s="320">
        <f t="shared" si="18"/>
        <v>53.643984294899084</v>
      </c>
      <c r="N89" s="320">
        <f t="shared" si="18"/>
        <v>53.643984294899084</v>
      </c>
      <c r="O89" s="320">
        <f t="shared" si="19"/>
        <v>0</v>
      </c>
      <c r="U89" s="270"/>
      <c r="V89" s="270"/>
      <c r="W89" s="270"/>
      <c r="X89" s="270"/>
      <c r="Z89" s="256"/>
      <c r="AA89" s="256"/>
      <c r="AB89" s="256"/>
      <c r="AC89" s="256"/>
    </row>
    <row r="90" spans="1:29">
      <c r="A90" s="541">
        <v>57</v>
      </c>
      <c r="B90" s="628" t="s">
        <v>2219</v>
      </c>
      <c r="C90" s="61">
        <f t="shared" si="13"/>
        <v>3535</v>
      </c>
      <c r="D90" s="61">
        <v>3535</v>
      </c>
      <c r="E90" s="61">
        <v>0</v>
      </c>
      <c r="F90" s="61">
        <f t="shared" si="14"/>
        <v>3487.9409999999998</v>
      </c>
      <c r="G90" s="62">
        <v>3487.9409999999998</v>
      </c>
      <c r="H90" s="62"/>
      <c r="I90" s="62"/>
      <c r="J90" s="62">
        <v>0</v>
      </c>
      <c r="K90" s="61"/>
      <c r="L90" s="61"/>
      <c r="M90" s="320">
        <f t="shared" si="18"/>
        <v>98.668769448373411</v>
      </c>
      <c r="N90" s="320">
        <f t="shared" si="18"/>
        <v>98.668769448373411</v>
      </c>
      <c r="O90" s="320">
        <f t="shared" si="19"/>
        <v>0</v>
      </c>
      <c r="U90" s="270"/>
      <c r="V90" s="270"/>
      <c r="W90" s="270"/>
      <c r="X90" s="270"/>
      <c r="Z90" s="256"/>
      <c r="AA90" s="256"/>
      <c r="AB90" s="256"/>
      <c r="AC90" s="256"/>
    </row>
    <row r="91" spans="1:29">
      <c r="A91" s="541">
        <v>58</v>
      </c>
      <c r="B91" s="628" t="s">
        <v>2220</v>
      </c>
      <c r="C91" s="61">
        <f t="shared" si="13"/>
        <v>4080</v>
      </c>
      <c r="D91" s="61">
        <v>4080</v>
      </c>
      <c r="E91" s="61">
        <v>0</v>
      </c>
      <c r="F91" s="61">
        <f t="shared" si="14"/>
        <v>4074.55</v>
      </c>
      <c r="G91" s="62">
        <v>4074.55</v>
      </c>
      <c r="H91" s="62"/>
      <c r="I91" s="62"/>
      <c r="J91" s="62">
        <v>0</v>
      </c>
      <c r="K91" s="61"/>
      <c r="L91" s="61"/>
      <c r="M91" s="320">
        <f t="shared" si="18"/>
        <v>99.866421568627445</v>
      </c>
      <c r="N91" s="320">
        <f t="shared" si="18"/>
        <v>99.866421568627445</v>
      </c>
      <c r="O91" s="320">
        <f t="shared" si="19"/>
        <v>0</v>
      </c>
      <c r="U91" s="270"/>
      <c r="V91" s="270"/>
      <c r="W91" s="270"/>
      <c r="X91" s="270"/>
      <c r="Z91" s="256"/>
      <c r="AA91" s="256"/>
      <c r="AB91" s="256"/>
      <c r="AC91" s="256"/>
    </row>
    <row r="92" spans="1:29">
      <c r="A92" s="541">
        <v>59</v>
      </c>
      <c r="B92" s="628" t="s">
        <v>487</v>
      </c>
      <c r="C92" s="61">
        <f t="shared" si="13"/>
        <v>58268.19</v>
      </c>
      <c r="D92" s="61">
        <v>58268.19</v>
      </c>
      <c r="E92" s="61">
        <v>0</v>
      </c>
      <c r="F92" s="61">
        <f t="shared" si="14"/>
        <v>39201.195871999989</v>
      </c>
      <c r="G92" s="62">
        <v>39201.195871999989</v>
      </c>
      <c r="H92" s="62"/>
      <c r="I92" s="62"/>
      <c r="J92" s="62">
        <v>0</v>
      </c>
      <c r="K92" s="61"/>
      <c r="L92" s="61"/>
      <c r="M92" s="320">
        <f t="shared" si="18"/>
        <v>67.277181378038321</v>
      </c>
      <c r="N92" s="320">
        <f t="shared" si="18"/>
        <v>67.277181378038321</v>
      </c>
      <c r="O92" s="320">
        <f t="shared" si="19"/>
        <v>0</v>
      </c>
      <c r="U92" s="270"/>
      <c r="V92" s="270"/>
      <c r="W92" s="270"/>
      <c r="X92" s="270"/>
      <c r="Z92" s="256"/>
      <c r="AA92" s="256"/>
      <c r="AB92" s="256"/>
      <c r="AC92" s="256"/>
    </row>
    <row r="93" spans="1:29" ht="31.2">
      <c r="A93" s="541">
        <v>60</v>
      </c>
      <c r="B93" s="628" t="s">
        <v>540</v>
      </c>
      <c r="C93" s="61">
        <f t="shared" si="13"/>
        <v>7223</v>
      </c>
      <c r="D93" s="61">
        <v>1162</v>
      </c>
      <c r="E93" s="61">
        <v>6061</v>
      </c>
      <c r="F93" s="61">
        <f t="shared" si="14"/>
        <v>1480</v>
      </c>
      <c r="G93" s="62">
        <v>0</v>
      </c>
      <c r="H93" s="62"/>
      <c r="I93" s="62"/>
      <c r="J93" s="62">
        <v>1480</v>
      </c>
      <c r="K93" s="61"/>
      <c r="L93" s="61"/>
      <c r="M93" s="320">
        <f t="shared" si="18"/>
        <v>20.490101066039042</v>
      </c>
      <c r="N93" s="320">
        <f t="shared" si="18"/>
        <v>0</v>
      </c>
      <c r="O93" s="320">
        <f t="shared" si="19"/>
        <v>24.418412803167794</v>
      </c>
      <c r="U93" s="270"/>
      <c r="V93" s="270"/>
      <c r="W93" s="270"/>
      <c r="X93" s="270"/>
      <c r="Z93" s="256"/>
      <c r="AA93" s="256"/>
      <c r="AB93" s="256"/>
      <c r="AC93" s="256"/>
    </row>
    <row r="94" spans="1:29" ht="46.8">
      <c r="A94" s="541">
        <v>61</v>
      </c>
      <c r="B94" s="628" t="s">
        <v>2224</v>
      </c>
      <c r="C94" s="61">
        <f t="shared" si="13"/>
        <v>560</v>
      </c>
      <c r="D94" s="61">
        <v>560</v>
      </c>
      <c r="E94" s="61">
        <v>0</v>
      </c>
      <c r="F94" s="61">
        <f t="shared" si="14"/>
        <v>560</v>
      </c>
      <c r="G94" s="62">
        <v>560</v>
      </c>
      <c r="H94" s="62"/>
      <c r="I94" s="62"/>
      <c r="J94" s="62">
        <v>0</v>
      </c>
      <c r="K94" s="61"/>
      <c r="L94" s="61"/>
      <c r="M94" s="320">
        <f t="shared" si="18"/>
        <v>100</v>
      </c>
      <c r="N94" s="320">
        <f t="shared" si="18"/>
        <v>100</v>
      </c>
      <c r="O94" s="320">
        <f t="shared" si="19"/>
        <v>0</v>
      </c>
      <c r="U94" s="270"/>
      <c r="V94" s="270"/>
      <c r="W94" s="270"/>
      <c r="X94" s="270"/>
      <c r="Z94" s="256"/>
      <c r="AA94" s="256"/>
      <c r="AB94" s="256"/>
      <c r="AC94" s="256"/>
    </row>
    <row r="95" spans="1:29" ht="46.8">
      <c r="A95" s="541">
        <v>62</v>
      </c>
      <c r="B95" s="628" t="s">
        <v>2225</v>
      </c>
      <c r="C95" s="61">
        <f t="shared" si="13"/>
        <v>9500</v>
      </c>
      <c r="D95" s="61">
        <v>9500</v>
      </c>
      <c r="E95" s="61">
        <v>0</v>
      </c>
      <c r="F95" s="61">
        <f t="shared" si="14"/>
        <v>9500</v>
      </c>
      <c r="G95" s="62">
        <v>9500</v>
      </c>
      <c r="H95" s="62"/>
      <c r="I95" s="62"/>
      <c r="J95" s="62">
        <v>0</v>
      </c>
      <c r="K95" s="61"/>
      <c r="L95" s="61"/>
      <c r="M95" s="320">
        <f t="shared" si="18"/>
        <v>100</v>
      </c>
      <c r="N95" s="320">
        <f t="shared" si="18"/>
        <v>100</v>
      </c>
      <c r="O95" s="320">
        <f t="shared" si="19"/>
        <v>0</v>
      </c>
      <c r="U95" s="270"/>
      <c r="V95" s="270"/>
      <c r="W95" s="270"/>
      <c r="X95" s="270"/>
      <c r="Z95" s="256"/>
      <c r="AA95" s="256"/>
      <c r="AB95" s="256"/>
      <c r="AC95" s="256"/>
    </row>
    <row r="96" spans="1:29" ht="31.2">
      <c r="A96" s="541">
        <v>63</v>
      </c>
      <c r="B96" s="628" t="s">
        <v>2226</v>
      </c>
      <c r="C96" s="61">
        <f t="shared" si="13"/>
        <v>355</v>
      </c>
      <c r="D96" s="61">
        <v>355</v>
      </c>
      <c r="E96" s="61">
        <v>0</v>
      </c>
      <c r="F96" s="61">
        <f t="shared" si="14"/>
        <v>0</v>
      </c>
      <c r="G96" s="62">
        <v>0</v>
      </c>
      <c r="H96" s="62"/>
      <c r="I96" s="62"/>
      <c r="J96" s="62">
        <v>0</v>
      </c>
      <c r="K96" s="61"/>
      <c r="L96" s="61"/>
      <c r="M96" s="320">
        <f t="shared" si="18"/>
        <v>0</v>
      </c>
      <c r="N96" s="320">
        <f t="shared" si="18"/>
        <v>0</v>
      </c>
      <c r="O96" s="320">
        <f t="shared" si="19"/>
        <v>0</v>
      </c>
      <c r="U96" s="270"/>
      <c r="V96" s="270"/>
      <c r="W96" s="270"/>
      <c r="X96" s="270"/>
      <c r="Z96" s="256"/>
      <c r="AA96" s="256"/>
      <c r="AB96" s="256"/>
      <c r="AC96" s="256"/>
    </row>
    <row r="97" spans="1:29" ht="31.2" collapsed="1">
      <c r="A97" s="541">
        <v>64</v>
      </c>
      <c r="B97" s="628" t="s">
        <v>2306</v>
      </c>
      <c r="C97" s="61">
        <f t="shared" si="13"/>
        <v>1889.1465000000001</v>
      </c>
      <c r="D97" s="61">
        <v>1889.1465000000001</v>
      </c>
      <c r="E97" s="61">
        <v>0</v>
      </c>
      <c r="F97" s="61">
        <f t="shared" si="14"/>
        <v>1817.9868000000001</v>
      </c>
      <c r="G97" s="62">
        <v>1817.9868000000001</v>
      </c>
      <c r="H97" s="62"/>
      <c r="I97" s="62"/>
      <c r="J97" s="62">
        <v>0</v>
      </c>
      <c r="K97" s="61"/>
      <c r="L97" s="61"/>
      <c r="M97" s="320">
        <f t="shared" si="18"/>
        <v>96.233235484913422</v>
      </c>
      <c r="N97" s="320">
        <f t="shared" si="18"/>
        <v>96.233235484913422</v>
      </c>
      <c r="O97" s="320">
        <f t="shared" si="19"/>
        <v>0</v>
      </c>
      <c r="U97" s="270"/>
      <c r="V97" s="270"/>
      <c r="W97" s="270"/>
      <c r="X97" s="270"/>
      <c r="Z97" s="256"/>
      <c r="AA97" s="256"/>
      <c r="AB97" s="256"/>
      <c r="AC97" s="256"/>
    </row>
    <row r="98" spans="1:29" ht="46.8">
      <c r="A98" s="541">
        <v>65</v>
      </c>
      <c r="B98" s="628" t="s">
        <v>2228</v>
      </c>
      <c r="C98" s="61">
        <f t="shared" si="13"/>
        <v>10230</v>
      </c>
      <c r="D98" s="61">
        <v>10230</v>
      </c>
      <c r="E98" s="61">
        <v>0</v>
      </c>
      <c r="F98" s="61">
        <f t="shared" si="14"/>
        <v>10230</v>
      </c>
      <c r="G98" s="62">
        <v>10230</v>
      </c>
      <c r="H98" s="62"/>
      <c r="I98" s="62"/>
      <c r="J98" s="62">
        <v>0</v>
      </c>
      <c r="K98" s="61"/>
      <c r="L98" s="61"/>
      <c r="M98" s="320">
        <f t="shared" si="18"/>
        <v>100</v>
      </c>
      <c r="N98" s="320">
        <f t="shared" si="18"/>
        <v>100</v>
      </c>
      <c r="O98" s="320">
        <f t="shared" si="19"/>
        <v>0</v>
      </c>
      <c r="U98" s="270"/>
      <c r="V98" s="270"/>
      <c r="W98" s="270"/>
      <c r="X98" s="270"/>
      <c r="Z98" s="256"/>
      <c r="AA98" s="256"/>
      <c r="AB98" s="256"/>
      <c r="AC98" s="256"/>
    </row>
    <row r="99" spans="1:29">
      <c r="A99" s="541">
        <v>66</v>
      </c>
      <c r="B99" s="628" t="s">
        <v>504</v>
      </c>
      <c r="C99" s="61">
        <f t="shared" ref="C99:C131" si="20">D99+E99</f>
        <v>56</v>
      </c>
      <c r="D99" s="61">
        <v>37.299999999999997</v>
      </c>
      <c r="E99" s="61">
        <v>18.7</v>
      </c>
      <c r="F99" s="61">
        <f t="shared" si="14"/>
        <v>18.7</v>
      </c>
      <c r="G99" s="62">
        <v>0</v>
      </c>
      <c r="H99" s="62"/>
      <c r="I99" s="62"/>
      <c r="J99" s="62">
        <v>18.7</v>
      </c>
      <c r="K99" s="61"/>
      <c r="L99" s="61"/>
      <c r="M99" s="320">
        <f t="shared" si="18"/>
        <v>33.392857142857139</v>
      </c>
      <c r="N99" s="320">
        <f t="shared" si="18"/>
        <v>0</v>
      </c>
      <c r="O99" s="320">
        <f t="shared" si="19"/>
        <v>100</v>
      </c>
      <c r="U99" s="270"/>
      <c r="V99" s="270"/>
      <c r="W99" s="270"/>
      <c r="X99" s="270"/>
      <c r="Z99" s="256"/>
      <c r="AA99" s="256"/>
      <c r="AB99" s="256"/>
      <c r="AC99" s="256"/>
    </row>
    <row r="100" spans="1:29" collapsed="1">
      <c r="A100" s="541">
        <v>67</v>
      </c>
      <c r="B100" s="628" t="s">
        <v>2233</v>
      </c>
      <c r="C100" s="61">
        <f t="shared" si="20"/>
        <v>1000</v>
      </c>
      <c r="D100" s="61">
        <v>1000</v>
      </c>
      <c r="E100" s="61">
        <v>0</v>
      </c>
      <c r="F100" s="61">
        <f t="shared" ref="F100:F131" si="21">G100+J100</f>
        <v>0</v>
      </c>
      <c r="G100" s="62">
        <v>0</v>
      </c>
      <c r="H100" s="62"/>
      <c r="I100" s="62"/>
      <c r="J100" s="62">
        <v>0</v>
      </c>
      <c r="K100" s="61"/>
      <c r="L100" s="61"/>
      <c r="M100" s="320">
        <f t="shared" si="18"/>
        <v>0</v>
      </c>
      <c r="N100" s="320">
        <f t="shared" si="18"/>
        <v>0</v>
      </c>
      <c r="O100" s="320">
        <f t="shared" si="19"/>
        <v>0</v>
      </c>
      <c r="U100" s="270"/>
      <c r="V100" s="270"/>
      <c r="W100" s="270"/>
      <c r="X100" s="270"/>
      <c r="Z100" s="256"/>
      <c r="AA100" s="256"/>
      <c r="AB100" s="256"/>
      <c r="AC100" s="256"/>
    </row>
    <row r="101" spans="1:29" ht="46.8" collapsed="1">
      <c r="A101" s="541">
        <v>68</v>
      </c>
      <c r="B101" s="628" t="s">
        <v>2235</v>
      </c>
      <c r="C101" s="61">
        <f t="shared" si="20"/>
        <v>8000</v>
      </c>
      <c r="D101" s="61">
        <v>8000</v>
      </c>
      <c r="E101" s="61">
        <v>0</v>
      </c>
      <c r="F101" s="61">
        <f t="shared" si="21"/>
        <v>8000</v>
      </c>
      <c r="G101" s="62">
        <v>8000</v>
      </c>
      <c r="H101" s="62"/>
      <c r="I101" s="62"/>
      <c r="J101" s="62">
        <v>0</v>
      </c>
      <c r="K101" s="61"/>
      <c r="L101" s="61"/>
      <c r="M101" s="320">
        <f t="shared" si="18"/>
        <v>100</v>
      </c>
      <c r="N101" s="320">
        <f t="shared" si="18"/>
        <v>100</v>
      </c>
      <c r="O101" s="320">
        <f t="shared" si="19"/>
        <v>0</v>
      </c>
      <c r="U101" s="270"/>
      <c r="V101" s="270"/>
      <c r="W101" s="270"/>
      <c r="X101" s="270"/>
      <c r="Z101" s="256"/>
      <c r="AA101" s="256"/>
      <c r="AB101" s="256"/>
      <c r="AC101" s="256"/>
    </row>
    <row r="102" spans="1:29" ht="31.2" collapsed="1">
      <c r="A102" s="541">
        <v>69</v>
      </c>
      <c r="B102" s="628" t="s">
        <v>2307</v>
      </c>
      <c r="C102" s="61">
        <f t="shared" si="20"/>
        <v>9779</v>
      </c>
      <c r="D102" s="61">
        <v>9779</v>
      </c>
      <c r="E102" s="61">
        <v>0</v>
      </c>
      <c r="F102" s="61">
        <f t="shared" si="21"/>
        <v>9779</v>
      </c>
      <c r="G102" s="62">
        <v>9779</v>
      </c>
      <c r="H102" s="62"/>
      <c r="I102" s="62"/>
      <c r="J102" s="62">
        <v>0</v>
      </c>
      <c r="K102" s="61"/>
      <c r="L102" s="61"/>
      <c r="M102" s="320">
        <f t="shared" si="18"/>
        <v>100</v>
      </c>
      <c r="N102" s="320">
        <f t="shared" si="18"/>
        <v>100</v>
      </c>
      <c r="O102" s="320">
        <f t="shared" si="19"/>
        <v>0</v>
      </c>
      <c r="U102" s="270"/>
      <c r="V102" s="270"/>
      <c r="W102" s="270"/>
      <c r="X102" s="270"/>
      <c r="Z102" s="256"/>
      <c r="AA102" s="256"/>
      <c r="AB102" s="256"/>
      <c r="AC102" s="256"/>
    </row>
    <row r="103" spans="1:29" ht="31.2" collapsed="1">
      <c r="A103" s="541">
        <v>70</v>
      </c>
      <c r="B103" s="628" t="s">
        <v>2237</v>
      </c>
      <c r="C103" s="61">
        <f t="shared" si="20"/>
        <v>4952.9000000000005</v>
      </c>
      <c r="D103" s="61">
        <v>0</v>
      </c>
      <c r="E103" s="61">
        <v>4952.9000000000005</v>
      </c>
      <c r="F103" s="61">
        <f t="shared" si="21"/>
        <v>4926.2000000000016</v>
      </c>
      <c r="G103" s="62">
        <v>0</v>
      </c>
      <c r="H103" s="62"/>
      <c r="I103" s="62"/>
      <c r="J103" s="62">
        <v>4926.2000000000016</v>
      </c>
      <c r="K103" s="61"/>
      <c r="L103" s="61"/>
      <c r="M103" s="320">
        <f t="shared" si="18"/>
        <v>99.460921884148703</v>
      </c>
      <c r="N103" s="320">
        <f t="shared" si="18"/>
        <v>0</v>
      </c>
      <c r="O103" s="320">
        <f t="shared" si="19"/>
        <v>99.460921884148703</v>
      </c>
      <c r="U103" s="270"/>
      <c r="V103" s="270"/>
      <c r="W103" s="270"/>
      <c r="X103" s="270"/>
      <c r="Z103" s="256"/>
      <c r="AA103" s="256"/>
      <c r="AB103" s="256"/>
      <c r="AC103" s="256"/>
    </row>
    <row r="104" spans="1:29" ht="46.8">
      <c r="A104" s="541">
        <v>71</v>
      </c>
      <c r="B104" s="628" t="s">
        <v>2238</v>
      </c>
      <c r="C104" s="61">
        <f t="shared" si="20"/>
        <v>162.25299999999999</v>
      </c>
      <c r="D104" s="61">
        <v>162.25299999999999</v>
      </c>
      <c r="E104" s="61">
        <v>0</v>
      </c>
      <c r="F104" s="61">
        <f t="shared" si="21"/>
        <v>162.25299999999999</v>
      </c>
      <c r="G104" s="62">
        <v>162.25299999999999</v>
      </c>
      <c r="H104" s="62"/>
      <c r="I104" s="62"/>
      <c r="J104" s="62">
        <v>0</v>
      </c>
      <c r="K104" s="61"/>
      <c r="L104" s="61"/>
      <c r="M104" s="320">
        <f t="shared" si="18"/>
        <v>100</v>
      </c>
      <c r="N104" s="320">
        <f t="shared" si="18"/>
        <v>100</v>
      </c>
      <c r="O104" s="320">
        <f t="shared" si="19"/>
        <v>0</v>
      </c>
      <c r="U104" s="270"/>
      <c r="V104" s="270"/>
      <c r="W104" s="270"/>
      <c r="X104" s="270"/>
      <c r="Z104" s="256"/>
      <c r="AA104" s="256"/>
      <c r="AB104" s="256"/>
      <c r="AC104" s="256"/>
    </row>
    <row r="105" spans="1:29" ht="31.2">
      <c r="A105" s="541">
        <v>72</v>
      </c>
      <c r="B105" s="628" t="s">
        <v>2239</v>
      </c>
      <c r="C105" s="61">
        <f t="shared" si="20"/>
        <v>700</v>
      </c>
      <c r="D105" s="61">
        <v>700</v>
      </c>
      <c r="E105" s="61">
        <v>0</v>
      </c>
      <c r="F105" s="61">
        <f t="shared" si="21"/>
        <v>0</v>
      </c>
      <c r="G105" s="62">
        <v>0</v>
      </c>
      <c r="H105" s="62"/>
      <c r="I105" s="62"/>
      <c r="J105" s="62">
        <v>0</v>
      </c>
      <c r="K105" s="61"/>
      <c r="L105" s="61"/>
      <c r="M105" s="320"/>
      <c r="N105" s="320"/>
      <c r="O105" s="320">
        <f t="shared" si="19"/>
        <v>0</v>
      </c>
      <c r="U105" s="270"/>
      <c r="V105" s="270"/>
      <c r="W105" s="270"/>
      <c r="X105" s="270"/>
      <c r="Z105" s="256"/>
      <c r="AA105" s="256"/>
      <c r="AB105" s="256"/>
      <c r="AC105" s="256"/>
    </row>
    <row r="106" spans="1:29" ht="31.2">
      <c r="A106" s="541">
        <v>73</v>
      </c>
      <c r="B106" s="628" t="s">
        <v>2241</v>
      </c>
      <c r="C106" s="61">
        <f t="shared" si="20"/>
        <v>6181</v>
      </c>
      <c r="D106" s="61">
        <v>6181</v>
      </c>
      <c r="E106" s="61">
        <v>0</v>
      </c>
      <c r="F106" s="61">
        <f t="shared" si="21"/>
        <v>0</v>
      </c>
      <c r="G106" s="62">
        <v>0</v>
      </c>
      <c r="H106" s="62"/>
      <c r="I106" s="62"/>
      <c r="J106" s="62">
        <v>0</v>
      </c>
      <c r="K106" s="61"/>
      <c r="L106" s="61"/>
      <c r="M106" s="320">
        <f>IF((C106&gt;0),F106/C106*100,0)</f>
        <v>0</v>
      </c>
      <c r="N106" s="320">
        <f>IF((D106&gt;0),G106/D106*100,0)</f>
        <v>0</v>
      </c>
      <c r="O106" s="320">
        <f t="shared" si="19"/>
        <v>0</v>
      </c>
      <c r="U106" s="270"/>
      <c r="V106" s="270"/>
      <c r="W106" s="270"/>
      <c r="X106" s="270"/>
      <c r="Z106" s="256"/>
      <c r="AA106" s="256"/>
      <c r="AB106" s="256"/>
      <c r="AC106" s="256"/>
    </row>
    <row r="107" spans="1:29" ht="31.2">
      <c r="A107" s="541">
        <v>74</v>
      </c>
      <c r="B107" s="628" t="s">
        <v>2243</v>
      </c>
      <c r="C107" s="61">
        <f t="shared" si="20"/>
        <v>3818</v>
      </c>
      <c r="D107" s="61">
        <v>0</v>
      </c>
      <c r="E107" s="61">
        <v>3818</v>
      </c>
      <c r="F107" s="61">
        <f t="shared" si="21"/>
        <v>935</v>
      </c>
      <c r="G107" s="62">
        <v>0</v>
      </c>
      <c r="H107" s="62"/>
      <c r="I107" s="62"/>
      <c r="J107" s="62">
        <v>935</v>
      </c>
      <c r="K107" s="61"/>
      <c r="L107" s="61"/>
      <c r="M107" s="320"/>
      <c r="N107" s="320"/>
      <c r="O107" s="320"/>
      <c r="U107" s="270"/>
      <c r="V107" s="270"/>
      <c r="W107" s="270"/>
      <c r="X107" s="270"/>
      <c r="Z107" s="256"/>
      <c r="AA107" s="256"/>
      <c r="AB107" s="256"/>
      <c r="AC107" s="256"/>
    </row>
    <row r="108" spans="1:29" ht="31.2">
      <c r="A108" s="541">
        <v>75</v>
      </c>
      <c r="B108" s="628" t="s">
        <v>2250</v>
      </c>
      <c r="C108" s="61">
        <f t="shared" si="20"/>
        <v>28500</v>
      </c>
      <c r="D108" s="61">
        <v>28500</v>
      </c>
      <c r="E108" s="61">
        <v>0</v>
      </c>
      <c r="F108" s="61">
        <f t="shared" si="21"/>
        <v>0</v>
      </c>
      <c r="G108" s="62">
        <v>0</v>
      </c>
      <c r="H108" s="62"/>
      <c r="I108" s="62"/>
      <c r="J108" s="62">
        <v>0</v>
      </c>
      <c r="K108" s="61"/>
      <c r="L108" s="61"/>
      <c r="M108" s="320">
        <f t="shared" ref="M108:N127" si="22">IF((C108&gt;0),F108/C108*100,0)</f>
        <v>0</v>
      </c>
      <c r="N108" s="320">
        <f t="shared" si="22"/>
        <v>0</v>
      </c>
      <c r="O108" s="320">
        <f t="shared" ref="O108:O127" si="23">IF((E108&gt;0),J108/E108*100,0)</f>
        <v>0</v>
      </c>
      <c r="U108" s="270"/>
      <c r="V108" s="270"/>
      <c r="W108" s="270"/>
      <c r="X108" s="270"/>
      <c r="Z108" s="256"/>
      <c r="AA108" s="256"/>
      <c r="AB108" s="256"/>
      <c r="AC108" s="256"/>
    </row>
    <row r="109" spans="1:29" ht="31.2">
      <c r="A109" s="541">
        <v>76</v>
      </c>
      <c r="B109" s="628" t="s">
        <v>542</v>
      </c>
      <c r="C109" s="61">
        <f t="shared" si="20"/>
        <v>18862</v>
      </c>
      <c r="D109" s="61">
        <v>18862</v>
      </c>
      <c r="E109" s="61">
        <v>0</v>
      </c>
      <c r="F109" s="61">
        <f t="shared" si="21"/>
        <v>0</v>
      </c>
      <c r="G109" s="62">
        <v>0</v>
      </c>
      <c r="H109" s="62"/>
      <c r="I109" s="62"/>
      <c r="J109" s="62">
        <v>0</v>
      </c>
      <c r="K109" s="61"/>
      <c r="L109" s="61"/>
      <c r="M109" s="320">
        <f t="shared" si="22"/>
        <v>0</v>
      </c>
      <c r="N109" s="320">
        <f t="shared" si="22"/>
        <v>0</v>
      </c>
      <c r="O109" s="320">
        <f t="shared" si="23"/>
        <v>0</v>
      </c>
      <c r="U109" s="270"/>
      <c r="V109" s="270"/>
      <c r="W109" s="270"/>
      <c r="X109" s="270"/>
      <c r="Z109" s="256"/>
      <c r="AA109" s="256"/>
      <c r="AB109" s="256"/>
      <c r="AC109" s="256"/>
    </row>
    <row r="110" spans="1:29" ht="46.8">
      <c r="A110" s="541">
        <v>77</v>
      </c>
      <c r="B110" s="628" t="s">
        <v>2254</v>
      </c>
      <c r="C110" s="61">
        <f t="shared" si="20"/>
        <v>70000</v>
      </c>
      <c r="D110" s="61">
        <v>70000</v>
      </c>
      <c r="E110" s="61">
        <v>0</v>
      </c>
      <c r="F110" s="61">
        <f t="shared" si="21"/>
        <v>0</v>
      </c>
      <c r="G110" s="62">
        <v>0</v>
      </c>
      <c r="H110" s="62"/>
      <c r="I110" s="62"/>
      <c r="J110" s="62">
        <v>0</v>
      </c>
      <c r="K110" s="61"/>
      <c r="L110" s="61"/>
      <c r="M110" s="320">
        <f t="shared" si="22"/>
        <v>0</v>
      </c>
      <c r="N110" s="320">
        <f t="shared" si="22"/>
        <v>0</v>
      </c>
      <c r="O110" s="320">
        <f t="shared" si="23"/>
        <v>0</v>
      </c>
      <c r="U110" s="270"/>
      <c r="V110" s="270"/>
      <c r="W110" s="270"/>
      <c r="X110" s="270"/>
      <c r="Z110" s="256"/>
      <c r="AA110" s="256"/>
      <c r="AB110" s="256"/>
      <c r="AC110" s="256"/>
    </row>
    <row r="111" spans="1:29">
      <c r="A111" s="541">
        <v>78</v>
      </c>
      <c r="B111" s="628" t="s">
        <v>2308</v>
      </c>
      <c r="C111" s="61">
        <f t="shared" si="20"/>
        <v>496.19999999999982</v>
      </c>
      <c r="D111" s="61">
        <v>0</v>
      </c>
      <c r="E111" s="61">
        <v>496.19999999999982</v>
      </c>
      <c r="F111" s="61">
        <f t="shared" si="21"/>
        <v>496.2</v>
      </c>
      <c r="G111" s="62">
        <v>0</v>
      </c>
      <c r="H111" s="62"/>
      <c r="I111" s="62"/>
      <c r="J111" s="62">
        <v>496.2</v>
      </c>
      <c r="K111" s="61"/>
      <c r="L111" s="61"/>
      <c r="M111" s="320">
        <f t="shared" si="22"/>
        <v>100.00000000000004</v>
      </c>
      <c r="N111" s="320">
        <f t="shared" si="22"/>
        <v>0</v>
      </c>
      <c r="O111" s="320">
        <f t="shared" si="23"/>
        <v>100.00000000000004</v>
      </c>
      <c r="U111" s="270"/>
      <c r="V111" s="270"/>
      <c r="W111" s="270"/>
      <c r="X111" s="270"/>
      <c r="Z111" s="256"/>
      <c r="AA111" s="256"/>
      <c r="AB111" s="256"/>
      <c r="AC111" s="256"/>
    </row>
    <row r="112" spans="1:29">
      <c r="A112" s="541">
        <v>79</v>
      </c>
      <c r="B112" s="628" t="s">
        <v>472</v>
      </c>
      <c r="C112" s="61">
        <f t="shared" si="20"/>
        <v>573.17499999999995</v>
      </c>
      <c r="D112" s="61">
        <v>63.971999999999994</v>
      </c>
      <c r="E112" s="61">
        <v>509.20299999999997</v>
      </c>
      <c r="F112" s="61">
        <f t="shared" si="21"/>
        <v>509.20299999999997</v>
      </c>
      <c r="G112" s="62">
        <v>0</v>
      </c>
      <c r="H112" s="62"/>
      <c r="I112" s="62"/>
      <c r="J112" s="62">
        <v>509.20299999999997</v>
      </c>
      <c r="K112" s="61"/>
      <c r="L112" s="61"/>
      <c r="M112" s="320">
        <f t="shared" si="22"/>
        <v>88.839010773324034</v>
      </c>
      <c r="N112" s="320">
        <f t="shared" si="22"/>
        <v>0</v>
      </c>
      <c r="O112" s="320">
        <f t="shared" si="23"/>
        <v>100</v>
      </c>
      <c r="U112" s="270"/>
      <c r="V112" s="270"/>
      <c r="W112" s="270"/>
      <c r="X112" s="270"/>
      <c r="Z112" s="256"/>
      <c r="AA112" s="256"/>
      <c r="AB112" s="256"/>
      <c r="AC112" s="256"/>
    </row>
    <row r="113" spans="1:29" ht="31.2">
      <c r="A113" s="541">
        <v>80</v>
      </c>
      <c r="B113" s="628" t="s">
        <v>479</v>
      </c>
      <c r="C113" s="61">
        <f t="shared" si="20"/>
        <v>380</v>
      </c>
      <c r="D113" s="61">
        <v>0</v>
      </c>
      <c r="E113" s="61">
        <v>380</v>
      </c>
      <c r="F113" s="61">
        <f t="shared" si="21"/>
        <v>0</v>
      </c>
      <c r="G113" s="62">
        <v>0</v>
      </c>
      <c r="H113" s="62"/>
      <c r="I113" s="62"/>
      <c r="J113" s="62">
        <v>0</v>
      </c>
      <c r="K113" s="61"/>
      <c r="L113" s="61"/>
      <c r="M113" s="320">
        <f t="shared" si="22"/>
        <v>0</v>
      </c>
      <c r="N113" s="320">
        <f t="shared" si="22"/>
        <v>0</v>
      </c>
      <c r="O113" s="320">
        <f t="shared" si="23"/>
        <v>0</v>
      </c>
      <c r="U113" s="270"/>
      <c r="V113" s="270"/>
      <c r="W113" s="270"/>
      <c r="X113" s="270"/>
      <c r="Z113" s="256"/>
      <c r="AA113" s="256"/>
      <c r="AB113" s="256"/>
      <c r="AC113" s="256"/>
    </row>
    <row r="114" spans="1:29">
      <c r="A114" s="541">
        <v>81</v>
      </c>
      <c r="B114" s="628" t="s">
        <v>485</v>
      </c>
      <c r="C114" s="61">
        <f t="shared" si="20"/>
        <v>168.76299999999992</v>
      </c>
      <c r="D114" s="61">
        <v>168.76299999999992</v>
      </c>
      <c r="E114" s="61">
        <v>0</v>
      </c>
      <c r="F114" s="61">
        <f t="shared" si="21"/>
        <v>106.9404</v>
      </c>
      <c r="G114" s="62">
        <v>106.9404</v>
      </c>
      <c r="H114" s="62"/>
      <c r="I114" s="62"/>
      <c r="J114" s="62">
        <v>0</v>
      </c>
      <c r="K114" s="61"/>
      <c r="L114" s="61"/>
      <c r="M114" s="320">
        <f t="shared" si="22"/>
        <v>63.367207266995749</v>
      </c>
      <c r="N114" s="320">
        <f t="shared" si="22"/>
        <v>63.367207266995749</v>
      </c>
      <c r="O114" s="320">
        <f t="shared" si="23"/>
        <v>0</v>
      </c>
      <c r="U114" s="270"/>
      <c r="V114" s="270"/>
      <c r="W114" s="270"/>
      <c r="X114" s="270"/>
      <c r="Z114" s="256"/>
      <c r="AA114" s="256"/>
      <c r="AB114" s="256"/>
      <c r="AC114" s="256"/>
    </row>
    <row r="115" spans="1:29" s="261" customFormat="1" ht="31.2" collapsed="1">
      <c r="A115" s="541">
        <v>82</v>
      </c>
      <c r="B115" s="628" t="s">
        <v>2309</v>
      </c>
      <c r="C115" s="61">
        <f t="shared" si="20"/>
        <v>1450</v>
      </c>
      <c r="D115" s="61">
        <v>1450</v>
      </c>
      <c r="E115" s="61">
        <v>0</v>
      </c>
      <c r="F115" s="61">
        <f t="shared" si="21"/>
        <v>593.67999999999995</v>
      </c>
      <c r="G115" s="62">
        <v>593.67999999999995</v>
      </c>
      <c r="H115" s="62"/>
      <c r="I115" s="62"/>
      <c r="J115" s="62">
        <v>0</v>
      </c>
      <c r="K115" s="61"/>
      <c r="L115" s="61"/>
      <c r="M115" s="320">
        <f t="shared" si="22"/>
        <v>40.943448275862067</v>
      </c>
      <c r="N115" s="320">
        <f t="shared" si="22"/>
        <v>40.943448275862067</v>
      </c>
      <c r="O115" s="320">
        <f t="shared" si="23"/>
        <v>0</v>
      </c>
      <c r="P115" s="254"/>
      <c r="Q115" s="107"/>
      <c r="R115" s="107"/>
      <c r="S115" s="254"/>
      <c r="U115" s="270"/>
      <c r="V115" s="270"/>
      <c r="W115" s="270"/>
      <c r="X115" s="270"/>
      <c r="Z115" s="256"/>
      <c r="AA115" s="256"/>
      <c r="AB115" s="256"/>
      <c r="AC115" s="256"/>
    </row>
    <row r="116" spans="1:29" ht="31.2">
      <c r="A116" s="541">
        <v>83</v>
      </c>
      <c r="B116" s="628" t="s">
        <v>510</v>
      </c>
      <c r="C116" s="61">
        <f t="shared" si="20"/>
        <v>19727</v>
      </c>
      <c r="D116" s="61">
        <v>3500</v>
      </c>
      <c r="E116" s="61">
        <v>16227</v>
      </c>
      <c r="F116" s="61">
        <f t="shared" si="21"/>
        <v>19652.23</v>
      </c>
      <c r="G116" s="62">
        <v>3500</v>
      </c>
      <c r="H116" s="62"/>
      <c r="I116" s="62"/>
      <c r="J116" s="62">
        <v>16152.23</v>
      </c>
      <c r="K116" s="61"/>
      <c r="L116" s="61"/>
      <c r="M116" s="320">
        <f t="shared" si="22"/>
        <v>99.620976326861651</v>
      </c>
      <c r="N116" s="320">
        <f t="shared" si="22"/>
        <v>100</v>
      </c>
      <c r="O116" s="320">
        <f t="shared" si="23"/>
        <v>99.539224748875327</v>
      </c>
      <c r="U116" s="270"/>
      <c r="V116" s="270"/>
      <c r="W116" s="270"/>
      <c r="X116" s="270"/>
      <c r="Z116" s="256"/>
      <c r="AA116" s="256"/>
      <c r="AB116" s="256"/>
      <c r="AC116" s="256"/>
    </row>
    <row r="117" spans="1:29">
      <c r="A117" s="541">
        <v>84</v>
      </c>
      <c r="B117" s="628" t="s">
        <v>517</v>
      </c>
      <c r="C117" s="61">
        <f t="shared" si="20"/>
        <v>1225</v>
      </c>
      <c r="D117" s="61">
        <v>1225</v>
      </c>
      <c r="E117" s="61">
        <v>0</v>
      </c>
      <c r="F117" s="61">
        <f t="shared" si="21"/>
        <v>1225</v>
      </c>
      <c r="G117" s="62">
        <v>1225</v>
      </c>
      <c r="H117" s="62"/>
      <c r="I117" s="62"/>
      <c r="J117" s="62">
        <v>0</v>
      </c>
      <c r="K117" s="61"/>
      <c r="L117" s="61"/>
      <c r="M117" s="320">
        <f t="shared" si="22"/>
        <v>100</v>
      </c>
      <c r="N117" s="320">
        <f t="shared" si="22"/>
        <v>100</v>
      </c>
      <c r="O117" s="320">
        <f t="shared" si="23"/>
        <v>0</v>
      </c>
      <c r="U117" s="270"/>
      <c r="V117" s="270"/>
      <c r="W117" s="270"/>
      <c r="X117" s="270"/>
      <c r="Z117" s="256"/>
      <c r="AA117" s="256"/>
      <c r="AB117" s="256"/>
      <c r="AC117" s="256"/>
    </row>
    <row r="118" spans="1:29">
      <c r="A118" s="541">
        <v>85</v>
      </c>
      <c r="B118" s="628" t="s">
        <v>533</v>
      </c>
      <c r="C118" s="61">
        <f t="shared" si="20"/>
        <v>285.55700000000002</v>
      </c>
      <c r="D118" s="61">
        <v>0</v>
      </c>
      <c r="E118" s="61">
        <v>285.55700000000002</v>
      </c>
      <c r="F118" s="61">
        <f t="shared" si="21"/>
        <v>0</v>
      </c>
      <c r="G118" s="62">
        <v>0</v>
      </c>
      <c r="H118" s="62"/>
      <c r="I118" s="62"/>
      <c r="J118" s="62">
        <v>0</v>
      </c>
      <c r="K118" s="61"/>
      <c r="L118" s="61"/>
      <c r="M118" s="320">
        <f t="shared" si="22"/>
        <v>0</v>
      </c>
      <c r="N118" s="320">
        <f t="shared" si="22"/>
        <v>0</v>
      </c>
      <c r="O118" s="320">
        <f t="shared" si="23"/>
        <v>0</v>
      </c>
      <c r="U118" s="270"/>
      <c r="V118" s="270"/>
      <c r="W118" s="270"/>
      <c r="X118" s="270"/>
      <c r="Z118" s="256"/>
      <c r="AA118" s="256"/>
      <c r="AB118" s="256"/>
      <c r="AC118" s="256"/>
    </row>
    <row r="119" spans="1:29">
      <c r="A119" s="541">
        <v>86</v>
      </c>
      <c r="B119" s="632" t="s">
        <v>534</v>
      </c>
      <c r="C119" s="61">
        <f t="shared" si="20"/>
        <v>52.998866000000135</v>
      </c>
      <c r="D119" s="61">
        <v>0</v>
      </c>
      <c r="E119" s="61">
        <v>52.998866000000135</v>
      </c>
      <c r="F119" s="61">
        <f t="shared" si="21"/>
        <v>0</v>
      </c>
      <c r="G119" s="62">
        <v>0</v>
      </c>
      <c r="H119" s="62"/>
      <c r="I119" s="62"/>
      <c r="J119" s="62">
        <v>0</v>
      </c>
      <c r="K119" s="61"/>
      <c r="L119" s="61"/>
      <c r="M119" s="320">
        <f t="shared" si="22"/>
        <v>0</v>
      </c>
      <c r="N119" s="320">
        <f t="shared" si="22"/>
        <v>0</v>
      </c>
      <c r="O119" s="320">
        <f t="shared" si="23"/>
        <v>0</v>
      </c>
      <c r="U119" s="270"/>
      <c r="V119" s="270"/>
      <c r="W119" s="270"/>
      <c r="X119" s="270"/>
      <c r="Z119" s="256"/>
      <c r="AA119" s="256"/>
      <c r="AB119" s="256"/>
      <c r="AC119" s="256"/>
    </row>
    <row r="120" spans="1:29">
      <c r="A120" s="541">
        <v>87</v>
      </c>
      <c r="B120" s="632" t="s">
        <v>536</v>
      </c>
      <c r="C120" s="61">
        <f t="shared" si="20"/>
        <v>169.71900000000002</v>
      </c>
      <c r="D120" s="61">
        <v>0</v>
      </c>
      <c r="E120" s="61">
        <v>169.71900000000002</v>
      </c>
      <c r="F120" s="61">
        <f t="shared" si="21"/>
        <v>0</v>
      </c>
      <c r="G120" s="62">
        <v>0</v>
      </c>
      <c r="H120" s="62"/>
      <c r="I120" s="62"/>
      <c r="J120" s="62">
        <v>0</v>
      </c>
      <c r="K120" s="61"/>
      <c r="L120" s="61"/>
      <c r="M120" s="320">
        <f t="shared" si="22"/>
        <v>0</v>
      </c>
      <c r="N120" s="320">
        <f t="shared" si="22"/>
        <v>0</v>
      </c>
      <c r="O120" s="320">
        <f t="shared" si="23"/>
        <v>0</v>
      </c>
      <c r="U120" s="270"/>
      <c r="V120" s="270"/>
      <c r="W120" s="270"/>
      <c r="X120" s="270"/>
      <c r="Z120" s="256"/>
      <c r="AA120" s="256"/>
      <c r="AB120" s="256"/>
      <c r="AC120" s="256"/>
    </row>
    <row r="121" spans="1:29" ht="31.2">
      <c r="A121" s="541">
        <v>88</v>
      </c>
      <c r="B121" s="46" t="s">
        <v>538</v>
      </c>
      <c r="C121" s="61">
        <f t="shared" si="20"/>
        <v>13</v>
      </c>
      <c r="D121" s="61">
        <v>0</v>
      </c>
      <c r="E121" s="61">
        <v>13</v>
      </c>
      <c r="F121" s="61">
        <f t="shared" si="21"/>
        <v>0</v>
      </c>
      <c r="G121" s="62">
        <v>0</v>
      </c>
      <c r="H121" s="62"/>
      <c r="I121" s="62"/>
      <c r="J121" s="62">
        <v>0</v>
      </c>
      <c r="K121" s="61"/>
      <c r="L121" s="61"/>
      <c r="M121" s="320">
        <f t="shared" si="22"/>
        <v>0</v>
      </c>
      <c r="N121" s="320">
        <f t="shared" si="22"/>
        <v>0</v>
      </c>
      <c r="O121" s="320">
        <f t="shared" si="23"/>
        <v>0</v>
      </c>
      <c r="U121" s="270"/>
      <c r="V121" s="270"/>
      <c r="W121" s="270"/>
      <c r="X121" s="270"/>
      <c r="Z121" s="256"/>
      <c r="AA121" s="256"/>
      <c r="AB121" s="256"/>
      <c r="AC121" s="256"/>
    </row>
    <row r="122" spans="1:29" ht="31.2">
      <c r="A122" s="541">
        <v>89</v>
      </c>
      <c r="B122" s="628" t="s">
        <v>539</v>
      </c>
      <c r="C122" s="61">
        <f t="shared" si="20"/>
        <v>42.32</v>
      </c>
      <c r="D122" s="61">
        <v>0</v>
      </c>
      <c r="E122" s="61">
        <v>42.32</v>
      </c>
      <c r="F122" s="61">
        <f t="shared" si="21"/>
        <v>0</v>
      </c>
      <c r="G122" s="62">
        <v>0</v>
      </c>
      <c r="H122" s="62"/>
      <c r="I122" s="62"/>
      <c r="J122" s="62">
        <v>0</v>
      </c>
      <c r="K122" s="61"/>
      <c r="L122" s="61"/>
      <c r="M122" s="320">
        <f t="shared" si="22"/>
        <v>0</v>
      </c>
      <c r="N122" s="320">
        <f t="shared" si="22"/>
        <v>0</v>
      </c>
      <c r="O122" s="320">
        <f t="shared" si="23"/>
        <v>0</v>
      </c>
      <c r="U122" s="270"/>
      <c r="V122" s="270"/>
      <c r="W122" s="270"/>
      <c r="X122" s="270"/>
      <c r="Z122" s="256"/>
      <c r="AA122" s="256"/>
      <c r="AB122" s="256"/>
      <c r="AC122" s="256"/>
    </row>
    <row r="123" spans="1:29">
      <c r="A123" s="541">
        <v>90</v>
      </c>
      <c r="B123" s="628" t="s">
        <v>544</v>
      </c>
      <c r="C123" s="61">
        <f t="shared" si="20"/>
        <v>5179.1899999999996</v>
      </c>
      <c r="D123" s="61">
        <v>0</v>
      </c>
      <c r="E123" s="61">
        <v>5179.1899999999996</v>
      </c>
      <c r="F123" s="61">
        <f t="shared" si="21"/>
        <v>0</v>
      </c>
      <c r="G123" s="62">
        <v>0</v>
      </c>
      <c r="H123" s="62"/>
      <c r="I123" s="62"/>
      <c r="J123" s="62">
        <v>0</v>
      </c>
      <c r="K123" s="61"/>
      <c r="L123" s="61"/>
      <c r="M123" s="320">
        <f t="shared" si="22"/>
        <v>0</v>
      </c>
      <c r="N123" s="320">
        <f t="shared" si="22"/>
        <v>0</v>
      </c>
      <c r="O123" s="320">
        <f t="shared" si="23"/>
        <v>0</v>
      </c>
      <c r="U123" s="270"/>
      <c r="V123" s="270"/>
      <c r="W123" s="270"/>
      <c r="X123" s="270"/>
      <c r="Z123" s="256"/>
      <c r="AA123" s="256"/>
      <c r="AB123" s="256"/>
      <c r="AC123" s="256"/>
    </row>
    <row r="124" spans="1:29">
      <c r="A124" s="541">
        <v>91</v>
      </c>
      <c r="B124" s="634" t="s">
        <v>545</v>
      </c>
      <c r="C124" s="61">
        <f t="shared" si="20"/>
        <v>1.8390000000000102</v>
      </c>
      <c r="D124" s="61">
        <v>0</v>
      </c>
      <c r="E124" s="61">
        <v>1.8390000000000102</v>
      </c>
      <c r="F124" s="61">
        <f t="shared" si="21"/>
        <v>0</v>
      </c>
      <c r="G124" s="62">
        <v>0</v>
      </c>
      <c r="H124" s="62"/>
      <c r="I124" s="62"/>
      <c r="J124" s="62">
        <v>0</v>
      </c>
      <c r="K124" s="61"/>
      <c r="L124" s="61"/>
      <c r="M124" s="320">
        <f t="shared" si="22"/>
        <v>0</v>
      </c>
      <c r="N124" s="320">
        <f t="shared" si="22"/>
        <v>0</v>
      </c>
      <c r="O124" s="320">
        <f t="shared" si="23"/>
        <v>0</v>
      </c>
      <c r="U124" s="270"/>
      <c r="V124" s="270"/>
      <c r="W124" s="270"/>
      <c r="X124" s="270"/>
      <c r="Z124" s="256"/>
      <c r="AA124" s="256"/>
      <c r="AB124" s="256"/>
      <c r="AC124" s="256"/>
    </row>
    <row r="125" spans="1:29">
      <c r="A125" s="541">
        <v>92</v>
      </c>
      <c r="B125" s="635" t="s">
        <v>2310</v>
      </c>
      <c r="C125" s="61">
        <f t="shared" si="20"/>
        <v>10.822000000000003</v>
      </c>
      <c r="D125" s="61">
        <v>0</v>
      </c>
      <c r="E125" s="61">
        <v>10.822000000000003</v>
      </c>
      <c r="F125" s="61">
        <f t="shared" si="21"/>
        <v>0</v>
      </c>
      <c r="G125" s="62">
        <v>0</v>
      </c>
      <c r="H125" s="62"/>
      <c r="I125" s="62"/>
      <c r="J125" s="62">
        <v>0</v>
      </c>
      <c r="K125" s="61"/>
      <c r="L125" s="61"/>
      <c r="M125" s="320">
        <f t="shared" si="22"/>
        <v>0</v>
      </c>
      <c r="N125" s="320">
        <f t="shared" si="22"/>
        <v>0</v>
      </c>
      <c r="O125" s="320">
        <f t="shared" si="23"/>
        <v>0</v>
      </c>
      <c r="P125" s="261"/>
      <c r="U125" s="270"/>
      <c r="V125" s="270"/>
      <c r="W125" s="270"/>
      <c r="X125" s="270"/>
      <c r="Z125" s="256"/>
      <c r="AA125" s="256"/>
      <c r="AB125" s="256"/>
      <c r="AC125" s="256"/>
    </row>
    <row r="126" spans="1:29">
      <c r="A126" s="541">
        <v>93</v>
      </c>
      <c r="B126" s="628" t="s">
        <v>547</v>
      </c>
      <c r="C126" s="61">
        <f t="shared" si="20"/>
        <v>272</v>
      </c>
      <c r="D126" s="61">
        <v>272</v>
      </c>
      <c r="E126" s="61">
        <v>0</v>
      </c>
      <c r="F126" s="61">
        <f t="shared" si="21"/>
        <v>0</v>
      </c>
      <c r="G126" s="62">
        <v>0</v>
      </c>
      <c r="H126" s="62"/>
      <c r="I126" s="62"/>
      <c r="J126" s="62">
        <v>0</v>
      </c>
      <c r="K126" s="61"/>
      <c r="L126" s="61"/>
      <c r="M126" s="320">
        <f t="shared" si="22"/>
        <v>0</v>
      </c>
      <c r="N126" s="320">
        <f t="shared" si="22"/>
        <v>0</v>
      </c>
      <c r="O126" s="320">
        <f t="shared" si="23"/>
        <v>0</v>
      </c>
      <c r="U126" s="270"/>
      <c r="V126" s="270"/>
      <c r="W126" s="270"/>
      <c r="X126" s="270"/>
      <c r="Z126" s="256"/>
      <c r="AA126" s="256"/>
      <c r="AB126" s="256"/>
      <c r="AC126" s="256"/>
    </row>
    <row r="127" spans="1:29">
      <c r="A127" s="541">
        <v>94</v>
      </c>
      <c r="B127" s="632" t="s">
        <v>548</v>
      </c>
      <c r="C127" s="61">
        <f t="shared" si="20"/>
        <v>210.94300000000004</v>
      </c>
      <c r="D127" s="61">
        <v>0</v>
      </c>
      <c r="E127" s="61">
        <v>210.94300000000004</v>
      </c>
      <c r="F127" s="61">
        <f t="shared" si="21"/>
        <v>0</v>
      </c>
      <c r="G127" s="62">
        <v>0</v>
      </c>
      <c r="H127" s="62"/>
      <c r="I127" s="62"/>
      <c r="J127" s="62">
        <v>0</v>
      </c>
      <c r="K127" s="58"/>
      <c r="L127" s="58"/>
      <c r="M127" s="316">
        <f t="shared" si="22"/>
        <v>0</v>
      </c>
      <c r="N127" s="316">
        <f t="shared" si="22"/>
        <v>0</v>
      </c>
      <c r="O127" s="316">
        <f t="shared" si="23"/>
        <v>0</v>
      </c>
    </row>
    <row r="128" spans="1:29">
      <c r="A128" s="541">
        <v>95</v>
      </c>
      <c r="B128" s="628" t="s">
        <v>549</v>
      </c>
      <c r="C128" s="61">
        <f t="shared" si="20"/>
        <v>1258</v>
      </c>
      <c r="D128" s="61">
        <v>1258</v>
      </c>
      <c r="E128" s="61">
        <v>0</v>
      </c>
      <c r="F128" s="61">
        <f t="shared" si="21"/>
        <v>0</v>
      </c>
      <c r="G128" s="62">
        <v>0</v>
      </c>
      <c r="H128" s="62"/>
      <c r="I128" s="62"/>
      <c r="J128" s="62">
        <v>0</v>
      </c>
      <c r="K128" s="624"/>
      <c r="L128" s="624"/>
      <c r="M128" s="624"/>
      <c r="N128" s="624"/>
      <c r="O128" s="608"/>
    </row>
    <row r="129" spans="1:15" s="254" customFormat="1">
      <c r="A129" s="541">
        <v>96</v>
      </c>
      <c r="B129" s="46" t="s">
        <v>551</v>
      </c>
      <c r="C129" s="61">
        <f t="shared" si="20"/>
        <v>1242</v>
      </c>
      <c r="D129" s="61">
        <v>1242</v>
      </c>
      <c r="E129" s="61">
        <v>0</v>
      </c>
      <c r="F129" s="61">
        <f t="shared" si="21"/>
        <v>0</v>
      </c>
      <c r="G129" s="62">
        <v>0</v>
      </c>
      <c r="H129" s="62"/>
      <c r="I129" s="62"/>
      <c r="J129" s="62">
        <v>0</v>
      </c>
      <c r="K129" s="624"/>
      <c r="L129" s="624"/>
      <c r="M129" s="624"/>
      <c r="N129" s="624"/>
      <c r="O129" s="608"/>
    </row>
    <row r="130" spans="1:15" s="254" customFormat="1">
      <c r="A130" s="541">
        <v>97</v>
      </c>
      <c r="B130" s="46" t="s">
        <v>552</v>
      </c>
      <c r="C130" s="61">
        <f t="shared" si="20"/>
        <v>1295.396476999998</v>
      </c>
      <c r="D130" s="61">
        <v>0</v>
      </c>
      <c r="E130" s="61">
        <v>1295.396476999998</v>
      </c>
      <c r="F130" s="61">
        <f t="shared" si="21"/>
        <v>0</v>
      </c>
      <c r="G130" s="62">
        <v>0</v>
      </c>
      <c r="H130" s="62"/>
      <c r="I130" s="62"/>
      <c r="J130" s="62">
        <v>0</v>
      </c>
      <c r="K130" s="624"/>
      <c r="L130" s="624"/>
      <c r="M130" s="624"/>
      <c r="N130" s="624"/>
      <c r="O130" s="608"/>
    </row>
    <row r="131" spans="1:15" s="254" customFormat="1" ht="31.2">
      <c r="A131" s="541">
        <v>98</v>
      </c>
      <c r="B131" s="636" t="s">
        <v>555</v>
      </c>
      <c r="C131" s="609">
        <f t="shared" si="20"/>
        <v>179</v>
      </c>
      <c r="D131" s="609">
        <v>0</v>
      </c>
      <c r="E131" s="609">
        <v>179</v>
      </c>
      <c r="F131" s="609">
        <f t="shared" si="21"/>
        <v>0</v>
      </c>
      <c r="G131" s="610">
        <v>0</v>
      </c>
      <c r="H131" s="610"/>
      <c r="I131" s="610"/>
      <c r="J131" s="610">
        <v>0</v>
      </c>
      <c r="K131" s="625"/>
      <c r="L131" s="625"/>
      <c r="M131" s="625"/>
      <c r="N131" s="625"/>
      <c r="O131" s="611"/>
    </row>
  </sheetData>
  <mergeCells count="9">
    <mergeCell ref="A3:O3"/>
    <mergeCell ref="A4:O4"/>
    <mergeCell ref="A6:A7"/>
    <mergeCell ref="B6:B7"/>
    <mergeCell ref="C6:C7"/>
    <mergeCell ref="D6:E6"/>
    <mergeCell ref="F6:F7"/>
    <mergeCell ref="G6:L6"/>
    <mergeCell ref="M6:O6"/>
  </mergeCells>
  <dataValidations count="4">
    <dataValidation allowBlank="1" showInputMessage="1" showErrorMessage="1" prompt="Số liệu lấy theoi Biểu Anh Phòng TCĐT cung cấp" sqref="J17:J18" xr:uid="{00000000-0002-0000-1400-000000000000}"/>
    <dataValidation allowBlank="1" showInputMessage="1" showErrorMessage="1" prompt="- Số liệu phòng TCĐT cung cấp 70.518trđ._x000a_-Phòng QLNS lấy theo số liệu VB 1868/STC-QLNS ngày 12/7/2018: _x000a_+ Tiền đất Nam cầu Dakk Bla: 66.709trđ_x000a_+ Tiền đất đấu giá các trụ sở cũ 3.876 trđ " sqref="H17:I17" xr:uid="{00000000-0002-0000-1400-000001000000}"/>
    <dataValidation allowBlank="1" showInputMessage="1" showErrorMessage="1" prompt="Theo Quyết định công khai của UBND các huyện" sqref="Q17:R18" xr:uid="{00000000-0002-0000-1400-000002000000}"/>
    <dataValidation allowBlank="1" showInputMessage="1" showErrorMessage="1" prompt="Số liệu DT hiao theo QĐ 1129/QĐ-UBND ngày 30/10/2017 của UBND tỉnh" sqref="C32" xr:uid="{00000000-0002-0000-1400-000003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111"/>
  <sheetViews>
    <sheetView zoomScale="90" zoomScaleNormal="90" workbookViewId="0">
      <pane xSplit="2" ySplit="8" topLeftCell="F102" activePane="bottomRight" state="frozen"/>
      <selection pane="topRight" activeCell="C1" sqref="C1"/>
      <selection pane="bottomLeft" activeCell="A9" sqref="A9"/>
      <selection pane="bottomRight" activeCell="M13" sqref="M13"/>
    </sheetView>
  </sheetViews>
  <sheetFormatPr defaultColWidth="9.109375" defaultRowHeight="15.6" outlineLevelCol="1"/>
  <cols>
    <col min="1" max="1" width="7" style="254" customWidth="1"/>
    <col min="2" max="2" width="48" style="254" customWidth="1"/>
    <col min="3" max="4" width="13.33203125" style="254" customWidth="1"/>
    <col min="5" max="5" width="11.33203125" style="254" bestFit="1" customWidth="1"/>
    <col min="6" max="6" width="12.5546875" style="254" customWidth="1"/>
    <col min="7" max="7" width="14.6640625" style="279" bestFit="1" customWidth="1"/>
    <col min="8" max="9" width="11.33203125" style="279" hidden="1" customWidth="1" outlineLevel="1"/>
    <col min="10" max="10" width="12.88671875" style="279" bestFit="1" customWidth="1" collapsed="1"/>
    <col min="11" max="12" width="11.33203125" style="279" hidden="1" customWidth="1" outlineLevel="1"/>
    <col min="13" max="13" width="10.109375" style="279" customWidth="1" collapsed="1"/>
    <col min="14" max="14" width="9" style="279" customWidth="1"/>
    <col min="15" max="15" width="8.6640625" style="254" customWidth="1"/>
    <col min="16" max="16384" width="9.109375" style="254"/>
  </cols>
  <sheetData>
    <row r="1" spans="1:16">
      <c r="A1" s="252" t="s">
        <v>202</v>
      </c>
      <c r="B1" s="598"/>
      <c r="F1" s="256"/>
      <c r="G1" s="276"/>
      <c r="H1" s="276"/>
      <c r="I1" s="276"/>
      <c r="M1" s="299" t="s">
        <v>75</v>
      </c>
      <c r="N1" s="276"/>
    </row>
    <row r="2" spans="1:16">
      <c r="A2" s="303"/>
      <c r="F2" s="270"/>
      <c r="G2" s="276"/>
      <c r="H2" s="276"/>
      <c r="I2" s="276"/>
      <c r="J2" s="276"/>
      <c r="K2" s="276"/>
      <c r="L2" s="276"/>
    </row>
    <row r="3" spans="1:16" ht="20.25" customHeight="1">
      <c r="A3" s="802" t="s">
        <v>2267</v>
      </c>
      <c r="B3" s="802"/>
      <c r="C3" s="802"/>
      <c r="D3" s="802"/>
      <c r="E3" s="802"/>
      <c r="F3" s="802"/>
      <c r="G3" s="802"/>
      <c r="H3" s="802"/>
      <c r="I3" s="802"/>
      <c r="J3" s="802"/>
      <c r="K3" s="802"/>
      <c r="L3" s="802"/>
      <c r="M3" s="802"/>
      <c r="N3" s="802"/>
      <c r="O3" s="802"/>
    </row>
    <row r="4" spans="1:16">
      <c r="A4" s="803" t="s">
        <v>2043</v>
      </c>
      <c r="B4" s="803"/>
      <c r="C4" s="803"/>
      <c r="D4" s="803"/>
      <c r="E4" s="803"/>
      <c r="F4" s="803"/>
      <c r="G4" s="803"/>
      <c r="H4" s="803"/>
      <c r="I4" s="803"/>
      <c r="J4" s="803"/>
      <c r="K4" s="803"/>
      <c r="L4" s="803"/>
      <c r="M4" s="803"/>
      <c r="N4" s="803"/>
      <c r="O4" s="803"/>
    </row>
    <row r="5" spans="1:16">
      <c r="B5" s="306"/>
      <c r="C5" s="256"/>
      <c r="D5" s="266"/>
      <c r="E5" s="256"/>
      <c r="F5" s="256"/>
      <c r="M5" s="281" t="s">
        <v>1</v>
      </c>
    </row>
    <row r="6" spans="1:16" ht="22.5" customHeight="1">
      <c r="A6" s="800" t="s">
        <v>2</v>
      </c>
      <c r="B6" s="800" t="s">
        <v>3</v>
      </c>
      <c r="C6" s="800" t="s">
        <v>39</v>
      </c>
      <c r="D6" s="800" t="s">
        <v>76</v>
      </c>
      <c r="E6" s="800"/>
      <c r="F6" s="800" t="s">
        <v>5</v>
      </c>
      <c r="G6" s="804" t="s">
        <v>76</v>
      </c>
      <c r="H6" s="805"/>
      <c r="I6" s="805"/>
      <c r="J6" s="805"/>
      <c r="K6" s="805"/>
      <c r="L6" s="806"/>
      <c r="M6" s="800" t="s">
        <v>6</v>
      </c>
      <c r="N6" s="800"/>
      <c r="O6" s="800"/>
    </row>
    <row r="7" spans="1:16" ht="71.25" customHeight="1">
      <c r="A7" s="800"/>
      <c r="B7" s="800"/>
      <c r="C7" s="800"/>
      <c r="D7" s="250" t="s">
        <v>77</v>
      </c>
      <c r="E7" s="250" t="s">
        <v>78</v>
      </c>
      <c r="F7" s="800"/>
      <c r="G7" s="596" t="s">
        <v>77</v>
      </c>
      <c r="H7" s="596" t="s">
        <v>341</v>
      </c>
      <c r="I7" s="596" t="s">
        <v>340</v>
      </c>
      <c r="J7" s="596" t="s">
        <v>78</v>
      </c>
      <c r="K7" s="596" t="s">
        <v>341</v>
      </c>
      <c r="L7" s="596" t="s">
        <v>340</v>
      </c>
      <c r="M7" s="596" t="s">
        <v>79</v>
      </c>
      <c r="N7" s="596" t="s">
        <v>77</v>
      </c>
      <c r="O7" s="250" t="s">
        <v>78</v>
      </c>
    </row>
    <row r="8" spans="1:16">
      <c r="A8" s="257" t="s">
        <v>7</v>
      </c>
      <c r="B8" s="599" t="s">
        <v>8</v>
      </c>
      <c r="C8" s="257" t="s">
        <v>80</v>
      </c>
      <c r="D8" s="257">
        <v>2</v>
      </c>
      <c r="E8" s="257">
        <v>3</v>
      </c>
      <c r="F8" s="257" t="s">
        <v>81</v>
      </c>
      <c r="G8" s="599">
        <v>5</v>
      </c>
      <c r="H8" s="599"/>
      <c r="I8" s="599"/>
      <c r="J8" s="599">
        <v>6</v>
      </c>
      <c r="K8" s="599"/>
      <c r="L8" s="599"/>
      <c r="M8" s="599" t="s">
        <v>82</v>
      </c>
      <c r="N8" s="599" t="s">
        <v>83</v>
      </c>
      <c r="O8" s="257" t="s">
        <v>84</v>
      </c>
    </row>
    <row r="9" spans="1:16" s="261" customFormat="1" ht="24.75" customHeight="1">
      <c r="A9" s="54"/>
      <c r="B9" s="54" t="s">
        <v>21</v>
      </c>
      <c r="C9" s="601">
        <f t="shared" ref="C9:E9" si="0">C10+C30+C110+C111</f>
        <v>6769911.2365060002</v>
      </c>
      <c r="D9" s="601">
        <f t="shared" si="0"/>
        <v>3619067.536506</v>
      </c>
      <c r="E9" s="601">
        <f t="shared" si="0"/>
        <v>3150843.7</v>
      </c>
      <c r="F9" s="601">
        <f>F10+F30+F110+F111</f>
        <v>8802796.2269860003</v>
      </c>
      <c r="G9" s="601">
        <f t="shared" ref="G9:L9" si="1">G10+G30+G110+G111</f>
        <v>4839451.7904580003</v>
      </c>
      <c r="H9" s="601">
        <f t="shared" si="1"/>
        <v>720943.11339800002</v>
      </c>
      <c r="I9" s="601">
        <f t="shared" si="1"/>
        <v>250606.95524599997</v>
      </c>
      <c r="J9" s="601">
        <f t="shared" si="1"/>
        <v>3963344.436528</v>
      </c>
      <c r="K9" s="601">
        <f t="shared" si="1"/>
        <v>226881.25730900001</v>
      </c>
      <c r="L9" s="601">
        <f t="shared" si="1"/>
        <v>226524.43133200001</v>
      </c>
      <c r="M9" s="315">
        <f t="shared" ref="M9:M29" si="2">IF((C9&gt;0),F9/C9*100,0)</f>
        <v>130.02823699545561</v>
      </c>
      <c r="N9" s="315">
        <f t="shared" ref="N9:N29" si="3">IF((D9&gt;0),G9/D9*100,0)</f>
        <v>133.72095827562839</v>
      </c>
      <c r="O9" s="315">
        <f t="shared" ref="O9:O32" si="4">IF((E9&gt;0),J9/E9*100,0)</f>
        <v>125.78676741496253</v>
      </c>
      <c r="P9" s="295"/>
    </row>
    <row r="10" spans="1:16" s="261" customFormat="1">
      <c r="A10" s="105" t="s">
        <v>7</v>
      </c>
      <c r="B10" s="57" t="s">
        <v>85</v>
      </c>
      <c r="C10" s="58">
        <f>C11+C21+C25+C26++C27+C28+C29</f>
        <v>4803069</v>
      </c>
      <c r="D10" s="58">
        <f>D11+D21+D25+D26+D27+D28+D29</f>
        <v>2044477</v>
      </c>
      <c r="E10" s="58">
        <f t="shared" ref="E10:F10" si="5">E11+E21+E25+E26+E28+E29</f>
        <v>2758592</v>
      </c>
      <c r="F10" s="58">
        <f t="shared" si="5"/>
        <v>5027973.2303010002</v>
      </c>
      <c r="G10" s="58">
        <f t="shared" ref="G10:L10" si="6">G11+G21+G25+G26+G28+G29</f>
        <v>1969447.159891</v>
      </c>
      <c r="H10" s="58">
        <f t="shared" si="6"/>
        <v>0</v>
      </c>
      <c r="I10" s="58">
        <f t="shared" si="6"/>
        <v>0</v>
      </c>
      <c r="J10" s="58">
        <f t="shared" si="6"/>
        <v>3058526.0704100002</v>
      </c>
      <c r="K10" s="58">
        <f t="shared" si="6"/>
        <v>0</v>
      </c>
      <c r="L10" s="58">
        <f t="shared" si="6"/>
        <v>0</v>
      </c>
      <c r="M10" s="316">
        <f t="shared" si="2"/>
        <v>104.68251091751961</v>
      </c>
      <c r="N10" s="316">
        <f t="shared" si="3"/>
        <v>96.330120607421861</v>
      </c>
      <c r="O10" s="316">
        <f t="shared" si="4"/>
        <v>110.87272312868303</v>
      </c>
      <c r="P10" s="295"/>
    </row>
    <row r="11" spans="1:16" s="261" customFormat="1">
      <c r="A11" s="105" t="s">
        <v>45</v>
      </c>
      <c r="B11" s="57" t="s">
        <v>24</v>
      </c>
      <c r="C11" s="58">
        <f t="shared" ref="C11:C29" si="7">D11+E11</f>
        <v>740920</v>
      </c>
      <c r="D11" s="58">
        <f>D12+D19+D20</f>
        <v>460621</v>
      </c>
      <c r="E11" s="58">
        <f>E12+E19+E20</f>
        <v>280299</v>
      </c>
      <c r="F11" s="58">
        <f t="shared" ref="F11:J11" si="8">F12+F19+F20</f>
        <v>968361.83936499991</v>
      </c>
      <c r="G11" s="58">
        <f t="shared" si="8"/>
        <v>534597.149202</v>
      </c>
      <c r="H11" s="58">
        <f t="shared" si="8"/>
        <v>0</v>
      </c>
      <c r="I11" s="58">
        <f t="shared" si="8"/>
        <v>0</v>
      </c>
      <c r="J11" s="58">
        <f t="shared" si="8"/>
        <v>433764.6901629999</v>
      </c>
      <c r="K11" s="58"/>
      <c r="L11" s="58"/>
      <c r="M11" s="316">
        <f t="shared" si="2"/>
        <v>130.6972195871349</v>
      </c>
      <c r="N11" s="316">
        <f t="shared" si="3"/>
        <v>116.06009044355339</v>
      </c>
      <c r="O11" s="316">
        <f t="shared" si="4"/>
        <v>154.75070912240142</v>
      </c>
      <c r="P11" s="295"/>
    </row>
    <row r="12" spans="1:16">
      <c r="A12" s="106">
        <v>1</v>
      </c>
      <c r="B12" s="60" t="s">
        <v>86</v>
      </c>
      <c r="C12" s="61">
        <f t="shared" si="7"/>
        <v>734130</v>
      </c>
      <c r="D12" s="61">
        <f>460621-D19</f>
        <v>453831</v>
      </c>
      <c r="E12" s="61">
        <v>280299</v>
      </c>
      <c r="F12" s="61">
        <f>G12+J12</f>
        <v>954651.83936499991</v>
      </c>
      <c r="G12" s="62">
        <f>'Chi NSDP_trinh HDND'!H11-H30</f>
        <v>522247.149202</v>
      </c>
      <c r="H12" s="62"/>
      <c r="I12" s="62"/>
      <c r="J12" s="62">
        <f>'Chi NSDP_trinh HDND'!I11+'Chi NSDP_trinh HDND'!J11+'Chi NSDP_trinh HDND'!I48-K30</f>
        <v>432404.6901629999</v>
      </c>
      <c r="K12" s="623"/>
      <c r="L12" s="623"/>
      <c r="M12" s="320">
        <f t="shared" si="2"/>
        <v>130.03852714982358</v>
      </c>
      <c r="N12" s="320">
        <f t="shared" si="3"/>
        <v>115.07524809940264</v>
      </c>
      <c r="O12" s="320">
        <f t="shared" si="4"/>
        <v>154.26551295687815</v>
      </c>
      <c r="P12" s="266"/>
    </row>
    <row r="13" spans="1:16">
      <c r="A13" s="106"/>
      <c r="B13" s="60" t="s">
        <v>87</v>
      </c>
      <c r="C13" s="61">
        <f t="shared" si="7"/>
        <v>0</v>
      </c>
      <c r="D13" s="61"/>
      <c r="E13" s="61"/>
      <c r="F13" s="61">
        <f t="shared" ref="F13:F33" si="9">G13+J13</f>
        <v>0</v>
      </c>
      <c r="G13" s="62"/>
      <c r="H13" s="62"/>
      <c r="I13" s="62"/>
      <c r="J13" s="62"/>
      <c r="K13" s="61"/>
      <c r="L13" s="61"/>
      <c r="M13" s="320">
        <f t="shared" si="2"/>
        <v>0</v>
      </c>
      <c r="N13" s="320">
        <f t="shared" si="3"/>
        <v>0</v>
      </c>
      <c r="O13" s="320">
        <f t="shared" si="4"/>
        <v>0</v>
      </c>
      <c r="P13" s="266"/>
    </row>
    <row r="14" spans="1:16" s="361" customFormat="1">
      <c r="A14" s="603" t="s">
        <v>12</v>
      </c>
      <c r="B14" s="64" t="s">
        <v>88</v>
      </c>
      <c r="C14" s="65">
        <f t="shared" si="7"/>
        <v>153105</v>
      </c>
      <c r="D14" s="65">
        <f>'Chi NSDP_trinh HDND'!E14</f>
        <v>74516</v>
      </c>
      <c r="E14" s="65">
        <f>'Chi NSDP_trinh HDND'!F14</f>
        <v>78589</v>
      </c>
      <c r="F14" s="65">
        <f t="shared" si="9"/>
        <v>226870.35271000001</v>
      </c>
      <c r="G14" s="604">
        <f>'Chi NSDP_trinh HDND'!H14</f>
        <v>109331.94187</v>
      </c>
      <c r="H14" s="604"/>
      <c r="I14" s="604"/>
      <c r="J14" s="604">
        <f>'Chi NSDP_trinh HDND'!I14+'Chi NSDP_trinh HDND'!J14</f>
        <v>117538.41084</v>
      </c>
      <c r="K14" s="65"/>
      <c r="L14" s="65"/>
      <c r="M14" s="605">
        <f t="shared" si="2"/>
        <v>148.17958440939225</v>
      </c>
      <c r="N14" s="605">
        <f t="shared" si="3"/>
        <v>146.72277345804926</v>
      </c>
      <c r="O14" s="605">
        <f t="shared" si="4"/>
        <v>149.56089381465597</v>
      </c>
      <c r="P14" s="363"/>
    </row>
    <row r="15" spans="1:16" s="361" customFormat="1">
      <c r="A15" s="603" t="s">
        <v>12</v>
      </c>
      <c r="B15" s="64" t="s">
        <v>89</v>
      </c>
      <c r="C15" s="65">
        <f t="shared" si="7"/>
        <v>10000</v>
      </c>
      <c r="D15" s="65">
        <f>'Chi NSDP_trinh HDND'!E15</f>
        <v>10000</v>
      </c>
      <c r="E15" s="65"/>
      <c r="F15" s="65">
        <f t="shared" si="9"/>
        <v>13548.91</v>
      </c>
      <c r="G15" s="604">
        <f>'Chi NSDP_trinh HDND'!H15</f>
        <v>13548.91</v>
      </c>
      <c r="H15" s="604"/>
      <c r="I15" s="604"/>
      <c r="J15" s="604"/>
      <c r="K15" s="65"/>
      <c r="L15" s="65"/>
      <c r="M15" s="605">
        <f t="shared" si="2"/>
        <v>135.48910000000001</v>
      </c>
      <c r="N15" s="605">
        <f t="shared" si="3"/>
        <v>135.48910000000001</v>
      </c>
      <c r="O15" s="605">
        <f t="shared" si="4"/>
        <v>0</v>
      </c>
      <c r="P15" s="363"/>
    </row>
    <row r="16" spans="1:16">
      <c r="A16" s="106"/>
      <c r="B16" s="60" t="s">
        <v>90</v>
      </c>
      <c r="C16" s="61">
        <f t="shared" si="7"/>
        <v>0</v>
      </c>
      <c r="D16" s="61"/>
      <c r="E16" s="61"/>
      <c r="F16" s="61">
        <f t="shared" si="9"/>
        <v>0</v>
      </c>
      <c r="G16" s="62"/>
      <c r="H16" s="62"/>
      <c r="I16" s="62"/>
      <c r="J16" s="62"/>
      <c r="K16" s="61"/>
      <c r="L16" s="61"/>
      <c r="M16" s="320">
        <f t="shared" si="2"/>
        <v>0</v>
      </c>
      <c r="N16" s="320">
        <f t="shared" si="3"/>
        <v>0</v>
      </c>
      <c r="O16" s="320">
        <f t="shared" si="4"/>
        <v>0</v>
      </c>
      <c r="P16" s="266"/>
    </row>
    <row r="17" spans="1:16" s="356" customFormat="1">
      <c r="A17" s="603" t="s">
        <v>12</v>
      </c>
      <c r="B17" s="64" t="s">
        <v>91</v>
      </c>
      <c r="C17" s="604">
        <f t="shared" si="7"/>
        <v>180000</v>
      </c>
      <c r="D17" s="604">
        <v>124475</v>
      </c>
      <c r="E17" s="604">
        <v>55525</v>
      </c>
      <c r="F17" s="604">
        <f t="shared" si="9"/>
        <v>286041.19045400003</v>
      </c>
      <c r="G17" s="604">
        <v>145248.33724299999</v>
      </c>
      <c r="H17" s="604"/>
      <c r="I17" s="604"/>
      <c r="J17" s="604">
        <v>140792.85321100001</v>
      </c>
      <c r="K17" s="604"/>
      <c r="L17" s="604"/>
      <c r="M17" s="606">
        <f t="shared" si="2"/>
        <v>158.91177247444446</v>
      </c>
      <c r="N17" s="605">
        <f t="shared" si="3"/>
        <v>116.6887625973087</v>
      </c>
      <c r="O17" s="605">
        <f t="shared" si="4"/>
        <v>253.56659740837463</v>
      </c>
      <c r="P17" s="359"/>
    </row>
    <row r="18" spans="1:16" s="356" customFormat="1">
      <c r="A18" s="603" t="s">
        <v>12</v>
      </c>
      <c r="B18" s="64" t="s">
        <v>92</v>
      </c>
      <c r="C18" s="604">
        <f t="shared" si="7"/>
        <v>66000</v>
      </c>
      <c r="D18" s="604">
        <v>44693</v>
      </c>
      <c r="E18" s="604">
        <v>21307</v>
      </c>
      <c r="F18" s="604">
        <f t="shared" si="9"/>
        <v>72044.306318000003</v>
      </c>
      <c r="G18" s="604">
        <v>47313.777818000002</v>
      </c>
      <c r="H18" s="604"/>
      <c r="I18" s="604"/>
      <c r="J18" s="604">
        <v>24730.528499999997</v>
      </c>
      <c r="K18" s="604"/>
      <c r="L18" s="604"/>
      <c r="M18" s="606">
        <f t="shared" si="2"/>
        <v>109.15803987575758</v>
      </c>
      <c r="N18" s="605">
        <f t="shared" si="3"/>
        <v>105.86395591703399</v>
      </c>
      <c r="O18" s="605">
        <f t="shared" si="4"/>
        <v>116.06762331628101</v>
      </c>
      <c r="P18" s="359"/>
    </row>
    <row r="19" spans="1:16" ht="62.4">
      <c r="A19" s="106">
        <v>2</v>
      </c>
      <c r="B19" s="416" t="s">
        <v>93</v>
      </c>
      <c r="C19" s="62">
        <f t="shared" si="7"/>
        <v>6790</v>
      </c>
      <c r="D19" s="62">
        <f>'Chi NSDP_trinh HDND'!E25</f>
        <v>6790</v>
      </c>
      <c r="E19" s="62"/>
      <c r="F19" s="62">
        <f t="shared" si="9"/>
        <v>12350</v>
      </c>
      <c r="G19" s="62">
        <f>'Chi NSDP_trinh HDND'!H25</f>
        <v>12350</v>
      </c>
      <c r="H19" s="62"/>
      <c r="I19" s="62"/>
      <c r="J19" s="62">
        <f>'Chi NSDP_trinh HDND'!I25+'Chi NSDP_trinh HDND'!J25</f>
        <v>0</v>
      </c>
      <c r="K19" s="62"/>
      <c r="L19" s="62"/>
      <c r="M19" s="330">
        <f t="shared" si="2"/>
        <v>181.88512518409425</v>
      </c>
      <c r="N19" s="320">
        <f t="shared" si="3"/>
        <v>181.88512518409425</v>
      </c>
      <c r="O19" s="320">
        <f t="shared" si="4"/>
        <v>0</v>
      </c>
      <c r="P19" s="266"/>
    </row>
    <row r="20" spans="1:16">
      <c r="A20" s="106">
        <v>3</v>
      </c>
      <c r="B20" s="60" t="s">
        <v>94</v>
      </c>
      <c r="C20" s="61">
        <f t="shared" si="7"/>
        <v>0</v>
      </c>
      <c r="D20" s="61"/>
      <c r="E20" s="61"/>
      <c r="F20" s="61">
        <f t="shared" si="9"/>
        <v>1360</v>
      </c>
      <c r="G20" s="62">
        <f>'Chi NSDP_trinh HDND'!H26</f>
        <v>0</v>
      </c>
      <c r="H20" s="62"/>
      <c r="I20" s="62"/>
      <c r="J20" s="62">
        <f>'Chi NSDP_trinh HDND'!I26+'Chi NSDP_trinh HDND'!J26</f>
        <v>1360</v>
      </c>
      <c r="K20" s="61"/>
      <c r="L20" s="61"/>
      <c r="M20" s="320">
        <f t="shared" si="2"/>
        <v>0</v>
      </c>
      <c r="N20" s="320">
        <f t="shared" si="3"/>
        <v>0</v>
      </c>
      <c r="O20" s="320">
        <f t="shared" si="4"/>
        <v>0</v>
      </c>
    </row>
    <row r="21" spans="1:16" s="261" customFormat="1">
      <c r="A21" s="105" t="s">
        <v>29</v>
      </c>
      <c r="B21" s="57" t="s">
        <v>25</v>
      </c>
      <c r="C21" s="58">
        <f t="shared" si="7"/>
        <v>3949511</v>
      </c>
      <c r="D21" s="58">
        <v>1522778</v>
      </c>
      <c r="E21" s="58">
        <f>2393942+32791</f>
        <v>2426733</v>
      </c>
      <c r="F21" s="58">
        <f>G21+J21</f>
        <v>4019111.3909360003</v>
      </c>
      <c r="G21" s="602">
        <f>'Chi NSDP_trinh HDND'!H28+'Chi NSDP_trinh HDND'!H47-I30</f>
        <v>1394350.0106890001</v>
      </c>
      <c r="H21" s="602"/>
      <c r="I21" s="602"/>
      <c r="J21" s="602">
        <f>'Chi NSDP_trinh HDND'!I28+'Chi NSDP_trinh HDND'!J28+'Chi NSDP_trinh HDND'!J48-L30</f>
        <v>2624761.3802470001</v>
      </c>
      <c r="K21" s="622"/>
      <c r="L21" s="622"/>
      <c r="M21" s="316">
        <f t="shared" si="2"/>
        <v>101.76225337607619</v>
      </c>
      <c r="N21" s="316">
        <f t="shared" si="3"/>
        <v>91.566204048718873</v>
      </c>
      <c r="O21" s="316">
        <f t="shared" si="4"/>
        <v>108.16028711222043</v>
      </c>
    </row>
    <row r="22" spans="1:16">
      <c r="A22" s="106"/>
      <c r="B22" s="64" t="s">
        <v>95</v>
      </c>
      <c r="C22" s="61">
        <f t="shared" si="7"/>
        <v>0</v>
      </c>
      <c r="D22" s="61"/>
      <c r="E22" s="61"/>
      <c r="F22" s="61">
        <f t="shared" si="9"/>
        <v>0</v>
      </c>
      <c r="G22" s="62"/>
      <c r="H22" s="62"/>
      <c r="I22" s="62"/>
      <c r="J22" s="62"/>
      <c r="K22" s="61"/>
      <c r="L22" s="61"/>
      <c r="M22" s="320">
        <f t="shared" si="2"/>
        <v>0</v>
      </c>
      <c r="N22" s="320">
        <f t="shared" si="3"/>
        <v>0</v>
      </c>
      <c r="O22" s="320">
        <f t="shared" si="4"/>
        <v>0</v>
      </c>
    </row>
    <row r="23" spans="1:16">
      <c r="A23" s="106">
        <v>1</v>
      </c>
      <c r="B23" s="60" t="s">
        <v>88</v>
      </c>
      <c r="C23" s="61">
        <f t="shared" si="7"/>
        <v>1784689</v>
      </c>
      <c r="D23" s="61">
        <v>377818</v>
      </c>
      <c r="E23" s="61">
        <f>1404421+2450</f>
        <v>1406871</v>
      </c>
      <c r="F23" s="61">
        <f t="shared" si="9"/>
        <v>1860661.408116</v>
      </c>
      <c r="G23" s="62">
        <f>'Chi NSDP_trinh HDND'!H31</f>
        <v>347269.08179000003</v>
      </c>
      <c r="H23" s="62"/>
      <c r="I23" s="62"/>
      <c r="J23" s="62">
        <f>'Chi NSDP_trinh HDND'!I31+'Chi NSDP_trinh HDND'!J31</f>
        <v>1513392.326326</v>
      </c>
      <c r="K23" s="61"/>
      <c r="L23" s="61"/>
      <c r="M23" s="320">
        <f t="shared" si="2"/>
        <v>104.25689899562333</v>
      </c>
      <c r="N23" s="320">
        <f t="shared" si="3"/>
        <v>91.914382530742316</v>
      </c>
      <c r="O23" s="320">
        <f t="shared" si="4"/>
        <v>107.57150629489129</v>
      </c>
    </row>
    <row r="24" spans="1:16">
      <c r="A24" s="106">
        <v>2</v>
      </c>
      <c r="B24" s="60" t="s">
        <v>89</v>
      </c>
      <c r="C24" s="61">
        <f t="shared" si="7"/>
        <v>14586</v>
      </c>
      <c r="D24" s="61">
        <v>13086</v>
      </c>
      <c r="E24" s="61">
        <v>1500</v>
      </c>
      <c r="F24" s="61">
        <f t="shared" si="9"/>
        <v>16496.109494</v>
      </c>
      <c r="G24" s="62">
        <f>'Chi NSDP_trinh HDND'!H32</f>
        <v>14779.462194</v>
      </c>
      <c r="H24" s="62"/>
      <c r="I24" s="62"/>
      <c r="J24" s="62">
        <f>'Chi NSDP_trinh HDND'!I32</f>
        <v>1716.6473000000001</v>
      </c>
      <c r="K24" s="61"/>
      <c r="L24" s="61"/>
      <c r="M24" s="320">
        <f t="shared" si="2"/>
        <v>113.09549906759906</v>
      </c>
      <c r="N24" s="320">
        <f t="shared" si="3"/>
        <v>112.94102242090784</v>
      </c>
      <c r="O24" s="320">
        <f t="shared" si="4"/>
        <v>114.44315333333334</v>
      </c>
    </row>
    <row r="25" spans="1:16" s="261" customFormat="1">
      <c r="A25" s="105" t="s">
        <v>33</v>
      </c>
      <c r="B25" s="45" t="s">
        <v>294</v>
      </c>
      <c r="C25" s="58">
        <f t="shared" si="7"/>
        <v>0</v>
      </c>
      <c r="D25" s="58"/>
      <c r="E25" s="58"/>
      <c r="F25" s="58">
        <f t="shared" si="9"/>
        <v>38500</v>
      </c>
      <c r="G25" s="602">
        <f>'Chi NSDP_trinh HDND'!H27</f>
        <v>38500</v>
      </c>
      <c r="H25" s="602"/>
      <c r="I25" s="602"/>
      <c r="J25" s="602"/>
      <c r="K25" s="58"/>
      <c r="L25" s="58"/>
      <c r="M25" s="316">
        <f t="shared" si="2"/>
        <v>0</v>
      </c>
      <c r="N25" s="316">
        <f t="shared" si="3"/>
        <v>0</v>
      </c>
      <c r="O25" s="316">
        <f t="shared" si="4"/>
        <v>0</v>
      </c>
    </row>
    <row r="26" spans="1:16" s="261" customFormat="1">
      <c r="A26" s="105" t="s">
        <v>71</v>
      </c>
      <c r="B26" s="57" t="s">
        <v>26</v>
      </c>
      <c r="C26" s="58">
        <f t="shared" si="7"/>
        <v>1000</v>
      </c>
      <c r="D26" s="58">
        <f>'Chi NSDP_trinh HDND'!E42</f>
        <v>1000</v>
      </c>
      <c r="E26" s="58"/>
      <c r="F26" s="58">
        <f t="shared" si="9"/>
        <v>2000</v>
      </c>
      <c r="G26" s="602">
        <f>'Chi NSDP_trinh HDND'!H42</f>
        <v>2000</v>
      </c>
      <c r="H26" s="602"/>
      <c r="I26" s="602"/>
      <c r="J26" s="602"/>
      <c r="K26" s="58"/>
      <c r="L26" s="58"/>
      <c r="M26" s="316">
        <f t="shared" si="2"/>
        <v>200</v>
      </c>
      <c r="N26" s="316">
        <f t="shared" si="3"/>
        <v>200</v>
      </c>
      <c r="O26" s="316">
        <f t="shared" si="4"/>
        <v>0</v>
      </c>
    </row>
    <row r="27" spans="1:16" s="261" customFormat="1">
      <c r="A27" s="105" t="s">
        <v>96</v>
      </c>
      <c r="B27" s="57" t="s">
        <v>2114</v>
      </c>
      <c r="C27" s="58">
        <f t="shared" si="7"/>
        <v>400</v>
      </c>
      <c r="D27" s="58">
        <v>400</v>
      </c>
      <c r="E27" s="58"/>
      <c r="F27" s="58"/>
      <c r="G27" s="602"/>
      <c r="H27" s="602"/>
      <c r="I27" s="602"/>
      <c r="J27" s="602"/>
      <c r="K27" s="58"/>
      <c r="L27" s="58"/>
      <c r="M27" s="316"/>
      <c r="N27" s="316"/>
      <c r="O27" s="316"/>
    </row>
    <row r="28" spans="1:16" s="261" customFormat="1">
      <c r="A28" s="105" t="s">
        <v>97</v>
      </c>
      <c r="B28" s="57" t="s">
        <v>27</v>
      </c>
      <c r="C28" s="58">
        <f t="shared" si="7"/>
        <v>96738</v>
      </c>
      <c r="D28" s="58">
        <v>45178</v>
      </c>
      <c r="E28" s="58">
        <v>51560</v>
      </c>
      <c r="F28" s="58">
        <f t="shared" si="9"/>
        <v>0</v>
      </c>
      <c r="G28" s="602">
        <v>0</v>
      </c>
      <c r="H28" s="602"/>
      <c r="I28" s="602"/>
      <c r="J28" s="602">
        <v>0</v>
      </c>
      <c r="K28" s="58"/>
      <c r="L28" s="58"/>
      <c r="M28" s="316">
        <f t="shared" si="2"/>
        <v>0</v>
      </c>
      <c r="N28" s="316">
        <f t="shared" si="3"/>
        <v>0</v>
      </c>
      <c r="O28" s="316">
        <f t="shared" si="4"/>
        <v>0</v>
      </c>
    </row>
    <row r="29" spans="1:16" s="261" customFormat="1">
      <c r="A29" s="105" t="s">
        <v>97</v>
      </c>
      <c r="B29" s="57" t="s">
        <v>28</v>
      </c>
      <c r="C29" s="58">
        <f t="shared" si="7"/>
        <v>14500</v>
      </c>
      <c r="D29" s="58">
        <v>14500</v>
      </c>
      <c r="E29" s="58"/>
      <c r="F29" s="58">
        <f t="shared" si="9"/>
        <v>0</v>
      </c>
      <c r="G29" s="602">
        <v>0</v>
      </c>
      <c r="H29" s="602"/>
      <c r="I29" s="602"/>
      <c r="J29" s="602"/>
      <c r="K29" s="58"/>
      <c r="L29" s="58"/>
      <c r="M29" s="316">
        <f t="shared" si="2"/>
        <v>0</v>
      </c>
      <c r="N29" s="316">
        <f t="shared" si="3"/>
        <v>0</v>
      </c>
      <c r="O29" s="316">
        <f t="shared" si="4"/>
        <v>0</v>
      </c>
    </row>
    <row r="30" spans="1:16" s="261" customFormat="1">
      <c r="A30" s="105" t="s">
        <v>8</v>
      </c>
      <c r="B30" s="57" t="s">
        <v>98</v>
      </c>
      <c r="C30" s="58">
        <f>C31+C34</f>
        <v>1966842.2365059999</v>
      </c>
      <c r="D30" s="58">
        <f>D31+D34</f>
        <v>1574590.536506</v>
      </c>
      <c r="E30" s="58">
        <f t="shared" ref="E30:M30" si="10">E31+E34</f>
        <v>392251.7</v>
      </c>
      <c r="F30" s="58">
        <f>F31+F34</f>
        <v>1424955.7572849998</v>
      </c>
      <c r="G30" s="58">
        <f t="shared" ref="G30:J30" si="11">G31+G34</f>
        <v>971550.06864399998</v>
      </c>
      <c r="H30" s="58">
        <f t="shared" si="11"/>
        <v>720943.11339800002</v>
      </c>
      <c r="I30" s="58">
        <f t="shared" si="11"/>
        <v>250606.95524599997</v>
      </c>
      <c r="J30" s="58">
        <f t="shared" si="11"/>
        <v>453405.68864100002</v>
      </c>
      <c r="K30" s="58">
        <f t="shared" si="10"/>
        <v>226881.25730900001</v>
      </c>
      <c r="L30" s="58">
        <f t="shared" si="10"/>
        <v>226524.43133200001</v>
      </c>
      <c r="M30" s="607">
        <f t="shared" si="10"/>
        <v>169.37848816103002</v>
      </c>
      <c r="N30" s="316">
        <f>IF((D30&gt;0),G30/D30*100,0)</f>
        <v>61.701759671429215</v>
      </c>
      <c r="O30" s="316">
        <f t="shared" si="4"/>
        <v>115.59049677566726</v>
      </c>
    </row>
    <row r="31" spans="1:16" s="261" customFormat="1">
      <c r="A31" s="105" t="s">
        <v>45</v>
      </c>
      <c r="B31" s="57" t="s">
        <v>31</v>
      </c>
      <c r="C31" s="58">
        <f>D31+E31</f>
        <v>385707</v>
      </c>
      <c r="D31" s="58">
        <f>D32+D33</f>
        <v>100595</v>
      </c>
      <c r="E31" s="58">
        <f>E32+E33</f>
        <v>285112</v>
      </c>
      <c r="F31" s="58">
        <f>F32+F33</f>
        <v>404330.12465000001</v>
      </c>
      <c r="G31" s="58">
        <f t="shared" ref="G31:J31" si="12">G32+G33</f>
        <v>109391.58300899999</v>
      </c>
      <c r="H31" s="58">
        <f>CTMTQG_CTMT2018!S11</f>
        <v>98444.145913999993</v>
      </c>
      <c r="I31" s="58">
        <f>CTMTQG_CTMT2018!T11</f>
        <v>10947.437095000001</v>
      </c>
      <c r="J31" s="58">
        <f t="shared" si="12"/>
        <v>294938.54164100002</v>
      </c>
      <c r="K31" s="58">
        <f>CTMTQG_CTMT2018!V11</f>
        <v>200311.25730900001</v>
      </c>
      <c r="L31" s="58">
        <f>CTMTQG_CTMT2018!W11</f>
        <v>94627.284331999996</v>
      </c>
      <c r="M31" s="455">
        <f>IF((C31&gt;0),F31/C31*100,0)</f>
        <v>104.82830870323848</v>
      </c>
      <c r="N31" s="316">
        <f>IF((D31&gt;0),G31/D31*100,0)</f>
        <v>108.74455291913117</v>
      </c>
      <c r="O31" s="316">
        <f t="shared" si="4"/>
        <v>103.44655491210473</v>
      </c>
    </row>
    <row r="32" spans="1:16" ht="40.5" customHeight="1">
      <c r="A32" s="106">
        <v>1</v>
      </c>
      <c r="B32" s="60" t="s">
        <v>169</v>
      </c>
      <c r="C32" s="61">
        <f>D32+E32</f>
        <v>127100</v>
      </c>
      <c r="D32" s="61">
        <v>2772</v>
      </c>
      <c r="E32" s="61">
        <v>124328</v>
      </c>
      <c r="F32" s="61">
        <f t="shared" si="9"/>
        <v>135796.07137200001</v>
      </c>
      <c r="G32" s="62">
        <f>CTMTQG_CTMT2018!R13+CTMTQG_CTMT2018!R178</f>
        <v>13603.197730999998</v>
      </c>
      <c r="H32" s="62"/>
      <c r="I32" s="62"/>
      <c r="J32" s="62">
        <f>CTMTQG_CTMT2018!U13+CTMTQG_CTMT2018!U178</f>
        <v>122192.87364100001</v>
      </c>
      <c r="K32" s="62"/>
      <c r="L32" s="62"/>
      <c r="M32" s="330">
        <f>IF((C32&gt;0),F32/C32*100,0)</f>
        <v>106.84191295987414</v>
      </c>
      <c r="N32" s="320">
        <f>IF((D32&gt;0),G32/D32*100,0)</f>
        <v>490.73584888167386</v>
      </c>
      <c r="O32" s="320">
        <f t="shared" si="4"/>
        <v>98.282666528054833</v>
      </c>
    </row>
    <row r="33" spans="1:15" ht="34.5" customHeight="1">
      <c r="A33" s="106">
        <v>2</v>
      </c>
      <c r="B33" s="60" t="s">
        <v>170</v>
      </c>
      <c r="C33" s="61">
        <f>D33+E33</f>
        <v>258607</v>
      </c>
      <c r="D33" s="61">
        <v>97823</v>
      </c>
      <c r="E33" s="61">
        <v>160784</v>
      </c>
      <c r="F33" s="61">
        <f t="shared" si="9"/>
        <v>268534.05327799998</v>
      </c>
      <c r="G33" s="62">
        <f>CTMTQG_CTMT2018!R34+CTMTQG_CTMT2018!R139</f>
        <v>95788.385278000002</v>
      </c>
      <c r="H33" s="62"/>
      <c r="I33" s="62"/>
      <c r="J33" s="62">
        <f>CTMTQG_CTMT2018!U34+CTMTQG_CTMT2018!U139</f>
        <v>172745.66800000001</v>
      </c>
      <c r="K33" s="62"/>
      <c r="L33" s="62"/>
      <c r="M33" s="330"/>
      <c r="N33" s="320"/>
      <c r="O33" s="320"/>
    </row>
    <row r="34" spans="1:15" s="261" customFormat="1">
      <c r="A34" s="105" t="s">
        <v>29</v>
      </c>
      <c r="B34" s="57" t="s">
        <v>32</v>
      </c>
      <c r="C34" s="58">
        <f t="shared" ref="C34:J34" si="13">SUM(C35:C109)</f>
        <v>1581135.2365059999</v>
      </c>
      <c r="D34" s="58">
        <f t="shared" si="13"/>
        <v>1473995.536506</v>
      </c>
      <c r="E34" s="58">
        <f t="shared" si="13"/>
        <v>107139.7</v>
      </c>
      <c r="F34" s="58">
        <f t="shared" si="13"/>
        <v>1020625.6326349998</v>
      </c>
      <c r="G34" s="58">
        <f t="shared" si="13"/>
        <v>862158.48563500005</v>
      </c>
      <c r="H34" s="58">
        <f>CTMTQG_CTMT2018!S642</f>
        <v>622498.96748400002</v>
      </c>
      <c r="I34" s="58">
        <f>CTMTQG_CTMT2018!T642</f>
        <v>239659.51815099997</v>
      </c>
      <c r="J34" s="58">
        <f t="shared" si="13"/>
        <v>158467.147</v>
      </c>
      <c r="K34" s="602">
        <f>CTMTQG_CTMT2018!V642</f>
        <v>26570</v>
      </c>
      <c r="L34" s="602">
        <f>CTMTQG_CTMT2018!W642</f>
        <v>131897.147</v>
      </c>
      <c r="M34" s="316">
        <f t="shared" ref="M34:N37" si="14">IF((C34&gt;0),F34/C34*100,0)</f>
        <v>64.550179457791543</v>
      </c>
      <c r="N34" s="316">
        <f t="shared" si="14"/>
        <v>58.491254843192031</v>
      </c>
      <c r="O34" s="316">
        <f t="shared" ref="O34:O38" si="15">IF((E34&gt;0),J34/E34*100,0)</f>
        <v>147.90702886045042</v>
      </c>
    </row>
    <row r="35" spans="1:15" ht="31.2">
      <c r="A35" s="541">
        <v>1</v>
      </c>
      <c r="B35" s="626" t="s">
        <v>2294</v>
      </c>
      <c r="C35" s="61">
        <f>D35+E35</f>
        <v>152813</v>
      </c>
      <c r="D35" s="61">
        <v>152813</v>
      </c>
      <c r="E35" s="61">
        <v>0</v>
      </c>
      <c r="F35" s="61">
        <v>160591.00545600001</v>
      </c>
      <c r="G35" s="62">
        <v>160591.00545600001</v>
      </c>
      <c r="H35" s="62"/>
      <c r="I35" s="62"/>
      <c r="J35" s="62">
        <v>0</v>
      </c>
      <c r="K35" s="61"/>
      <c r="L35" s="61"/>
      <c r="M35" s="320">
        <f t="shared" si="14"/>
        <v>105.08988466688045</v>
      </c>
      <c r="N35" s="320">
        <f t="shared" si="14"/>
        <v>105.08988466688045</v>
      </c>
      <c r="O35" s="320">
        <f t="shared" si="15"/>
        <v>0</v>
      </c>
    </row>
    <row r="36" spans="1:15" ht="31.2">
      <c r="A36" s="541">
        <v>2</v>
      </c>
      <c r="B36" s="626" t="s">
        <v>423</v>
      </c>
      <c r="C36" s="61">
        <f t="shared" ref="C36:C59" si="16">D36+E36</f>
        <v>50000</v>
      </c>
      <c r="D36" s="61">
        <v>50000</v>
      </c>
      <c r="E36" s="61">
        <v>0</v>
      </c>
      <c r="F36" s="61">
        <f>G36+J36</f>
        <v>50000</v>
      </c>
      <c r="G36" s="62">
        <v>50000</v>
      </c>
      <c r="H36" s="62"/>
      <c r="I36" s="62"/>
      <c r="J36" s="62">
        <v>0</v>
      </c>
      <c r="K36" s="61"/>
      <c r="L36" s="61"/>
      <c r="M36" s="320">
        <f t="shared" si="14"/>
        <v>100</v>
      </c>
      <c r="N36" s="320">
        <f t="shared" si="14"/>
        <v>100</v>
      </c>
      <c r="O36" s="320">
        <f t="shared" si="15"/>
        <v>0</v>
      </c>
    </row>
    <row r="37" spans="1:15">
      <c r="A37" s="541">
        <v>3</v>
      </c>
      <c r="B37" s="626" t="s">
        <v>426</v>
      </c>
      <c r="C37" s="61">
        <f t="shared" si="16"/>
        <v>2300</v>
      </c>
      <c r="D37" s="61">
        <v>2300</v>
      </c>
      <c r="E37" s="61">
        <v>0</v>
      </c>
      <c r="F37" s="61">
        <f t="shared" ref="F37:F59" si="17">G37+J37</f>
        <v>1970.2950000000001</v>
      </c>
      <c r="G37" s="62">
        <v>1970.2950000000001</v>
      </c>
      <c r="H37" s="62"/>
      <c r="I37" s="62"/>
      <c r="J37" s="62">
        <v>0</v>
      </c>
      <c r="K37" s="61"/>
      <c r="L37" s="61"/>
      <c r="M37" s="320">
        <f t="shared" si="14"/>
        <v>85.665000000000006</v>
      </c>
      <c r="N37" s="320">
        <f t="shared" si="14"/>
        <v>85.665000000000006</v>
      </c>
      <c r="O37" s="320">
        <f t="shared" si="15"/>
        <v>0</v>
      </c>
    </row>
    <row r="38" spans="1:15" ht="31.2">
      <c r="A38" s="541">
        <v>4</v>
      </c>
      <c r="B38" s="626" t="s">
        <v>431</v>
      </c>
      <c r="C38" s="61">
        <f t="shared" si="16"/>
        <v>34889.837006000002</v>
      </c>
      <c r="D38" s="61">
        <v>34889.837006000002</v>
      </c>
      <c r="E38" s="61">
        <v>0</v>
      </c>
      <c r="F38" s="61">
        <f t="shared" si="17"/>
        <v>34769.975722000003</v>
      </c>
      <c r="G38" s="62">
        <v>34769.975722000003</v>
      </c>
      <c r="H38" s="62"/>
      <c r="I38" s="62"/>
      <c r="J38" s="62">
        <v>0</v>
      </c>
      <c r="K38" s="61"/>
      <c r="L38" s="61"/>
      <c r="M38" s="320">
        <f>IF((C38&gt;0),F38/C38*100,0)</f>
        <v>99.656457884915355</v>
      </c>
      <c r="N38" s="320">
        <f>IF((D38&gt;0),G38/D38*100,0)</f>
        <v>99.656457884915355</v>
      </c>
      <c r="O38" s="320">
        <f t="shared" si="15"/>
        <v>0</v>
      </c>
    </row>
    <row r="39" spans="1:15" ht="31.2">
      <c r="A39" s="541">
        <v>5</v>
      </c>
      <c r="B39" s="626" t="s">
        <v>432</v>
      </c>
      <c r="C39" s="61">
        <f t="shared" si="16"/>
        <v>10000</v>
      </c>
      <c r="D39" s="61">
        <v>10000</v>
      </c>
      <c r="E39" s="61">
        <v>0</v>
      </c>
      <c r="F39" s="61">
        <f t="shared" si="17"/>
        <v>10000</v>
      </c>
      <c r="G39" s="62">
        <v>10000</v>
      </c>
      <c r="H39" s="62"/>
      <c r="I39" s="62"/>
      <c r="J39" s="62">
        <v>0</v>
      </c>
      <c r="K39" s="61"/>
      <c r="L39" s="61"/>
      <c r="M39" s="320"/>
      <c r="N39" s="320"/>
      <c r="O39" s="320"/>
    </row>
    <row r="40" spans="1:15">
      <c r="A40" s="541">
        <v>6</v>
      </c>
      <c r="B40" s="626" t="s">
        <v>434</v>
      </c>
      <c r="C40" s="61">
        <f t="shared" si="16"/>
        <v>0</v>
      </c>
      <c r="D40" s="61"/>
      <c r="E40" s="61">
        <v>0</v>
      </c>
      <c r="F40" s="61">
        <f t="shared" si="17"/>
        <v>170.40199999999999</v>
      </c>
      <c r="G40" s="62">
        <v>170.40199999999999</v>
      </c>
      <c r="H40" s="62"/>
      <c r="I40" s="62"/>
      <c r="J40" s="62">
        <v>0</v>
      </c>
      <c r="K40" s="61"/>
      <c r="L40" s="61"/>
      <c r="M40" s="320">
        <f t="shared" ref="M40:N42" si="18">IF((C40&gt;0),F40/C40*100,0)</f>
        <v>0</v>
      </c>
      <c r="N40" s="320">
        <f t="shared" si="18"/>
        <v>0</v>
      </c>
      <c r="O40" s="320">
        <f>IF((E40&gt;0),J40/E40*100,0)</f>
        <v>0</v>
      </c>
    </row>
    <row r="41" spans="1:15">
      <c r="A41" s="541">
        <v>7</v>
      </c>
      <c r="B41" s="626" t="s">
        <v>436</v>
      </c>
      <c r="C41" s="61">
        <f t="shared" si="16"/>
        <v>28000</v>
      </c>
      <c r="D41" s="61">
        <v>28000</v>
      </c>
      <c r="E41" s="61">
        <v>0</v>
      </c>
      <c r="F41" s="61">
        <f t="shared" si="17"/>
        <v>28167.762179000001</v>
      </c>
      <c r="G41" s="62">
        <v>28167.762179000001</v>
      </c>
      <c r="H41" s="62"/>
      <c r="I41" s="62"/>
      <c r="J41" s="62">
        <v>0</v>
      </c>
      <c r="K41" s="61"/>
      <c r="L41" s="61"/>
      <c r="M41" s="320">
        <f t="shared" si="18"/>
        <v>100.59915063928572</v>
      </c>
      <c r="N41" s="320">
        <f t="shared" si="18"/>
        <v>100.59915063928572</v>
      </c>
      <c r="O41" s="320">
        <f>IF((E41&gt;0),J41/E41*100,0)</f>
        <v>0</v>
      </c>
    </row>
    <row r="42" spans="1:15">
      <c r="A42" s="541">
        <v>8</v>
      </c>
      <c r="B42" s="626" t="s">
        <v>437</v>
      </c>
      <c r="C42" s="61">
        <f t="shared" si="16"/>
        <v>2000</v>
      </c>
      <c r="D42" s="61">
        <v>2000</v>
      </c>
      <c r="E42" s="61">
        <v>0</v>
      </c>
      <c r="F42" s="61">
        <f t="shared" si="17"/>
        <v>3391.9689499999999</v>
      </c>
      <c r="G42" s="62">
        <v>3391.9689499999999</v>
      </c>
      <c r="H42" s="62"/>
      <c r="I42" s="62"/>
      <c r="J42" s="62">
        <v>0</v>
      </c>
      <c r="K42" s="61"/>
      <c r="L42" s="61"/>
      <c r="M42" s="320">
        <f t="shared" si="18"/>
        <v>169.59844749999999</v>
      </c>
      <c r="N42" s="320">
        <f t="shared" si="18"/>
        <v>169.59844749999999</v>
      </c>
      <c r="O42" s="320">
        <f>IF((E42&gt;0),J42/E42*100,0)</f>
        <v>0</v>
      </c>
    </row>
    <row r="43" spans="1:15">
      <c r="A43" s="541">
        <v>9</v>
      </c>
      <c r="B43" s="626" t="s">
        <v>2296</v>
      </c>
      <c r="C43" s="61">
        <f t="shared" si="16"/>
        <v>0</v>
      </c>
      <c r="D43" s="61"/>
      <c r="E43" s="61">
        <v>0</v>
      </c>
      <c r="F43" s="61">
        <f t="shared" si="17"/>
        <v>1630.539</v>
      </c>
      <c r="G43" s="62">
        <v>1630.539</v>
      </c>
      <c r="H43" s="62"/>
      <c r="I43" s="62"/>
      <c r="J43" s="62">
        <v>0</v>
      </c>
      <c r="K43" s="61"/>
      <c r="L43" s="61"/>
      <c r="M43" s="320"/>
      <c r="N43" s="320"/>
      <c r="O43" s="320"/>
    </row>
    <row r="44" spans="1:15">
      <c r="A44" s="541">
        <v>10</v>
      </c>
      <c r="B44" s="626" t="s">
        <v>2151</v>
      </c>
      <c r="C44" s="61">
        <f t="shared" si="16"/>
        <v>412921</v>
      </c>
      <c r="D44" s="61">
        <f>597645-184724</f>
        <v>412921</v>
      </c>
      <c r="E44" s="61">
        <v>0</v>
      </c>
      <c r="F44" s="61">
        <f t="shared" si="17"/>
        <v>15451.897999999999</v>
      </c>
      <c r="G44" s="62">
        <v>15451.897999999999</v>
      </c>
      <c r="H44" s="62"/>
      <c r="I44" s="62"/>
      <c r="J44" s="62">
        <v>0</v>
      </c>
      <c r="K44" s="61"/>
      <c r="L44" s="61"/>
      <c r="M44" s="320">
        <f t="shared" ref="M44:N47" si="19">IF((C44&gt;0),F44/C44*100,0)</f>
        <v>3.7420954613594368</v>
      </c>
      <c r="N44" s="320">
        <f t="shared" si="19"/>
        <v>3.7420954613594368</v>
      </c>
      <c r="O44" s="320">
        <f t="shared" ref="O44:O47" si="20">IF((E44&gt;0),J44/E44*100,0)</f>
        <v>0</v>
      </c>
    </row>
    <row r="45" spans="1:15" ht="31.2">
      <c r="A45" s="541">
        <v>11</v>
      </c>
      <c r="B45" s="626" t="s">
        <v>2152</v>
      </c>
      <c r="C45" s="61">
        <f t="shared" si="16"/>
        <v>26733</v>
      </c>
      <c r="D45" s="61">
        <v>0</v>
      </c>
      <c r="E45" s="61">
        <v>26733</v>
      </c>
      <c r="F45" s="61">
        <f t="shared" si="17"/>
        <v>26570</v>
      </c>
      <c r="G45" s="62">
        <v>0</v>
      </c>
      <c r="H45" s="62"/>
      <c r="I45" s="62"/>
      <c r="J45" s="62">
        <v>26570</v>
      </c>
      <c r="K45" s="61"/>
      <c r="L45" s="61"/>
      <c r="M45" s="320">
        <f t="shared" si="19"/>
        <v>99.390266711555014</v>
      </c>
      <c r="N45" s="320">
        <f t="shared" si="19"/>
        <v>0</v>
      </c>
      <c r="O45" s="320">
        <f t="shared" si="20"/>
        <v>99.390266711555014</v>
      </c>
    </row>
    <row r="46" spans="1:15" ht="31.2">
      <c r="A46" s="541">
        <v>12</v>
      </c>
      <c r="B46" s="627" t="s">
        <v>454</v>
      </c>
      <c r="C46" s="61">
        <f t="shared" si="16"/>
        <v>64500</v>
      </c>
      <c r="D46" s="61">
        <v>64500</v>
      </c>
      <c r="E46" s="61">
        <v>0</v>
      </c>
      <c r="F46" s="61">
        <f t="shared" si="17"/>
        <v>24905.83</v>
      </c>
      <c r="G46" s="62">
        <v>24905.83</v>
      </c>
      <c r="H46" s="62"/>
      <c r="I46" s="62"/>
      <c r="J46" s="62">
        <v>0</v>
      </c>
      <c r="K46" s="61"/>
      <c r="L46" s="61"/>
      <c r="M46" s="320">
        <f t="shared" si="19"/>
        <v>38.613689922480617</v>
      </c>
      <c r="N46" s="320">
        <f t="shared" si="19"/>
        <v>38.613689922480617</v>
      </c>
      <c r="O46" s="320">
        <f t="shared" si="20"/>
        <v>0</v>
      </c>
    </row>
    <row r="47" spans="1:15" ht="46.8" collapsed="1">
      <c r="A47" s="541">
        <v>13</v>
      </c>
      <c r="B47" s="627" t="s">
        <v>447</v>
      </c>
      <c r="C47" s="61">
        <f t="shared" si="16"/>
        <v>197794</v>
      </c>
      <c r="D47" s="61">
        <v>197794</v>
      </c>
      <c r="E47" s="61">
        <v>0</v>
      </c>
      <c r="F47" s="61">
        <f t="shared" si="17"/>
        <v>143105.01</v>
      </c>
      <c r="G47" s="62">
        <v>143105.01</v>
      </c>
      <c r="H47" s="62"/>
      <c r="I47" s="62"/>
      <c r="J47" s="62">
        <v>0</v>
      </c>
      <c r="K47" s="61"/>
      <c r="L47" s="61"/>
      <c r="M47" s="320">
        <f t="shared" si="19"/>
        <v>72.35053136091085</v>
      </c>
      <c r="N47" s="320">
        <f t="shared" si="19"/>
        <v>72.35053136091085</v>
      </c>
      <c r="O47" s="320">
        <f t="shared" si="20"/>
        <v>0</v>
      </c>
    </row>
    <row r="48" spans="1:15" ht="31.2">
      <c r="A48" s="541">
        <v>14</v>
      </c>
      <c r="B48" s="627" t="s">
        <v>448</v>
      </c>
      <c r="C48" s="61">
        <f t="shared" si="16"/>
        <v>95816</v>
      </c>
      <c r="D48" s="61">
        <v>95816</v>
      </c>
      <c r="E48" s="61">
        <v>0</v>
      </c>
      <c r="F48" s="61">
        <f t="shared" si="17"/>
        <v>54805.15</v>
      </c>
      <c r="G48" s="62">
        <v>54805.15</v>
      </c>
      <c r="H48" s="62"/>
      <c r="I48" s="62"/>
      <c r="J48" s="62">
        <v>0</v>
      </c>
      <c r="K48" s="61"/>
      <c r="L48" s="61"/>
      <c r="M48" s="320"/>
      <c r="N48" s="320"/>
      <c r="O48" s="320"/>
    </row>
    <row r="49" spans="1:15" ht="31.2" collapsed="1">
      <c r="A49" s="541">
        <v>15</v>
      </c>
      <c r="B49" s="628" t="s">
        <v>450</v>
      </c>
      <c r="C49" s="61">
        <f t="shared" si="16"/>
        <v>16400</v>
      </c>
      <c r="D49" s="61">
        <v>16400</v>
      </c>
      <c r="E49" s="61">
        <v>0</v>
      </c>
      <c r="F49" s="61">
        <f t="shared" si="17"/>
        <v>9160.1440000000002</v>
      </c>
      <c r="G49" s="62">
        <v>9160.1440000000002</v>
      </c>
      <c r="H49" s="62"/>
      <c r="I49" s="62"/>
      <c r="J49" s="62">
        <v>0</v>
      </c>
      <c r="K49" s="61"/>
      <c r="L49" s="61"/>
      <c r="M49" s="320"/>
      <c r="N49" s="320"/>
      <c r="O49" s="320"/>
    </row>
    <row r="50" spans="1:15">
      <c r="A50" s="541">
        <v>16</v>
      </c>
      <c r="B50" s="628" t="s">
        <v>2300</v>
      </c>
      <c r="C50" s="61">
        <f t="shared" si="16"/>
        <v>0</v>
      </c>
      <c r="D50" s="61"/>
      <c r="E50" s="61">
        <v>0</v>
      </c>
      <c r="F50" s="61">
        <f t="shared" si="17"/>
        <v>1939.2860000000001</v>
      </c>
      <c r="G50" s="62">
        <v>1939.2860000000001</v>
      </c>
      <c r="H50" s="62"/>
      <c r="I50" s="62"/>
      <c r="J50" s="62">
        <v>0</v>
      </c>
      <c r="K50" s="61"/>
      <c r="L50" s="61"/>
      <c r="M50" s="320"/>
      <c r="N50" s="320"/>
      <c r="O50" s="320"/>
    </row>
    <row r="51" spans="1:15" collapsed="1">
      <c r="A51" s="541">
        <v>17</v>
      </c>
      <c r="B51" s="628" t="s">
        <v>452</v>
      </c>
      <c r="C51" s="61">
        <f t="shared" si="16"/>
        <v>0</v>
      </c>
      <c r="D51" s="61"/>
      <c r="E51" s="61">
        <v>0</v>
      </c>
      <c r="F51" s="61">
        <f t="shared" si="17"/>
        <v>24864.842407</v>
      </c>
      <c r="G51" s="62">
        <v>24864.842407</v>
      </c>
      <c r="H51" s="62"/>
      <c r="I51" s="62"/>
      <c r="J51" s="62">
        <v>0</v>
      </c>
      <c r="K51" s="61"/>
      <c r="L51" s="61"/>
      <c r="M51" s="320"/>
      <c r="N51" s="320"/>
      <c r="O51" s="320"/>
    </row>
    <row r="52" spans="1:15">
      <c r="A52" s="541">
        <v>18</v>
      </c>
      <c r="B52" s="628" t="s">
        <v>453</v>
      </c>
      <c r="C52" s="61">
        <f t="shared" si="16"/>
        <v>3528</v>
      </c>
      <c r="D52" s="61">
        <v>3528</v>
      </c>
      <c r="E52" s="61">
        <v>0</v>
      </c>
      <c r="F52" s="61">
        <f t="shared" si="17"/>
        <v>56191.851769999994</v>
      </c>
      <c r="G52" s="62">
        <v>56191.851769999994</v>
      </c>
      <c r="H52" s="62"/>
      <c r="I52" s="62"/>
      <c r="J52" s="62">
        <v>0</v>
      </c>
      <c r="K52" s="61"/>
      <c r="L52" s="61"/>
      <c r="M52" s="320"/>
      <c r="N52" s="320"/>
      <c r="O52" s="320"/>
    </row>
    <row r="53" spans="1:15" ht="31.2">
      <c r="A53" s="541">
        <v>19</v>
      </c>
      <c r="B53" s="628" t="s">
        <v>2298</v>
      </c>
      <c r="C53" s="61">
        <f t="shared" si="16"/>
        <v>0</v>
      </c>
      <c r="D53" s="61"/>
      <c r="E53" s="61">
        <v>0</v>
      </c>
      <c r="F53" s="61">
        <f t="shared" si="17"/>
        <v>1383.0070000000001</v>
      </c>
      <c r="G53" s="62">
        <v>1383.0070000000001</v>
      </c>
      <c r="H53" s="62"/>
      <c r="I53" s="62"/>
      <c r="J53" s="62">
        <v>0</v>
      </c>
      <c r="K53" s="61"/>
      <c r="L53" s="61"/>
      <c r="M53" s="320">
        <f t="shared" ref="M53:M96" si="21">IF((C53&gt;0),F53/C53*100,0)</f>
        <v>0</v>
      </c>
      <c r="N53" s="320">
        <f t="shared" ref="N53:N96" si="22">IF((D53&gt;0),G53/D53*100,0)</f>
        <v>0</v>
      </c>
      <c r="O53" s="320">
        <f t="shared" ref="O53:O81" si="23">IF((E53&gt;0),J53/E53*100,0)</f>
        <v>0</v>
      </c>
    </row>
    <row r="54" spans="1:15" ht="46.8">
      <c r="A54" s="541">
        <v>20</v>
      </c>
      <c r="B54" s="629" t="s">
        <v>2153</v>
      </c>
      <c r="C54" s="61">
        <f t="shared" si="16"/>
        <v>800</v>
      </c>
      <c r="D54" s="61">
        <v>800</v>
      </c>
      <c r="E54" s="61">
        <v>0</v>
      </c>
      <c r="F54" s="61">
        <f t="shared" si="17"/>
        <v>68.197000000000003</v>
      </c>
      <c r="G54" s="62">
        <v>68.197000000000003</v>
      </c>
      <c r="H54" s="62"/>
      <c r="I54" s="62"/>
      <c r="J54" s="62">
        <v>0</v>
      </c>
      <c r="K54" s="61"/>
      <c r="L54" s="61"/>
      <c r="M54" s="320">
        <f t="shared" si="21"/>
        <v>8.5246250000000003</v>
      </c>
      <c r="N54" s="320">
        <f t="shared" si="22"/>
        <v>8.5246250000000003</v>
      </c>
      <c r="O54" s="320">
        <f t="shared" si="23"/>
        <v>0</v>
      </c>
    </row>
    <row r="55" spans="1:15" ht="46.8">
      <c r="A55" s="541">
        <v>21</v>
      </c>
      <c r="B55" s="629" t="s">
        <v>2154</v>
      </c>
      <c r="C55" s="61">
        <f t="shared" si="16"/>
        <v>1400</v>
      </c>
      <c r="D55" s="61">
        <v>1400</v>
      </c>
      <c r="E55" s="61">
        <v>0</v>
      </c>
      <c r="F55" s="61">
        <f t="shared" si="17"/>
        <v>544.67999999999995</v>
      </c>
      <c r="G55" s="62">
        <v>544.67999999999995</v>
      </c>
      <c r="H55" s="62"/>
      <c r="I55" s="62"/>
      <c r="J55" s="62">
        <v>0</v>
      </c>
      <c r="K55" s="61"/>
      <c r="L55" s="61"/>
      <c r="M55" s="320">
        <f t="shared" si="21"/>
        <v>38.905714285714282</v>
      </c>
      <c r="N55" s="320">
        <f t="shared" si="22"/>
        <v>38.905714285714282</v>
      </c>
      <c r="O55" s="320">
        <f t="shared" si="23"/>
        <v>0</v>
      </c>
    </row>
    <row r="56" spans="1:15" ht="62.4">
      <c r="A56" s="541">
        <v>22</v>
      </c>
      <c r="B56" s="629" t="s">
        <v>2155</v>
      </c>
      <c r="C56" s="61">
        <f t="shared" si="16"/>
        <v>44900</v>
      </c>
      <c r="D56" s="61">
        <v>44900</v>
      </c>
      <c r="E56" s="61">
        <v>0</v>
      </c>
      <c r="F56" s="61">
        <f t="shared" si="17"/>
        <v>16382.337525999999</v>
      </c>
      <c r="G56" s="62">
        <v>16382.337525999999</v>
      </c>
      <c r="H56" s="62"/>
      <c r="I56" s="62"/>
      <c r="J56" s="62">
        <v>0</v>
      </c>
      <c r="K56" s="61"/>
      <c r="L56" s="61"/>
      <c r="M56" s="320">
        <f t="shared" si="21"/>
        <v>36.486275113585741</v>
      </c>
      <c r="N56" s="320">
        <f t="shared" si="22"/>
        <v>36.486275113585741</v>
      </c>
      <c r="O56" s="320">
        <f t="shared" si="23"/>
        <v>0</v>
      </c>
    </row>
    <row r="57" spans="1:15" ht="62.4">
      <c r="A57" s="541">
        <v>23</v>
      </c>
      <c r="B57" s="629" t="s">
        <v>2156</v>
      </c>
      <c r="C57" s="61">
        <f t="shared" si="16"/>
        <v>900</v>
      </c>
      <c r="D57" s="61">
        <v>900</v>
      </c>
      <c r="E57" s="61">
        <v>0</v>
      </c>
      <c r="F57" s="61">
        <f t="shared" si="17"/>
        <v>0</v>
      </c>
      <c r="G57" s="62">
        <v>0</v>
      </c>
      <c r="H57" s="62"/>
      <c r="I57" s="62"/>
      <c r="J57" s="62">
        <v>0</v>
      </c>
      <c r="K57" s="61"/>
      <c r="L57" s="61"/>
      <c r="M57" s="320">
        <f t="shared" si="21"/>
        <v>0</v>
      </c>
      <c r="N57" s="320">
        <f t="shared" si="22"/>
        <v>0</v>
      </c>
      <c r="O57" s="320">
        <f t="shared" si="23"/>
        <v>0</v>
      </c>
    </row>
    <row r="58" spans="1:15" ht="62.4">
      <c r="A58" s="541">
        <v>24</v>
      </c>
      <c r="B58" s="629" t="s">
        <v>2157</v>
      </c>
      <c r="C58" s="61">
        <f t="shared" si="16"/>
        <v>1500</v>
      </c>
      <c r="D58" s="61">
        <v>1500</v>
      </c>
      <c r="E58" s="61">
        <v>0</v>
      </c>
      <c r="F58" s="61">
        <f t="shared" si="17"/>
        <v>1488.5340000000001</v>
      </c>
      <c r="G58" s="62">
        <v>1488.5340000000001</v>
      </c>
      <c r="H58" s="62"/>
      <c r="I58" s="62"/>
      <c r="J58" s="62">
        <v>0</v>
      </c>
      <c r="K58" s="61"/>
      <c r="L58" s="61"/>
      <c r="M58" s="320">
        <f t="shared" si="21"/>
        <v>99.235600000000005</v>
      </c>
      <c r="N58" s="320">
        <f t="shared" si="22"/>
        <v>99.235600000000005</v>
      </c>
      <c r="O58" s="320">
        <f t="shared" si="23"/>
        <v>0</v>
      </c>
    </row>
    <row r="59" spans="1:15" ht="46.8">
      <c r="A59" s="541">
        <v>25</v>
      </c>
      <c r="B59" s="629" t="s">
        <v>2159</v>
      </c>
      <c r="C59" s="61">
        <f t="shared" si="16"/>
        <v>7700</v>
      </c>
      <c r="D59" s="61">
        <v>7700</v>
      </c>
      <c r="E59" s="61">
        <v>0</v>
      </c>
      <c r="F59" s="61">
        <f t="shared" si="17"/>
        <v>7348.1469120000002</v>
      </c>
      <c r="G59" s="62">
        <v>7348.1469120000002</v>
      </c>
      <c r="H59" s="62"/>
      <c r="I59" s="62"/>
      <c r="J59" s="62">
        <v>0</v>
      </c>
      <c r="K59" s="61"/>
      <c r="L59" s="61"/>
      <c r="M59" s="320">
        <f t="shared" si="21"/>
        <v>95.430479376623381</v>
      </c>
      <c r="N59" s="320">
        <f t="shared" si="22"/>
        <v>95.430479376623381</v>
      </c>
      <c r="O59" s="320">
        <f t="shared" si="23"/>
        <v>0</v>
      </c>
    </row>
    <row r="60" spans="1:15" ht="46.8">
      <c r="A60" s="541">
        <v>26</v>
      </c>
      <c r="B60" s="629" t="s">
        <v>2299</v>
      </c>
      <c r="C60" s="61">
        <f t="shared" ref="C60:C64" si="24">D60+E60</f>
        <v>18100</v>
      </c>
      <c r="D60" s="61">
        <v>18100</v>
      </c>
      <c r="E60" s="61">
        <v>0</v>
      </c>
      <c r="F60" s="61">
        <f t="shared" ref="F60:F64" si="25">G60+J60</f>
        <v>16112.287</v>
      </c>
      <c r="G60" s="62">
        <v>16112.287</v>
      </c>
      <c r="H60" s="62"/>
      <c r="I60" s="62"/>
      <c r="J60" s="62">
        <v>0</v>
      </c>
      <c r="K60" s="61"/>
      <c r="L60" s="61"/>
      <c r="M60" s="320">
        <f t="shared" si="21"/>
        <v>89.018160220994474</v>
      </c>
      <c r="N60" s="320">
        <f t="shared" si="22"/>
        <v>89.018160220994474</v>
      </c>
      <c r="O60" s="320">
        <f t="shared" si="23"/>
        <v>0</v>
      </c>
    </row>
    <row r="61" spans="1:15" ht="46.8">
      <c r="A61" s="541">
        <v>27</v>
      </c>
      <c r="B61" s="629" t="s">
        <v>2301</v>
      </c>
      <c r="C61" s="61">
        <f t="shared" si="24"/>
        <v>13000</v>
      </c>
      <c r="D61" s="61">
        <v>13000</v>
      </c>
      <c r="E61" s="61">
        <v>0</v>
      </c>
      <c r="F61" s="61">
        <f t="shared" si="25"/>
        <v>0</v>
      </c>
      <c r="G61" s="62">
        <v>0</v>
      </c>
      <c r="H61" s="62"/>
      <c r="I61" s="62"/>
      <c r="J61" s="62">
        <v>0</v>
      </c>
      <c r="K61" s="61"/>
      <c r="L61" s="61"/>
      <c r="M61" s="320">
        <f t="shared" si="21"/>
        <v>0</v>
      </c>
      <c r="N61" s="320">
        <f t="shared" si="22"/>
        <v>0</v>
      </c>
      <c r="O61" s="320">
        <f t="shared" si="23"/>
        <v>0</v>
      </c>
    </row>
    <row r="62" spans="1:15" ht="46.8">
      <c r="A62" s="541">
        <v>28</v>
      </c>
      <c r="B62" s="628" t="s">
        <v>2163</v>
      </c>
      <c r="C62" s="61">
        <f t="shared" si="24"/>
        <v>1170</v>
      </c>
      <c r="D62" s="61">
        <v>1170</v>
      </c>
      <c r="E62" s="61">
        <v>0</v>
      </c>
      <c r="F62" s="61">
        <f t="shared" si="25"/>
        <v>1238.1884969999999</v>
      </c>
      <c r="G62" s="62">
        <v>1238.1884969999999</v>
      </c>
      <c r="H62" s="62"/>
      <c r="I62" s="62"/>
      <c r="J62" s="62">
        <v>0</v>
      </c>
      <c r="K62" s="61"/>
      <c r="L62" s="61"/>
      <c r="M62" s="320">
        <f t="shared" si="21"/>
        <v>105.82807666666665</v>
      </c>
      <c r="N62" s="320">
        <f t="shared" si="22"/>
        <v>105.82807666666665</v>
      </c>
      <c r="O62" s="320">
        <f t="shared" si="23"/>
        <v>0</v>
      </c>
    </row>
    <row r="63" spans="1:15" ht="31.2">
      <c r="A63" s="541">
        <v>29</v>
      </c>
      <c r="B63" s="628" t="s">
        <v>466</v>
      </c>
      <c r="C63" s="61">
        <f t="shared" si="24"/>
        <v>155</v>
      </c>
      <c r="D63" s="61">
        <v>155</v>
      </c>
      <c r="E63" s="61">
        <v>0</v>
      </c>
      <c r="F63" s="61">
        <f t="shared" si="25"/>
        <v>24.293499999999995</v>
      </c>
      <c r="G63" s="62">
        <v>24.293499999999995</v>
      </c>
      <c r="H63" s="62"/>
      <c r="I63" s="62"/>
      <c r="J63" s="62">
        <v>0</v>
      </c>
      <c r="K63" s="61"/>
      <c r="L63" s="61"/>
      <c r="M63" s="320">
        <f t="shared" si="21"/>
        <v>15.67322580645161</v>
      </c>
      <c r="N63" s="320">
        <f t="shared" si="22"/>
        <v>15.67322580645161</v>
      </c>
      <c r="O63" s="320">
        <f t="shared" si="23"/>
        <v>0</v>
      </c>
    </row>
    <row r="64" spans="1:15">
      <c r="A64" s="541">
        <v>30</v>
      </c>
      <c r="B64" s="628" t="s">
        <v>519</v>
      </c>
      <c r="C64" s="61">
        <f t="shared" si="24"/>
        <v>65269</v>
      </c>
      <c r="D64" s="61">
        <v>22376</v>
      </c>
      <c r="E64" s="61">
        <f>47557-4664</f>
        <v>42893</v>
      </c>
      <c r="F64" s="61">
        <f t="shared" si="25"/>
        <v>63177.003999999994</v>
      </c>
      <c r="G64" s="62">
        <v>9483</v>
      </c>
      <c r="H64" s="62"/>
      <c r="I64" s="62"/>
      <c r="J64" s="62">
        <v>53694.003999999994</v>
      </c>
      <c r="K64" s="61"/>
      <c r="L64" s="61"/>
      <c r="M64" s="320">
        <f t="shared" si="21"/>
        <v>96.794809174340031</v>
      </c>
      <c r="N64" s="320">
        <f t="shared" si="22"/>
        <v>42.380228816589202</v>
      </c>
      <c r="O64" s="320">
        <f t="shared" si="23"/>
        <v>125.18127433380737</v>
      </c>
    </row>
    <row r="65" spans="1:15" ht="31.2">
      <c r="A65" s="541">
        <v>31</v>
      </c>
      <c r="B65" s="628" t="s">
        <v>515</v>
      </c>
      <c r="C65" s="61">
        <f t="shared" ref="C65:C70" si="26">D65+E65</f>
        <v>1500</v>
      </c>
      <c r="D65" s="61">
        <v>1500</v>
      </c>
      <c r="E65" s="61">
        <v>0</v>
      </c>
      <c r="F65" s="61">
        <f t="shared" ref="F65:F71" si="27">G65+J65</f>
        <v>2058</v>
      </c>
      <c r="G65" s="62">
        <v>2058</v>
      </c>
      <c r="H65" s="62"/>
      <c r="I65" s="62"/>
      <c r="J65" s="62">
        <v>0</v>
      </c>
      <c r="K65" s="61"/>
      <c r="L65" s="61"/>
      <c r="M65" s="320">
        <f t="shared" si="21"/>
        <v>137.20000000000002</v>
      </c>
      <c r="N65" s="320">
        <f t="shared" si="22"/>
        <v>137.20000000000002</v>
      </c>
      <c r="O65" s="320">
        <f t="shared" si="23"/>
        <v>0</v>
      </c>
    </row>
    <row r="66" spans="1:15" ht="31.2">
      <c r="A66" s="541">
        <v>32</v>
      </c>
      <c r="B66" s="628" t="s">
        <v>2178</v>
      </c>
      <c r="C66" s="61">
        <f t="shared" si="26"/>
        <v>7122</v>
      </c>
      <c r="D66" s="61">
        <v>7122</v>
      </c>
      <c r="E66" s="61"/>
      <c r="F66" s="61">
        <f t="shared" si="27"/>
        <v>2300.75</v>
      </c>
      <c r="G66" s="62">
        <v>2098</v>
      </c>
      <c r="H66" s="62"/>
      <c r="I66" s="62"/>
      <c r="J66" s="62">
        <v>202.75</v>
      </c>
      <c r="K66" s="61"/>
      <c r="L66" s="61"/>
      <c r="M66" s="320">
        <f t="shared" si="21"/>
        <v>32.304830103903399</v>
      </c>
      <c r="N66" s="320">
        <f t="shared" si="22"/>
        <v>29.458017410839656</v>
      </c>
      <c r="O66" s="320">
        <f t="shared" si="23"/>
        <v>0</v>
      </c>
    </row>
    <row r="67" spans="1:15">
      <c r="A67" s="541">
        <v>33</v>
      </c>
      <c r="B67" s="630" t="s">
        <v>2302</v>
      </c>
      <c r="C67" s="61">
        <f t="shared" si="26"/>
        <v>32403</v>
      </c>
      <c r="D67" s="61">
        <v>28931</v>
      </c>
      <c r="E67" s="61">
        <v>3472</v>
      </c>
      <c r="F67" s="61">
        <f t="shared" si="27"/>
        <v>31060.809000000001</v>
      </c>
      <c r="G67" s="62">
        <v>28987</v>
      </c>
      <c r="H67" s="62"/>
      <c r="I67" s="62"/>
      <c r="J67" s="62">
        <v>2073.8090000000002</v>
      </c>
      <c r="K67" s="61"/>
      <c r="L67" s="61"/>
      <c r="M67" s="320">
        <f t="shared" si="21"/>
        <v>95.857818720488851</v>
      </c>
      <c r="N67" s="320">
        <f t="shared" si="22"/>
        <v>100.19356399709653</v>
      </c>
      <c r="O67" s="320">
        <f t="shared" si="23"/>
        <v>59.729521889400928</v>
      </c>
    </row>
    <row r="68" spans="1:15">
      <c r="A68" s="541">
        <v>34</v>
      </c>
      <c r="B68" s="630" t="s">
        <v>2182</v>
      </c>
      <c r="C68" s="61">
        <f t="shared" si="26"/>
        <v>7108</v>
      </c>
      <c r="D68" s="61">
        <v>7108</v>
      </c>
      <c r="E68" s="61">
        <v>0</v>
      </c>
      <c r="F68" s="61">
        <f t="shared" si="27"/>
        <v>7108</v>
      </c>
      <c r="G68" s="62">
        <v>7108</v>
      </c>
      <c r="H68" s="62"/>
      <c r="I68" s="62"/>
      <c r="J68" s="62">
        <v>0</v>
      </c>
      <c r="K68" s="61"/>
      <c r="L68" s="61"/>
      <c r="M68" s="320">
        <f t="shared" si="21"/>
        <v>100</v>
      </c>
      <c r="N68" s="320">
        <f t="shared" si="22"/>
        <v>100</v>
      </c>
      <c r="O68" s="320">
        <f t="shared" si="23"/>
        <v>0</v>
      </c>
    </row>
    <row r="69" spans="1:15" ht="31.2">
      <c r="A69" s="541">
        <v>35</v>
      </c>
      <c r="B69" s="628" t="s">
        <v>2183</v>
      </c>
      <c r="C69" s="61">
        <f t="shared" si="26"/>
        <v>139</v>
      </c>
      <c r="D69" s="61">
        <v>0</v>
      </c>
      <c r="E69" s="61">
        <v>139</v>
      </c>
      <c r="F69" s="61">
        <f t="shared" si="27"/>
        <v>139</v>
      </c>
      <c r="G69" s="62">
        <v>0</v>
      </c>
      <c r="H69" s="62"/>
      <c r="I69" s="62"/>
      <c r="J69" s="62">
        <v>139</v>
      </c>
      <c r="K69" s="61"/>
      <c r="L69" s="61"/>
      <c r="M69" s="320">
        <f t="shared" si="21"/>
        <v>100</v>
      </c>
      <c r="N69" s="320">
        <f t="shared" si="22"/>
        <v>0</v>
      </c>
      <c r="O69" s="320">
        <f t="shared" si="23"/>
        <v>100</v>
      </c>
    </row>
    <row r="70" spans="1:15" collapsed="1">
      <c r="A70" s="541">
        <v>36</v>
      </c>
      <c r="B70" s="630" t="s">
        <v>2186</v>
      </c>
      <c r="C70" s="61">
        <f t="shared" si="26"/>
        <v>575</v>
      </c>
      <c r="D70" s="61">
        <v>575</v>
      </c>
      <c r="E70" s="61">
        <v>0</v>
      </c>
      <c r="F70" s="61">
        <f t="shared" si="27"/>
        <v>575</v>
      </c>
      <c r="G70" s="62">
        <v>575</v>
      </c>
      <c r="H70" s="62"/>
      <c r="I70" s="62"/>
      <c r="J70" s="62">
        <v>0</v>
      </c>
      <c r="K70" s="61"/>
      <c r="L70" s="61"/>
      <c r="M70" s="320">
        <f t="shared" si="21"/>
        <v>100</v>
      </c>
      <c r="N70" s="320">
        <f t="shared" si="22"/>
        <v>100</v>
      </c>
      <c r="O70" s="320">
        <f t="shared" si="23"/>
        <v>0</v>
      </c>
    </row>
    <row r="71" spans="1:15" ht="46.8">
      <c r="A71" s="541">
        <v>37</v>
      </c>
      <c r="B71" s="631" t="s">
        <v>2187</v>
      </c>
      <c r="C71" s="61">
        <f t="shared" ref="C71:C78" si="28">D71+E71</f>
        <v>2502</v>
      </c>
      <c r="D71" s="61">
        <v>2502</v>
      </c>
      <c r="E71" s="61">
        <v>0</v>
      </c>
      <c r="F71" s="61">
        <f t="shared" si="27"/>
        <v>2502</v>
      </c>
      <c r="G71" s="62">
        <v>2502</v>
      </c>
      <c r="H71" s="62"/>
      <c r="I71" s="62"/>
      <c r="J71" s="62">
        <v>0</v>
      </c>
      <c r="K71" s="61"/>
      <c r="L71" s="61"/>
      <c r="M71" s="320">
        <f t="shared" si="21"/>
        <v>100</v>
      </c>
      <c r="N71" s="320">
        <f t="shared" si="22"/>
        <v>100</v>
      </c>
      <c r="O71" s="320">
        <f t="shared" si="23"/>
        <v>0</v>
      </c>
    </row>
    <row r="72" spans="1:15">
      <c r="A72" s="541">
        <v>38</v>
      </c>
      <c r="B72" s="632" t="s">
        <v>2303</v>
      </c>
      <c r="C72" s="61">
        <f t="shared" si="28"/>
        <v>11066</v>
      </c>
      <c r="D72" s="61">
        <v>679</v>
      </c>
      <c r="E72" s="61">
        <v>10387</v>
      </c>
      <c r="F72" s="61">
        <f t="shared" ref="F72:F78" si="29">G72+J72</f>
        <v>32508</v>
      </c>
      <c r="G72" s="62">
        <v>679</v>
      </c>
      <c r="H72" s="62"/>
      <c r="I72" s="62"/>
      <c r="J72" s="62">
        <v>31829</v>
      </c>
      <c r="K72" s="61"/>
      <c r="L72" s="61"/>
      <c r="M72" s="320">
        <f t="shared" si="21"/>
        <v>293.7646846195554</v>
      </c>
      <c r="N72" s="320">
        <f t="shared" si="22"/>
        <v>100</v>
      </c>
      <c r="O72" s="320">
        <f t="shared" si="23"/>
        <v>306.43111581784927</v>
      </c>
    </row>
    <row r="73" spans="1:15">
      <c r="A73" s="541">
        <v>39</v>
      </c>
      <c r="B73" s="633" t="s">
        <v>480</v>
      </c>
      <c r="C73" s="61">
        <f t="shared" si="28"/>
        <v>14348</v>
      </c>
      <c r="D73" s="61"/>
      <c r="E73" s="61">
        <v>14348</v>
      </c>
      <c r="F73" s="61">
        <f t="shared" si="29"/>
        <v>13912.441999999999</v>
      </c>
      <c r="G73" s="62">
        <v>0</v>
      </c>
      <c r="H73" s="62"/>
      <c r="I73" s="62"/>
      <c r="J73" s="62">
        <v>13912.441999999999</v>
      </c>
      <c r="K73" s="61"/>
      <c r="L73" s="61"/>
      <c r="M73" s="320">
        <f t="shared" si="21"/>
        <v>96.964329523278508</v>
      </c>
      <c r="N73" s="320">
        <f t="shared" si="22"/>
        <v>0</v>
      </c>
      <c r="O73" s="320">
        <f t="shared" si="23"/>
        <v>96.964329523278508</v>
      </c>
    </row>
    <row r="74" spans="1:15" ht="31.2">
      <c r="A74" s="541">
        <v>40</v>
      </c>
      <c r="B74" s="632" t="s">
        <v>483</v>
      </c>
      <c r="C74" s="61">
        <f t="shared" si="28"/>
        <v>2719</v>
      </c>
      <c r="D74" s="61">
        <v>234</v>
      </c>
      <c r="E74" s="61">
        <v>2485</v>
      </c>
      <c r="F74" s="61">
        <f t="shared" si="29"/>
        <v>3489.08</v>
      </c>
      <c r="G74" s="62">
        <v>0</v>
      </c>
      <c r="H74" s="62"/>
      <c r="I74" s="62"/>
      <c r="J74" s="62">
        <v>3489.08</v>
      </c>
      <c r="K74" s="61"/>
      <c r="L74" s="61"/>
      <c r="M74" s="320">
        <f t="shared" si="21"/>
        <v>128.32217727105552</v>
      </c>
      <c r="N74" s="320">
        <f t="shared" si="22"/>
        <v>0</v>
      </c>
      <c r="O74" s="320">
        <f t="shared" si="23"/>
        <v>140.40563380281691</v>
      </c>
    </row>
    <row r="75" spans="1:15">
      <c r="A75" s="541">
        <v>41</v>
      </c>
      <c r="B75" s="628" t="s">
        <v>2304</v>
      </c>
      <c r="C75" s="61">
        <f t="shared" si="28"/>
        <v>1556</v>
      </c>
      <c r="D75" s="61">
        <f>821+37.3</f>
        <v>858.3</v>
      </c>
      <c r="E75" s="61">
        <f>679+18.7</f>
        <v>697.7</v>
      </c>
      <c r="F75" s="61">
        <f t="shared" si="29"/>
        <v>1524.4</v>
      </c>
      <c r="G75" s="62">
        <v>821</v>
      </c>
      <c r="H75" s="62"/>
      <c r="I75" s="62"/>
      <c r="J75" s="62">
        <f>684.7+18.7</f>
        <v>703.40000000000009</v>
      </c>
      <c r="K75" s="61"/>
      <c r="L75" s="61"/>
      <c r="M75" s="320">
        <f t="shared" si="21"/>
        <v>97.969151670951163</v>
      </c>
      <c r="N75" s="320">
        <f t="shared" si="22"/>
        <v>95.654200163113131</v>
      </c>
      <c r="O75" s="320">
        <f t="shared" si="23"/>
        <v>100.81697004443171</v>
      </c>
    </row>
    <row r="76" spans="1:15" ht="46.8">
      <c r="A76" s="541">
        <v>42</v>
      </c>
      <c r="B76" s="46" t="s">
        <v>507</v>
      </c>
      <c r="C76" s="61">
        <f t="shared" si="28"/>
        <v>523</v>
      </c>
      <c r="D76" s="61">
        <v>523</v>
      </c>
      <c r="E76" s="61">
        <v>0</v>
      </c>
      <c r="F76" s="61">
        <f t="shared" si="29"/>
        <v>515.41800000000001</v>
      </c>
      <c r="G76" s="62">
        <v>515.41800000000001</v>
      </c>
      <c r="H76" s="62"/>
      <c r="I76" s="62"/>
      <c r="J76" s="62">
        <v>0</v>
      </c>
      <c r="K76" s="61"/>
      <c r="L76" s="61"/>
      <c r="M76" s="320">
        <f t="shared" si="21"/>
        <v>98.550286806883364</v>
      </c>
      <c r="N76" s="320">
        <f t="shared" si="22"/>
        <v>98.550286806883364</v>
      </c>
      <c r="O76" s="320">
        <f t="shared" si="23"/>
        <v>0</v>
      </c>
    </row>
    <row r="77" spans="1:15" ht="31.2">
      <c r="A77" s="541">
        <v>43</v>
      </c>
      <c r="B77" s="631" t="s">
        <v>2197</v>
      </c>
      <c r="C77" s="61">
        <f t="shared" si="28"/>
        <v>10206</v>
      </c>
      <c r="D77" s="61">
        <v>10206</v>
      </c>
      <c r="E77" s="61">
        <v>0</v>
      </c>
      <c r="F77" s="61">
        <f t="shared" si="29"/>
        <v>10065.299999999999</v>
      </c>
      <c r="G77" s="62">
        <v>10065.299999999999</v>
      </c>
      <c r="H77" s="62"/>
      <c r="I77" s="62"/>
      <c r="J77" s="62">
        <v>0</v>
      </c>
      <c r="K77" s="61"/>
      <c r="L77" s="61"/>
      <c r="M77" s="320">
        <f t="shared" si="21"/>
        <v>98.621399176954725</v>
      </c>
      <c r="N77" s="320">
        <f t="shared" si="22"/>
        <v>98.621399176954725</v>
      </c>
      <c r="O77" s="320">
        <f t="shared" si="23"/>
        <v>0</v>
      </c>
    </row>
    <row r="78" spans="1:15" ht="46.8">
      <c r="A78" s="541">
        <v>44</v>
      </c>
      <c r="B78" s="628" t="s">
        <v>2202</v>
      </c>
      <c r="C78" s="61">
        <f t="shared" si="28"/>
        <v>2600</v>
      </c>
      <c r="D78" s="61">
        <v>2600</v>
      </c>
      <c r="E78" s="61">
        <v>0</v>
      </c>
      <c r="F78" s="61">
        <f t="shared" si="29"/>
        <v>2600</v>
      </c>
      <c r="G78" s="62">
        <v>2600</v>
      </c>
      <c r="H78" s="62"/>
      <c r="I78" s="62"/>
      <c r="J78" s="62">
        <v>0</v>
      </c>
      <c r="K78" s="61"/>
      <c r="L78" s="61"/>
      <c r="M78" s="320">
        <f t="shared" si="21"/>
        <v>100</v>
      </c>
      <c r="N78" s="320">
        <f t="shared" si="22"/>
        <v>100</v>
      </c>
      <c r="O78" s="320">
        <f t="shared" si="23"/>
        <v>0</v>
      </c>
    </row>
    <row r="79" spans="1:15" ht="31.2">
      <c r="A79" s="541">
        <v>45</v>
      </c>
      <c r="B79" s="631" t="s">
        <v>2305</v>
      </c>
      <c r="C79" s="61">
        <f t="shared" ref="C79:C85" si="30">D79+E79</f>
        <v>6766</v>
      </c>
      <c r="D79" s="61">
        <v>5906</v>
      </c>
      <c r="E79" s="61">
        <v>860</v>
      </c>
      <c r="F79" s="61">
        <f t="shared" ref="F79:F85" si="31">G79+J79</f>
        <v>6486</v>
      </c>
      <c r="G79" s="62">
        <v>5706</v>
      </c>
      <c r="H79" s="62"/>
      <c r="I79" s="62"/>
      <c r="J79" s="62">
        <v>780</v>
      </c>
      <c r="K79" s="61"/>
      <c r="L79" s="61"/>
      <c r="M79" s="320">
        <f t="shared" si="21"/>
        <v>95.861661247413537</v>
      </c>
      <c r="N79" s="320">
        <f t="shared" si="22"/>
        <v>96.613613274635966</v>
      </c>
      <c r="O79" s="320">
        <f t="shared" si="23"/>
        <v>90.697674418604649</v>
      </c>
    </row>
    <row r="80" spans="1:15" ht="31.2">
      <c r="A80" s="541">
        <v>46</v>
      </c>
      <c r="B80" s="628" t="s">
        <v>512</v>
      </c>
      <c r="C80" s="61">
        <f t="shared" si="30"/>
        <v>2455</v>
      </c>
      <c r="D80" s="61">
        <v>2230</v>
      </c>
      <c r="E80" s="61">
        <v>225</v>
      </c>
      <c r="F80" s="61">
        <f t="shared" si="31"/>
        <v>4646.1629999999996</v>
      </c>
      <c r="G80" s="62">
        <v>4400.7629999999999</v>
      </c>
      <c r="H80" s="62"/>
      <c r="I80" s="62"/>
      <c r="J80" s="62">
        <v>245.4</v>
      </c>
      <c r="K80" s="61"/>
      <c r="L80" s="61"/>
      <c r="M80" s="320">
        <f t="shared" si="21"/>
        <v>189.25307535641548</v>
      </c>
      <c r="N80" s="320">
        <f t="shared" si="22"/>
        <v>197.34363228699553</v>
      </c>
      <c r="O80" s="320">
        <f t="shared" si="23"/>
        <v>109.06666666666666</v>
      </c>
    </row>
    <row r="81" spans="1:15">
      <c r="A81" s="541">
        <v>47</v>
      </c>
      <c r="B81" s="628" t="s">
        <v>503</v>
      </c>
      <c r="C81" s="61">
        <f t="shared" si="30"/>
        <v>19268</v>
      </c>
      <c r="D81" s="61">
        <v>19013</v>
      </c>
      <c r="E81" s="61">
        <v>255</v>
      </c>
      <c r="F81" s="61">
        <f t="shared" si="31"/>
        <v>18578.878799999999</v>
      </c>
      <c r="G81" s="62">
        <v>18249.449799999999</v>
      </c>
      <c r="H81" s="62"/>
      <c r="I81" s="62"/>
      <c r="J81" s="62">
        <v>329.42899999999997</v>
      </c>
      <c r="K81" s="61"/>
      <c r="L81" s="61"/>
      <c r="M81" s="320">
        <f t="shared" si="21"/>
        <v>96.423493875856337</v>
      </c>
      <c r="N81" s="320">
        <f t="shared" si="22"/>
        <v>95.984062483563875</v>
      </c>
      <c r="O81" s="320">
        <f t="shared" si="23"/>
        <v>129.1878431372549</v>
      </c>
    </row>
    <row r="82" spans="1:15">
      <c r="A82" s="541">
        <v>48</v>
      </c>
      <c r="B82" s="628" t="s">
        <v>509</v>
      </c>
      <c r="C82" s="61">
        <f t="shared" si="30"/>
        <v>7918</v>
      </c>
      <c r="D82" s="61">
        <v>7918</v>
      </c>
      <c r="E82" s="61">
        <v>0</v>
      </c>
      <c r="F82" s="61">
        <f t="shared" si="31"/>
        <v>8366.3758440000001</v>
      </c>
      <c r="G82" s="62">
        <v>8366.3758440000001</v>
      </c>
      <c r="H82" s="62"/>
      <c r="I82" s="62"/>
      <c r="J82" s="62">
        <v>0</v>
      </c>
      <c r="K82" s="61"/>
      <c r="L82" s="61"/>
      <c r="M82" s="320">
        <f t="shared" si="21"/>
        <v>105.66274114675423</v>
      </c>
      <c r="N82" s="320">
        <f t="shared" si="22"/>
        <v>105.66274114675423</v>
      </c>
      <c r="O82" s="320">
        <f t="shared" ref="O82:O98" si="32">IF((E82&gt;0),J82/E82*100,0)</f>
        <v>0</v>
      </c>
    </row>
    <row r="83" spans="1:15">
      <c r="A83" s="541">
        <v>49</v>
      </c>
      <c r="B83" s="628" t="s">
        <v>2219</v>
      </c>
      <c r="C83" s="61">
        <f t="shared" si="30"/>
        <v>1081</v>
      </c>
      <c r="D83" s="61">
        <v>1081</v>
      </c>
      <c r="E83" s="61">
        <v>0</v>
      </c>
      <c r="F83" s="61">
        <f t="shared" si="31"/>
        <v>3487.9409999999998</v>
      </c>
      <c r="G83" s="62">
        <v>3487.9409999999998</v>
      </c>
      <c r="H83" s="62"/>
      <c r="I83" s="62"/>
      <c r="J83" s="62">
        <v>0</v>
      </c>
      <c r="K83" s="61"/>
      <c r="L83" s="61"/>
      <c r="M83" s="320">
        <f t="shared" si="21"/>
        <v>322.6587419056429</v>
      </c>
      <c r="N83" s="320">
        <f t="shared" si="22"/>
        <v>322.6587419056429</v>
      </c>
      <c r="O83" s="320">
        <f t="shared" si="32"/>
        <v>0</v>
      </c>
    </row>
    <row r="84" spans="1:15">
      <c r="A84" s="541">
        <v>50</v>
      </c>
      <c r="B84" s="628" t="s">
        <v>2220</v>
      </c>
      <c r="C84" s="61">
        <f t="shared" si="30"/>
        <v>1590</v>
      </c>
      <c r="D84" s="61">
        <v>1590</v>
      </c>
      <c r="E84" s="61">
        <v>0</v>
      </c>
      <c r="F84" s="61">
        <f t="shared" si="31"/>
        <v>4074.55</v>
      </c>
      <c r="G84" s="62">
        <v>4074.55</v>
      </c>
      <c r="H84" s="62"/>
      <c r="I84" s="62"/>
      <c r="J84" s="62">
        <v>0</v>
      </c>
      <c r="K84" s="61"/>
      <c r="L84" s="61"/>
      <c r="M84" s="320">
        <f t="shared" si="21"/>
        <v>256.26100628930817</v>
      </c>
      <c r="N84" s="320">
        <f t="shared" si="22"/>
        <v>256.26100628930817</v>
      </c>
      <c r="O84" s="320">
        <f t="shared" si="32"/>
        <v>0</v>
      </c>
    </row>
    <row r="85" spans="1:15">
      <c r="A85" s="541">
        <v>51</v>
      </c>
      <c r="B85" s="628" t="s">
        <v>487</v>
      </c>
      <c r="C85" s="61">
        <f t="shared" si="30"/>
        <v>24700</v>
      </c>
      <c r="D85" s="61">
        <v>24700</v>
      </c>
      <c r="E85" s="61">
        <v>0</v>
      </c>
      <c r="F85" s="61">
        <f t="shared" si="31"/>
        <v>39201.195871999989</v>
      </c>
      <c r="G85" s="62">
        <v>39201.195871999989</v>
      </c>
      <c r="H85" s="62"/>
      <c r="I85" s="62"/>
      <c r="J85" s="62">
        <v>0</v>
      </c>
      <c r="K85" s="61"/>
      <c r="L85" s="61"/>
      <c r="M85" s="320">
        <f t="shared" si="21"/>
        <v>158.70929502834002</v>
      </c>
      <c r="N85" s="320">
        <f t="shared" si="22"/>
        <v>158.70929502834002</v>
      </c>
      <c r="O85" s="320">
        <f t="shared" si="32"/>
        <v>0</v>
      </c>
    </row>
    <row r="86" spans="1:15" ht="31.2">
      <c r="A86" s="541">
        <v>52</v>
      </c>
      <c r="B86" s="628" t="s">
        <v>540</v>
      </c>
      <c r="C86" s="61">
        <f t="shared" ref="C86:C99" si="33">D86+E86</f>
        <v>1000</v>
      </c>
      <c r="D86" s="61">
        <v>1000</v>
      </c>
      <c r="E86" s="61"/>
      <c r="F86" s="61">
        <f t="shared" ref="F86:F99" si="34">G86+J86</f>
        <v>1480</v>
      </c>
      <c r="G86" s="62">
        <v>0</v>
      </c>
      <c r="H86" s="62"/>
      <c r="I86" s="62"/>
      <c r="J86" s="62">
        <v>1480</v>
      </c>
      <c r="K86" s="61"/>
      <c r="L86" s="61"/>
      <c r="M86" s="320">
        <f t="shared" si="21"/>
        <v>148</v>
      </c>
      <c r="N86" s="320">
        <f t="shared" si="22"/>
        <v>0</v>
      </c>
      <c r="O86" s="320">
        <f t="shared" si="32"/>
        <v>0</v>
      </c>
    </row>
    <row r="87" spans="1:15" ht="46.8">
      <c r="A87" s="541">
        <v>53</v>
      </c>
      <c r="B87" s="628" t="s">
        <v>2224</v>
      </c>
      <c r="C87" s="61">
        <f t="shared" si="33"/>
        <v>560</v>
      </c>
      <c r="D87" s="61">
        <v>560</v>
      </c>
      <c r="E87" s="61">
        <v>0</v>
      </c>
      <c r="F87" s="61">
        <f t="shared" si="34"/>
        <v>560</v>
      </c>
      <c r="G87" s="62">
        <v>560</v>
      </c>
      <c r="H87" s="62"/>
      <c r="I87" s="62"/>
      <c r="J87" s="62">
        <v>0</v>
      </c>
      <c r="K87" s="61"/>
      <c r="L87" s="61"/>
      <c r="M87" s="320">
        <f t="shared" si="21"/>
        <v>100</v>
      </c>
      <c r="N87" s="320">
        <f t="shared" si="22"/>
        <v>100</v>
      </c>
      <c r="O87" s="320">
        <f t="shared" si="32"/>
        <v>0</v>
      </c>
    </row>
    <row r="88" spans="1:15" ht="46.8">
      <c r="A88" s="541">
        <v>54</v>
      </c>
      <c r="B88" s="628" t="s">
        <v>2225</v>
      </c>
      <c r="C88" s="61">
        <f t="shared" si="33"/>
        <v>9500</v>
      </c>
      <c r="D88" s="61">
        <v>9500</v>
      </c>
      <c r="E88" s="61">
        <v>0</v>
      </c>
      <c r="F88" s="61">
        <f t="shared" si="34"/>
        <v>9500</v>
      </c>
      <c r="G88" s="62">
        <v>9500</v>
      </c>
      <c r="H88" s="62"/>
      <c r="I88" s="62"/>
      <c r="J88" s="62">
        <v>0</v>
      </c>
      <c r="K88" s="61"/>
      <c r="L88" s="61"/>
      <c r="M88" s="320">
        <f t="shared" si="21"/>
        <v>100</v>
      </c>
      <c r="N88" s="320">
        <f t="shared" si="22"/>
        <v>100</v>
      </c>
      <c r="O88" s="320">
        <f t="shared" si="32"/>
        <v>0</v>
      </c>
    </row>
    <row r="89" spans="1:15" ht="31.2">
      <c r="A89" s="541">
        <v>55</v>
      </c>
      <c r="B89" s="628" t="s">
        <v>2226</v>
      </c>
      <c r="C89" s="61">
        <f t="shared" si="33"/>
        <v>355</v>
      </c>
      <c r="D89" s="61">
        <v>355</v>
      </c>
      <c r="E89" s="61">
        <v>0</v>
      </c>
      <c r="F89" s="61">
        <f t="shared" si="34"/>
        <v>0</v>
      </c>
      <c r="G89" s="62">
        <v>0</v>
      </c>
      <c r="H89" s="62"/>
      <c r="I89" s="62"/>
      <c r="J89" s="62">
        <v>0</v>
      </c>
      <c r="K89" s="61"/>
      <c r="L89" s="61"/>
      <c r="M89" s="320">
        <f t="shared" si="21"/>
        <v>0</v>
      </c>
      <c r="N89" s="320">
        <f t="shared" si="22"/>
        <v>0</v>
      </c>
      <c r="O89" s="320">
        <f t="shared" si="32"/>
        <v>0</v>
      </c>
    </row>
    <row r="90" spans="1:15" ht="31.2" collapsed="1">
      <c r="A90" s="541">
        <v>56</v>
      </c>
      <c r="B90" s="628" t="s">
        <v>2306</v>
      </c>
      <c r="C90" s="61">
        <f t="shared" si="33"/>
        <v>1889.1465000000001</v>
      </c>
      <c r="D90" s="61">
        <v>1889.1465000000001</v>
      </c>
      <c r="E90" s="61">
        <v>0</v>
      </c>
      <c r="F90" s="61">
        <f t="shared" si="34"/>
        <v>1817.9868000000001</v>
      </c>
      <c r="G90" s="62">
        <v>1817.9868000000001</v>
      </c>
      <c r="H90" s="62"/>
      <c r="I90" s="62"/>
      <c r="J90" s="62">
        <v>0</v>
      </c>
      <c r="K90" s="61"/>
      <c r="L90" s="61"/>
      <c r="M90" s="320">
        <f t="shared" si="21"/>
        <v>96.233235484913422</v>
      </c>
      <c r="N90" s="320">
        <f t="shared" si="22"/>
        <v>96.233235484913422</v>
      </c>
      <c r="O90" s="320">
        <f t="shared" si="32"/>
        <v>0</v>
      </c>
    </row>
    <row r="91" spans="1:15" ht="46.8">
      <c r="A91" s="541">
        <v>57</v>
      </c>
      <c r="B91" s="628" t="s">
        <v>2228</v>
      </c>
      <c r="C91" s="61">
        <f t="shared" si="33"/>
        <v>10230</v>
      </c>
      <c r="D91" s="61">
        <v>10230</v>
      </c>
      <c r="E91" s="61">
        <v>0</v>
      </c>
      <c r="F91" s="61">
        <f t="shared" si="34"/>
        <v>10230</v>
      </c>
      <c r="G91" s="62">
        <v>10230</v>
      </c>
      <c r="H91" s="62"/>
      <c r="I91" s="62"/>
      <c r="J91" s="62">
        <v>0</v>
      </c>
      <c r="K91" s="61"/>
      <c r="L91" s="61"/>
      <c r="M91" s="320">
        <f t="shared" si="21"/>
        <v>100</v>
      </c>
      <c r="N91" s="320">
        <f t="shared" si="22"/>
        <v>100</v>
      </c>
      <c r="O91" s="320">
        <f t="shared" si="32"/>
        <v>0</v>
      </c>
    </row>
    <row r="92" spans="1:15" collapsed="1">
      <c r="A92" s="541">
        <v>58</v>
      </c>
      <c r="B92" s="628" t="s">
        <v>2233</v>
      </c>
      <c r="C92" s="61">
        <f t="shared" si="33"/>
        <v>1000</v>
      </c>
      <c r="D92" s="61">
        <v>1000</v>
      </c>
      <c r="E92" s="61">
        <v>0</v>
      </c>
      <c r="F92" s="61">
        <f t="shared" si="34"/>
        <v>0</v>
      </c>
      <c r="G92" s="62">
        <v>0</v>
      </c>
      <c r="H92" s="62"/>
      <c r="I92" s="62"/>
      <c r="J92" s="62">
        <v>0</v>
      </c>
      <c r="K92" s="61"/>
      <c r="L92" s="61"/>
      <c r="M92" s="320">
        <f t="shared" si="21"/>
        <v>0</v>
      </c>
      <c r="N92" s="320">
        <f t="shared" si="22"/>
        <v>0</v>
      </c>
      <c r="O92" s="320">
        <f t="shared" si="32"/>
        <v>0</v>
      </c>
    </row>
    <row r="93" spans="1:15" ht="46.8" collapsed="1">
      <c r="A93" s="541">
        <v>59</v>
      </c>
      <c r="B93" s="628" t="s">
        <v>2235</v>
      </c>
      <c r="C93" s="61">
        <f t="shared" si="33"/>
        <v>8000</v>
      </c>
      <c r="D93" s="61">
        <v>8000</v>
      </c>
      <c r="E93" s="61">
        <v>0</v>
      </c>
      <c r="F93" s="61">
        <f t="shared" si="34"/>
        <v>8000</v>
      </c>
      <c r="G93" s="62">
        <v>8000</v>
      </c>
      <c r="H93" s="62"/>
      <c r="I93" s="62"/>
      <c r="J93" s="62">
        <v>0</v>
      </c>
      <c r="K93" s="61"/>
      <c r="L93" s="61"/>
      <c r="M93" s="320">
        <f t="shared" si="21"/>
        <v>100</v>
      </c>
      <c r="N93" s="320">
        <f t="shared" si="22"/>
        <v>100</v>
      </c>
      <c r="O93" s="320">
        <f t="shared" si="32"/>
        <v>0</v>
      </c>
    </row>
    <row r="94" spans="1:15" ht="31.2" collapsed="1">
      <c r="A94" s="541">
        <v>60</v>
      </c>
      <c r="B94" s="628" t="s">
        <v>2307</v>
      </c>
      <c r="C94" s="61">
        <f t="shared" si="33"/>
        <v>9779</v>
      </c>
      <c r="D94" s="61">
        <v>9779</v>
      </c>
      <c r="E94" s="61">
        <v>0</v>
      </c>
      <c r="F94" s="61">
        <f t="shared" si="34"/>
        <v>9779</v>
      </c>
      <c r="G94" s="62">
        <v>9779</v>
      </c>
      <c r="H94" s="62"/>
      <c r="I94" s="62"/>
      <c r="J94" s="62">
        <v>0</v>
      </c>
      <c r="K94" s="61"/>
      <c r="L94" s="61"/>
      <c r="M94" s="320">
        <f t="shared" si="21"/>
        <v>100</v>
      </c>
      <c r="N94" s="320">
        <f t="shared" si="22"/>
        <v>100</v>
      </c>
      <c r="O94" s="320">
        <f t="shared" si="32"/>
        <v>0</v>
      </c>
    </row>
    <row r="95" spans="1:15" ht="31.2" collapsed="1">
      <c r="A95" s="541">
        <v>61</v>
      </c>
      <c r="B95" s="628" t="s">
        <v>2237</v>
      </c>
      <c r="C95" s="61">
        <f t="shared" si="33"/>
        <v>827</v>
      </c>
      <c r="D95" s="61">
        <v>0</v>
      </c>
      <c r="E95" s="61">
        <v>827</v>
      </c>
      <c r="F95" s="61">
        <f t="shared" si="34"/>
        <v>4926.2000000000016</v>
      </c>
      <c r="G95" s="62">
        <v>0</v>
      </c>
      <c r="H95" s="62"/>
      <c r="I95" s="62"/>
      <c r="J95" s="62">
        <v>4926.2000000000016</v>
      </c>
      <c r="K95" s="61"/>
      <c r="L95" s="61"/>
      <c r="M95" s="320">
        <f t="shared" si="21"/>
        <v>595.6711003627571</v>
      </c>
      <c r="N95" s="320">
        <f t="shared" si="22"/>
        <v>0</v>
      </c>
      <c r="O95" s="320">
        <f t="shared" si="32"/>
        <v>595.6711003627571</v>
      </c>
    </row>
    <row r="96" spans="1:15" ht="46.8">
      <c r="A96" s="541">
        <v>62</v>
      </c>
      <c r="B96" s="628" t="s">
        <v>2238</v>
      </c>
      <c r="C96" s="61">
        <f t="shared" si="33"/>
        <v>162.25299999999999</v>
      </c>
      <c r="D96" s="61">
        <v>162.25299999999999</v>
      </c>
      <c r="E96" s="61">
        <v>0</v>
      </c>
      <c r="F96" s="61">
        <f t="shared" si="34"/>
        <v>162.25299999999999</v>
      </c>
      <c r="G96" s="62">
        <v>162.25299999999999</v>
      </c>
      <c r="H96" s="62"/>
      <c r="I96" s="62"/>
      <c r="J96" s="62">
        <v>0</v>
      </c>
      <c r="K96" s="61"/>
      <c r="L96" s="61"/>
      <c r="M96" s="320">
        <f t="shared" si="21"/>
        <v>100</v>
      </c>
      <c r="N96" s="320">
        <f t="shared" si="22"/>
        <v>100</v>
      </c>
      <c r="O96" s="320">
        <f t="shared" si="32"/>
        <v>0</v>
      </c>
    </row>
    <row r="97" spans="1:15" ht="31.2">
      <c r="A97" s="541">
        <v>63</v>
      </c>
      <c r="B97" s="628" t="s">
        <v>2239</v>
      </c>
      <c r="C97" s="61">
        <f t="shared" si="33"/>
        <v>700</v>
      </c>
      <c r="D97" s="61">
        <v>700</v>
      </c>
      <c r="E97" s="61">
        <v>0</v>
      </c>
      <c r="F97" s="61">
        <f t="shared" si="34"/>
        <v>0</v>
      </c>
      <c r="G97" s="62">
        <v>0</v>
      </c>
      <c r="H97" s="62"/>
      <c r="I97" s="62"/>
      <c r="J97" s="62">
        <v>0</v>
      </c>
      <c r="K97" s="61"/>
      <c r="L97" s="61"/>
      <c r="M97" s="320"/>
      <c r="N97" s="320"/>
      <c r="O97" s="320">
        <f t="shared" si="32"/>
        <v>0</v>
      </c>
    </row>
    <row r="98" spans="1:15" ht="31.2">
      <c r="A98" s="541">
        <v>64</v>
      </c>
      <c r="B98" s="628" t="s">
        <v>2241</v>
      </c>
      <c r="C98" s="61">
        <f t="shared" si="33"/>
        <v>6181</v>
      </c>
      <c r="D98" s="61">
        <v>6181</v>
      </c>
      <c r="E98" s="61">
        <v>0</v>
      </c>
      <c r="F98" s="61">
        <f t="shared" si="34"/>
        <v>0</v>
      </c>
      <c r="G98" s="62">
        <v>0</v>
      </c>
      <c r="H98" s="62"/>
      <c r="I98" s="62"/>
      <c r="J98" s="62">
        <v>0</v>
      </c>
      <c r="K98" s="61"/>
      <c r="L98" s="61"/>
      <c r="M98" s="320">
        <f>IF((C98&gt;0),F98/C98*100,0)</f>
        <v>0</v>
      </c>
      <c r="N98" s="320">
        <f>IF((D98&gt;0),G98/D98*100,0)</f>
        <v>0</v>
      </c>
      <c r="O98" s="320">
        <f t="shared" si="32"/>
        <v>0</v>
      </c>
    </row>
    <row r="99" spans="1:15" ht="31.2">
      <c r="A99" s="541">
        <v>65</v>
      </c>
      <c r="B99" s="628" t="s">
        <v>2243</v>
      </c>
      <c r="C99" s="61">
        <f t="shared" si="33"/>
        <v>3818</v>
      </c>
      <c r="D99" s="61">
        <v>0</v>
      </c>
      <c r="E99" s="61">
        <v>3818</v>
      </c>
      <c r="F99" s="61">
        <f t="shared" si="34"/>
        <v>935</v>
      </c>
      <c r="G99" s="62">
        <v>0</v>
      </c>
      <c r="H99" s="62"/>
      <c r="I99" s="62"/>
      <c r="J99" s="62">
        <v>935</v>
      </c>
      <c r="K99" s="61"/>
      <c r="L99" s="61"/>
      <c r="M99" s="320"/>
      <c r="N99" s="320"/>
      <c r="O99" s="320"/>
    </row>
    <row r="100" spans="1:15" ht="31.2">
      <c r="A100" s="541">
        <v>66</v>
      </c>
      <c r="B100" s="628" t="s">
        <v>2250</v>
      </c>
      <c r="C100" s="61">
        <f t="shared" ref="C100:C108" si="35">D100+E100</f>
        <v>28500</v>
      </c>
      <c r="D100" s="61">
        <v>28500</v>
      </c>
      <c r="E100" s="61">
        <v>0</v>
      </c>
      <c r="F100" s="61">
        <f t="shared" ref="F100:F111" si="36">G100+J100</f>
        <v>0</v>
      </c>
      <c r="G100" s="62">
        <v>0</v>
      </c>
      <c r="H100" s="62"/>
      <c r="I100" s="62"/>
      <c r="J100" s="62">
        <v>0</v>
      </c>
      <c r="K100" s="61"/>
      <c r="L100" s="61"/>
      <c r="M100" s="320">
        <f t="shared" ref="M100:M108" si="37">IF((C100&gt;0),F100/C100*100,0)</f>
        <v>0</v>
      </c>
      <c r="N100" s="320">
        <f t="shared" ref="N100:N108" si="38">IF((D100&gt;0),G100/D100*100,0)</f>
        <v>0</v>
      </c>
      <c r="O100" s="320">
        <f t="shared" ref="O100:O108" si="39">IF((E100&gt;0),J100/E100*100,0)</f>
        <v>0</v>
      </c>
    </row>
    <row r="101" spans="1:15" ht="31.2">
      <c r="A101" s="541">
        <v>67</v>
      </c>
      <c r="B101" s="628" t="s">
        <v>542</v>
      </c>
      <c r="C101" s="61">
        <f t="shared" si="35"/>
        <v>17900</v>
      </c>
      <c r="D101" s="61">
        <v>17900</v>
      </c>
      <c r="E101" s="61">
        <v>0</v>
      </c>
      <c r="F101" s="61">
        <f t="shared" si="36"/>
        <v>0</v>
      </c>
      <c r="G101" s="62">
        <v>0</v>
      </c>
      <c r="H101" s="62"/>
      <c r="I101" s="62"/>
      <c r="J101" s="62">
        <v>0</v>
      </c>
      <c r="K101" s="61"/>
      <c r="L101" s="61"/>
      <c r="M101" s="320">
        <f t="shared" si="37"/>
        <v>0</v>
      </c>
      <c r="N101" s="320">
        <f t="shared" si="38"/>
        <v>0</v>
      </c>
      <c r="O101" s="320">
        <f t="shared" si="39"/>
        <v>0</v>
      </c>
    </row>
    <row r="102" spans="1:15" ht="46.8">
      <c r="A102" s="541">
        <v>68</v>
      </c>
      <c r="B102" s="628" t="s">
        <v>2254</v>
      </c>
      <c r="C102" s="61">
        <f t="shared" si="35"/>
        <v>70000</v>
      </c>
      <c r="D102" s="61">
        <v>70000</v>
      </c>
      <c r="E102" s="61">
        <v>0</v>
      </c>
      <c r="F102" s="61">
        <f t="shared" si="36"/>
        <v>0</v>
      </c>
      <c r="G102" s="62">
        <v>0</v>
      </c>
      <c r="H102" s="62"/>
      <c r="I102" s="62"/>
      <c r="J102" s="62">
        <v>0</v>
      </c>
      <c r="K102" s="61"/>
      <c r="L102" s="61"/>
      <c r="M102" s="320">
        <f t="shared" si="37"/>
        <v>0</v>
      </c>
      <c r="N102" s="320">
        <f t="shared" si="38"/>
        <v>0</v>
      </c>
      <c r="O102" s="320">
        <f t="shared" si="39"/>
        <v>0</v>
      </c>
    </row>
    <row r="103" spans="1:15">
      <c r="A103" s="541">
        <v>69</v>
      </c>
      <c r="B103" s="628" t="s">
        <v>2308</v>
      </c>
      <c r="C103" s="61">
        <f t="shared" si="35"/>
        <v>0</v>
      </c>
      <c r="D103" s="61">
        <v>0</v>
      </c>
      <c r="E103" s="61"/>
      <c r="F103" s="61">
        <f t="shared" si="36"/>
        <v>496.2</v>
      </c>
      <c r="G103" s="62">
        <v>0</v>
      </c>
      <c r="H103" s="62"/>
      <c r="I103" s="62"/>
      <c r="J103" s="62">
        <v>496.2</v>
      </c>
      <c r="K103" s="61"/>
      <c r="L103" s="61"/>
      <c r="M103" s="320">
        <f t="shared" si="37"/>
        <v>0</v>
      </c>
      <c r="N103" s="320">
        <f t="shared" si="38"/>
        <v>0</v>
      </c>
      <c r="O103" s="320">
        <f t="shared" si="39"/>
        <v>0</v>
      </c>
    </row>
    <row r="104" spans="1:15">
      <c r="A104" s="541">
        <v>70</v>
      </c>
      <c r="B104" s="628" t="s">
        <v>472</v>
      </c>
      <c r="C104" s="61">
        <f t="shared" si="35"/>
        <v>0</v>
      </c>
      <c r="D104" s="61"/>
      <c r="E104" s="61"/>
      <c r="F104" s="61">
        <f t="shared" si="36"/>
        <v>509.20299999999997</v>
      </c>
      <c r="G104" s="62">
        <v>0</v>
      </c>
      <c r="H104" s="62"/>
      <c r="I104" s="62"/>
      <c r="J104" s="62">
        <v>509.20299999999997</v>
      </c>
      <c r="K104" s="61"/>
      <c r="L104" s="61"/>
      <c r="M104" s="320">
        <f t="shared" si="37"/>
        <v>0</v>
      </c>
      <c r="N104" s="320">
        <f t="shared" si="38"/>
        <v>0</v>
      </c>
      <c r="O104" s="320">
        <f t="shared" si="39"/>
        <v>0</v>
      </c>
    </row>
    <row r="105" spans="1:15">
      <c r="A105" s="541">
        <v>71</v>
      </c>
      <c r="B105" s="628" t="s">
        <v>485</v>
      </c>
      <c r="C105" s="61">
        <f t="shared" si="35"/>
        <v>0</v>
      </c>
      <c r="D105" s="61"/>
      <c r="E105" s="61">
        <v>0</v>
      </c>
      <c r="F105" s="61">
        <f t="shared" si="36"/>
        <v>106.9404</v>
      </c>
      <c r="G105" s="62">
        <v>106.9404</v>
      </c>
      <c r="H105" s="62"/>
      <c r="I105" s="62"/>
      <c r="J105" s="62">
        <v>0</v>
      </c>
      <c r="K105" s="61"/>
      <c r="L105" s="61"/>
      <c r="M105" s="320">
        <f t="shared" si="37"/>
        <v>0</v>
      </c>
      <c r="N105" s="320">
        <f t="shared" si="38"/>
        <v>0</v>
      </c>
      <c r="O105" s="320">
        <f t="shared" si="39"/>
        <v>0</v>
      </c>
    </row>
    <row r="106" spans="1:15" s="261" customFormat="1" ht="31.2" collapsed="1">
      <c r="A106" s="541">
        <v>72</v>
      </c>
      <c r="B106" s="628" t="s">
        <v>2309</v>
      </c>
      <c r="C106" s="61">
        <f t="shared" si="35"/>
        <v>0</v>
      </c>
      <c r="D106" s="61"/>
      <c r="E106" s="61">
        <v>0</v>
      </c>
      <c r="F106" s="61">
        <f t="shared" si="36"/>
        <v>593.67999999999995</v>
      </c>
      <c r="G106" s="62">
        <v>593.67999999999995</v>
      </c>
      <c r="H106" s="62"/>
      <c r="I106" s="62"/>
      <c r="J106" s="62">
        <v>0</v>
      </c>
      <c r="K106" s="61"/>
      <c r="L106" s="61"/>
      <c r="M106" s="320">
        <f t="shared" si="37"/>
        <v>0</v>
      </c>
      <c r="N106" s="320">
        <f t="shared" si="38"/>
        <v>0</v>
      </c>
      <c r="O106" s="320">
        <f t="shared" si="39"/>
        <v>0</v>
      </c>
    </row>
    <row r="107" spans="1:15" ht="31.2">
      <c r="A107" s="541">
        <v>73</v>
      </c>
      <c r="B107" s="628" t="s">
        <v>510</v>
      </c>
      <c r="C107" s="61">
        <f t="shared" si="35"/>
        <v>0</v>
      </c>
      <c r="D107" s="61"/>
      <c r="E107" s="61"/>
      <c r="F107" s="61">
        <f t="shared" si="36"/>
        <v>19652.23</v>
      </c>
      <c r="G107" s="62">
        <v>3500</v>
      </c>
      <c r="H107" s="62"/>
      <c r="I107" s="62"/>
      <c r="J107" s="62">
        <v>16152.23</v>
      </c>
      <c r="K107" s="61"/>
      <c r="L107" s="61"/>
      <c r="M107" s="320">
        <f t="shared" si="37"/>
        <v>0</v>
      </c>
      <c r="N107" s="320">
        <f t="shared" si="38"/>
        <v>0</v>
      </c>
      <c r="O107" s="320">
        <f t="shared" si="39"/>
        <v>0</v>
      </c>
    </row>
    <row r="108" spans="1:15">
      <c r="A108" s="541">
        <v>74</v>
      </c>
      <c r="B108" s="628" t="s">
        <v>517</v>
      </c>
      <c r="C108" s="61">
        <f t="shared" si="35"/>
        <v>0</v>
      </c>
      <c r="D108" s="61"/>
      <c r="E108" s="61">
        <v>0</v>
      </c>
      <c r="F108" s="61">
        <f t="shared" si="36"/>
        <v>1225</v>
      </c>
      <c r="G108" s="62">
        <v>1225</v>
      </c>
      <c r="H108" s="62"/>
      <c r="I108" s="62"/>
      <c r="J108" s="62">
        <v>0</v>
      </c>
      <c r="K108" s="61"/>
      <c r="L108" s="61"/>
      <c r="M108" s="320">
        <f t="shared" si="37"/>
        <v>0</v>
      </c>
      <c r="N108" s="320">
        <f t="shared" si="38"/>
        <v>0</v>
      </c>
      <c r="O108" s="320">
        <f t="shared" si="39"/>
        <v>0</v>
      </c>
    </row>
    <row r="109" spans="1:15">
      <c r="A109" s="541"/>
      <c r="B109" s="634"/>
      <c r="C109" s="61"/>
      <c r="D109" s="61"/>
      <c r="E109" s="61"/>
      <c r="F109" s="61">
        <f t="shared" si="36"/>
        <v>0</v>
      </c>
      <c r="G109" s="62"/>
      <c r="H109" s="62"/>
      <c r="I109" s="62"/>
      <c r="J109" s="62"/>
      <c r="K109" s="624"/>
      <c r="L109" s="624"/>
      <c r="M109" s="320">
        <f t="shared" ref="M109:M110" si="40">IF((C109&gt;0),F109/C109*100,0)</f>
        <v>0</v>
      </c>
      <c r="N109" s="320">
        <f t="shared" ref="N109:N111" si="41">IF((D109&gt;0),G109/D109*100,0)</f>
        <v>0</v>
      </c>
      <c r="O109" s="320">
        <f t="shared" ref="O109:O111" si="42">IF((E109&gt;0),J109/E109*100,0)</f>
        <v>0</v>
      </c>
    </row>
    <row r="110" spans="1:15" s="261" customFormat="1">
      <c r="A110" s="105" t="s">
        <v>35</v>
      </c>
      <c r="B110" s="57" t="s">
        <v>99</v>
      </c>
      <c r="C110" s="739"/>
      <c r="D110" s="739"/>
      <c r="E110" s="739"/>
      <c r="F110" s="58">
        <f t="shared" si="36"/>
        <v>2207814.4703510003</v>
      </c>
      <c r="G110" s="740">
        <f>'Chi NSDP_trinh HDND'!H43</f>
        <v>1833064.2520000001</v>
      </c>
      <c r="H110" s="740"/>
      <c r="I110" s="740"/>
      <c r="J110" s="740">
        <f>'Chi NSDP_trinh HDND'!I43+'Chi NSDP_trinh HDND'!J43</f>
        <v>374750.21835100005</v>
      </c>
      <c r="K110" s="624"/>
      <c r="L110" s="624"/>
      <c r="M110" s="320">
        <f t="shared" si="40"/>
        <v>0</v>
      </c>
      <c r="N110" s="320">
        <f t="shared" si="41"/>
        <v>0</v>
      </c>
      <c r="O110" s="320">
        <f t="shared" si="42"/>
        <v>0</v>
      </c>
    </row>
    <row r="111" spans="1:15">
      <c r="A111" s="741" t="s">
        <v>36</v>
      </c>
      <c r="B111" s="742" t="s">
        <v>302</v>
      </c>
      <c r="C111" s="611"/>
      <c r="D111" s="611"/>
      <c r="E111" s="611"/>
      <c r="F111" s="646">
        <f t="shared" si="36"/>
        <v>142052.76904899999</v>
      </c>
      <c r="G111" s="647">
        <f>'Chi NSDP_trinh HDND'!H58</f>
        <v>65390.309923000001</v>
      </c>
      <c r="H111" s="647"/>
      <c r="I111" s="647"/>
      <c r="J111" s="647">
        <f>'Chi NSDP_trinh HDND'!I58+'Chi NSDP_trinh HDND'!J58</f>
        <v>76662.459126000002</v>
      </c>
      <c r="K111" s="625"/>
      <c r="L111" s="625"/>
      <c r="M111" s="625"/>
      <c r="N111" s="625">
        <f t="shared" si="41"/>
        <v>0</v>
      </c>
      <c r="O111" s="611">
        <f t="shared" si="42"/>
        <v>0</v>
      </c>
    </row>
  </sheetData>
  <mergeCells count="9">
    <mergeCell ref="M6:O6"/>
    <mergeCell ref="A3:O3"/>
    <mergeCell ref="A4:O4"/>
    <mergeCell ref="A6:A7"/>
    <mergeCell ref="B6:B7"/>
    <mergeCell ref="C6:C7"/>
    <mergeCell ref="D6:E6"/>
    <mergeCell ref="F6:F7"/>
    <mergeCell ref="G6:L6"/>
  </mergeCells>
  <dataValidations count="5">
    <dataValidation allowBlank="1" showInputMessage="1" showErrorMessage="1" prompt="Số liệu DT hiao theo QĐ 1129/QĐ-UBND ngày 30/10/2017 của UBND tỉnh" sqref="C33" xr:uid="{00000000-0002-0000-0200-000000000000}"/>
    <dataValidation allowBlank="1" showInputMessage="1" showErrorMessage="1" prompt="- Số liệu phòng TCĐT cung cấp 70.518trđ._x000a_-Phòng QLNS lấy theo số liệu VB 1868/STC-QLNS ngày 12/7/2018: _x000a_+ Tiền đất Nam cầu Dakk Bla: 66.709trđ_x000a_+ Tiền đất đấu giá các trụ sở cũ 3.876 trđ " sqref="H17:I17" xr:uid="{00000000-0002-0000-0200-000001000000}"/>
    <dataValidation allowBlank="1" showInputMessage="1" showErrorMessage="1" prompt="Số liệu lấy theoi Biểu Anh Phòng TCĐT cung cấp" sqref="J17:J18" xr:uid="{00000000-0002-0000-0200-000002000000}"/>
    <dataValidation allowBlank="1" showInputMessage="1" showErrorMessage="1" prompt="trừ 184.724" sqref="D44" xr:uid="{00000000-0002-0000-0200-000003000000}"/>
    <dataValidation allowBlank="1" showInputMessage="1" showErrorMessage="1" prompt="trừ 4.664" sqref="E64" xr:uid="{00000000-0002-0000-0200-000004000000}"/>
  </dataValidations>
  <printOptions horizontalCentered="1"/>
  <pageMargins left="0" right="0" top="0.75" bottom="0.4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46"/>
  <sheetViews>
    <sheetView workbookViewId="0">
      <pane xSplit="2" ySplit="7" topLeftCell="C41" activePane="bottomRight" state="frozen"/>
      <selection pane="topRight" activeCell="C1" sqref="C1"/>
      <selection pane="bottomLeft" activeCell="A8" sqref="A8"/>
      <selection pane="bottomRight" sqref="A1:XFD1048576"/>
    </sheetView>
  </sheetViews>
  <sheetFormatPr defaultColWidth="9.109375" defaultRowHeight="15.6"/>
  <cols>
    <col min="1" max="1" width="6.88671875" style="755" customWidth="1"/>
    <col min="2" max="2" width="56.5546875" style="755" customWidth="1"/>
    <col min="3" max="3" width="12.88671875" style="755" customWidth="1"/>
    <col min="4" max="4" width="13.33203125" style="755" customWidth="1"/>
    <col min="5" max="6" width="9.109375" style="755"/>
    <col min="7" max="7" width="15.6640625" style="755" bestFit="1" customWidth="1"/>
    <col min="8" max="8" width="11.5546875" style="755" bestFit="1" customWidth="1"/>
    <col min="9" max="9" width="10.109375" style="755" bestFit="1" customWidth="1"/>
    <col min="10" max="10" width="9.109375" style="755"/>
    <col min="11" max="11" width="11.5546875" style="755" bestFit="1" customWidth="1"/>
    <col min="12" max="16384" width="9.109375" style="755"/>
  </cols>
  <sheetData>
    <row r="1" spans="1:11">
      <c r="A1" s="774" t="s">
        <v>202</v>
      </c>
      <c r="D1" s="774" t="s">
        <v>100</v>
      </c>
    </row>
    <row r="2" spans="1:11">
      <c r="A2" s="775"/>
    </row>
    <row r="3" spans="1:11" ht="16.8">
      <c r="A3" s="807" t="s">
        <v>2311</v>
      </c>
      <c r="B3" s="807"/>
      <c r="C3" s="807"/>
      <c r="D3" s="807"/>
      <c r="E3" s="807"/>
    </row>
    <row r="4" spans="1:11">
      <c r="A4" s="808" t="s">
        <v>2043</v>
      </c>
      <c r="B4" s="808"/>
      <c r="C4" s="808"/>
      <c r="D4" s="808"/>
      <c r="E4" s="808"/>
    </row>
    <row r="5" spans="1:11">
      <c r="B5" s="503"/>
      <c r="C5" s="776"/>
      <c r="D5" s="777" t="s">
        <v>2014</v>
      </c>
    </row>
    <row r="6" spans="1:11" ht="46.8">
      <c r="A6" s="778" t="s">
        <v>2</v>
      </c>
      <c r="B6" s="778" t="s">
        <v>3</v>
      </c>
      <c r="C6" s="778" t="s">
        <v>39</v>
      </c>
      <c r="D6" s="778" t="s">
        <v>5</v>
      </c>
      <c r="E6" s="778" t="s">
        <v>6</v>
      </c>
      <c r="G6" s="759"/>
    </row>
    <row r="7" spans="1:11">
      <c r="A7" s="779" t="s">
        <v>7</v>
      </c>
      <c r="B7" s="779" t="s">
        <v>8</v>
      </c>
      <c r="C7" s="779">
        <v>1</v>
      </c>
      <c r="D7" s="779">
        <v>2</v>
      </c>
      <c r="E7" s="779" t="s">
        <v>9</v>
      </c>
    </row>
    <row r="8" spans="1:11" s="757" customFormat="1" ht="19.5" customHeight="1">
      <c r="A8" s="780"/>
      <c r="B8" s="780" t="s">
        <v>21</v>
      </c>
      <c r="C8" s="781">
        <f>C9+C10+C45+C46</f>
        <v>7543591</v>
      </c>
      <c r="D8" s="781">
        <f>D9+D10+D45+D46</f>
        <v>7533121.9748579999</v>
      </c>
      <c r="E8" s="782">
        <f>IF((C8&gt;0),D8/C8*100,0)</f>
        <v>99.86121960824758</v>
      </c>
      <c r="G8" s="756"/>
      <c r="H8" s="756"/>
    </row>
    <row r="9" spans="1:11" s="757" customFormat="1">
      <c r="A9" s="783" t="s">
        <v>7</v>
      </c>
      <c r="B9" s="645" t="s">
        <v>101</v>
      </c>
      <c r="C9" s="784">
        <v>2693670</v>
      </c>
      <c r="D9" s="784">
        <f>'67_QT'!I10</f>
        <v>2693670</v>
      </c>
      <c r="E9" s="785">
        <f>IF((C9&gt;0),D9/C9*100,0)</f>
        <v>100</v>
      </c>
      <c r="G9" s="761"/>
    </row>
    <row r="10" spans="1:11">
      <c r="A10" s="783" t="s">
        <v>8</v>
      </c>
      <c r="B10" s="645" t="s">
        <v>102</v>
      </c>
      <c r="C10" s="784">
        <f>C12+C27+C39+C40+C41+C42+C43+C44-1</f>
        <v>4778902</v>
      </c>
      <c r="D10" s="784">
        <f>'Chi NSDP_trinh HDND'!H59-D9-D45-D46</f>
        <v>2940997.4129349994</v>
      </c>
      <c r="E10" s="786">
        <f t="shared" ref="E10:E45" si="0">IF((C10&gt;0),D10/C10*100,0)</f>
        <v>61.541278999548425</v>
      </c>
      <c r="H10" s="759"/>
      <c r="K10" s="761"/>
    </row>
    <row r="11" spans="1:11" s="757" customFormat="1">
      <c r="A11" s="783"/>
      <c r="B11" s="787" t="s">
        <v>95</v>
      </c>
      <c r="C11" s="784"/>
      <c r="D11" s="784"/>
      <c r="E11" s="785">
        <f t="shared" si="0"/>
        <v>0</v>
      </c>
      <c r="K11" s="761"/>
    </row>
    <row r="12" spans="1:11">
      <c r="A12" s="783" t="s">
        <v>45</v>
      </c>
      <c r="B12" s="645" t="s">
        <v>24</v>
      </c>
      <c r="C12" s="784">
        <f>C13+C25+C26</f>
        <v>2245553</v>
      </c>
      <c r="D12" s="784">
        <f>D13+D25+D26</f>
        <v>1255540.2626</v>
      </c>
      <c r="E12" s="785">
        <f t="shared" si="0"/>
        <v>55.912296997666054</v>
      </c>
      <c r="K12" s="759"/>
    </row>
    <row r="13" spans="1:11">
      <c r="A13" s="788">
        <v>1</v>
      </c>
      <c r="B13" s="787" t="s">
        <v>86</v>
      </c>
      <c r="C13" s="288">
        <v>2232863</v>
      </c>
      <c r="D13" s="288">
        <f>'Chi NSDP_trinh HDND'!H11</f>
        <v>1243190.2626</v>
      </c>
      <c r="E13" s="786">
        <f t="shared" si="0"/>
        <v>55.676961040601235</v>
      </c>
      <c r="H13" s="789"/>
      <c r="I13" s="789"/>
      <c r="K13" s="759"/>
    </row>
    <row r="14" spans="1:11">
      <c r="A14" s="788"/>
      <c r="B14" s="790" t="s">
        <v>95</v>
      </c>
      <c r="C14" s="288"/>
      <c r="D14" s="288"/>
      <c r="E14" s="786">
        <f t="shared" si="0"/>
        <v>0</v>
      </c>
    </row>
    <row r="15" spans="1:11">
      <c r="A15" s="788" t="s">
        <v>103</v>
      </c>
      <c r="B15" s="787" t="s">
        <v>88</v>
      </c>
      <c r="C15" s="791">
        <v>139922</v>
      </c>
      <c r="D15" s="288">
        <f>'Chi NSDP_trinh HDND'!H14</f>
        <v>109331.94187</v>
      </c>
      <c r="E15" s="786">
        <f t="shared" si="0"/>
        <v>78.137778097797337</v>
      </c>
    </row>
    <row r="16" spans="1:11">
      <c r="A16" s="788" t="s">
        <v>104</v>
      </c>
      <c r="B16" s="787" t="s">
        <v>89</v>
      </c>
      <c r="C16" s="791">
        <v>13549</v>
      </c>
      <c r="D16" s="288">
        <f>'Chi NSDP_trinh HDND'!H15</f>
        <v>13548.91</v>
      </c>
      <c r="E16" s="786">
        <f t="shared" si="0"/>
        <v>99.999335744335369</v>
      </c>
    </row>
    <row r="17" spans="1:8">
      <c r="A17" s="788" t="s">
        <v>105</v>
      </c>
      <c r="B17" s="787" t="s">
        <v>106</v>
      </c>
      <c r="C17" s="791">
        <v>96840</v>
      </c>
      <c r="D17" s="288">
        <f>'Chi NSDP_trinh HDND'!H16</f>
        <v>62343.226954999998</v>
      </c>
      <c r="E17" s="786">
        <f t="shared" si="0"/>
        <v>64.377557780875676</v>
      </c>
      <c r="H17" s="759"/>
    </row>
    <row r="18" spans="1:8">
      <c r="A18" s="788" t="s">
        <v>107</v>
      </c>
      <c r="B18" s="787" t="s">
        <v>108</v>
      </c>
      <c r="C18" s="791">
        <v>28169</v>
      </c>
      <c r="D18" s="288">
        <f>'Chi NSDP_trinh HDND'!H17</f>
        <v>4664.894311</v>
      </c>
      <c r="E18" s="786">
        <f t="shared" si="0"/>
        <v>16.560383084241543</v>
      </c>
    </row>
    <row r="19" spans="1:8">
      <c r="A19" s="788" t="s">
        <v>109</v>
      </c>
      <c r="B19" s="787" t="s">
        <v>110</v>
      </c>
      <c r="C19" s="791">
        <v>18332</v>
      </c>
      <c r="D19" s="288">
        <f>'Chi NSDP_trinh HDND'!H18</f>
        <v>15591.878817999999</v>
      </c>
      <c r="E19" s="786">
        <f t="shared" si="0"/>
        <v>85.052797392537641</v>
      </c>
    </row>
    <row r="20" spans="1:8">
      <c r="A20" s="788" t="s">
        <v>111</v>
      </c>
      <c r="B20" s="787" t="s">
        <v>112</v>
      </c>
      <c r="C20" s="791">
        <v>10</v>
      </c>
      <c r="D20" s="288">
        <f>'Chi NSDP_trinh HDND'!H19</f>
        <v>0</v>
      </c>
      <c r="E20" s="786">
        <f t="shared" si="0"/>
        <v>0</v>
      </c>
    </row>
    <row r="21" spans="1:8">
      <c r="A21" s="788" t="s">
        <v>113</v>
      </c>
      <c r="B21" s="787" t="s">
        <v>114</v>
      </c>
      <c r="C21" s="791">
        <v>23147</v>
      </c>
      <c r="D21" s="288">
        <f>'Chi NSDP_trinh HDND'!H20</f>
        <v>19244.894807000001</v>
      </c>
      <c r="E21" s="786">
        <f t="shared" si="0"/>
        <v>83.142069412882876</v>
      </c>
      <c r="G21" s="759"/>
    </row>
    <row r="22" spans="1:8">
      <c r="A22" s="788" t="s">
        <v>115</v>
      </c>
      <c r="B22" s="787" t="s">
        <v>116</v>
      </c>
      <c r="C22" s="791">
        <v>1856286</v>
      </c>
      <c r="D22" s="288">
        <f>'Chi NSDP_trinh HDND'!H21</f>
        <v>963407.93683899997</v>
      </c>
      <c r="E22" s="786">
        <f t="shared" si="0"/>
        <v>51.899757733398843</v>
      </c>
    </row>
    <row r="23" spans="1:8">
      <c r="A23" s="788" t="s">
        <v>117</v>
      </c>
      <c r="B23" s="787" t="s">
        <v>118</v>
      </c>
      <c r="C23" s="791">
        <v>23409</v>
      </c>
      <c r="D23" s="288">
        <f>'Chi NSDP_trinh HDND'!H22</f>
        <v>22791.736000000001</v>
      </c>
      <c r="E23" s="786">
        <f t="shared" si="0"/>
        <v>97.36313383741296</v>
      </c>
    </row>
    <row r="24" spans="1:8">
      <c r="A24" s="788" t="s">
        <v>119</v>
      </c>
      <c r="B24" s="787" t="s">
        <v>120</v>
      </c>
      <c r="C24" s="791">
        <v>3105.4279999999999</v>
      </c>
      <c r="D24" s="288">
        <f>'Chi NSDP_trinh HDND'!H23</f>
        <v>0</v>
      </c>
      <c r="E24" s="786">
        <f t="shared" si="0"/>
        <v>0</v>
      </c>
    </row>
    <row r="25" spans="1:8" ht="19.5" customHeight="1">
      <c r="A25" s="788">
        <v>2</v>
      </c>
      <c r="B25" s="787" t="s">
        <v>2022</v>
      </c>
      <c r="C25" s="792">
        <v>12690</v>
      </c>
      <c r="D25" s="288">
        <f>'Chi NSDP_trinh HDND'!H25</f>
        <v>12350</v>
      </c>
      <c r="E25" s="786">
        <f t="shared" si="0"/>
        <v>97.320724980299445</v>
      </c>
      <c r="H25" s="759"/>
    </row>
    <row r="26" spans="1:8">
      <c r="A26" s="788">
        <v>3</v>
      </c>
      <c r="B26" s="787" t="s">
        <v>94</v>
      </c>
      <c r="C26" s="791"/>
      <c r="D26" s="288"/>
      <c r="E26" s="786">
        <f t="shared" si="0"/>
        <v>0</v>
      </c>
      <c r="H26" s="759"/>
    </row>
    <row r="27" spans="1:8" s="757" customFormat="1">
      <c r="A27" s="783" t="s">
        <v>29</v>
      </c>
      <c r="B27" s="645" t="s">
        <v>25</v>
      </c>
      <c r="C27" s="784">
        <v>2429316</v>
      </c>
      <c r="D27" s="784">
        <f>'Chi NSDP_trinh HDND'!H28</f>
        <v>1643618.965935</v>
      </c>
      <c r="E27" s="785">
        <f t="shared" si="0"/>
        <v>67.657684958852613</v>
      </c>
      <c r="H27" s="761"/>
    </row>
    <row r="28" spans="1:8">
      <c r="A28" s="788"/>
      <c r="B28" s="790" t="s">
        <v>95</v>
      </c>
      <c r="C28" s="288"/>
      <c r="D28" s="288"/>
      <c r="E28" s="786">
        <f t="shared" si="0"/>
        <v>0</v>
      </c>
    </row>
    <row r="29" spans="1:8">
      <c r="A29" s="788">
        <v>1</v>
      </c>
      <c r="B29" s="787" t="s">
        <v>88</v>
      </c>
      <c r="C29" s="288">
        <v>474584</v>
      </c>
      <c r="D29" s="288">
        <f>'Chi NSDP_trinh HDND'!H31</f>
        <v>347269.08179000003</v>
      </c>
      <c r="E29" s="786">
        <f t="shared" si="0"/>
        <v>73.17336483952262</v>
      </c>
    </row>
    <row r="30" spans="1:8">
      <c r="A30" s="788">
        <v>2</v>
      </c>
      <c r="B30" s="787" t="s">
        <v>89</v>
      </c>
      <c r="C30" s="288">
        <v>24773</v>
      </c>
      <c r="D30" s="288">
        <f>'Chi NSDP_trinh HDND'!H32</f>
        <v>14779.462194</v>
      </c>
      <c r="E30" s="786">
        <f t="shared" si="0"/>
        <v>59.659557558632379</v>
      </c>
    </row>
    <row r="31" spans="1:8">
      <c r="A31" s="788">
        <v>3</v>
      </c>
      <c r="B31" s="787" t="s">
        <v>106</v>
      </c>
      <c r="C31" s="288">
        <v>667286</v>
      </c>
      <c r="D31" s="288">
        <f>'Chi NSDP_trinh HDND'!H33</f>
        <v>460394.80262799998</v>
      </c>
      <c r="E31" s="786">
        <f t="shared" si="0"/>
        <v>68.995123924074534</v>
      </c>
    </row>
    <row r="32" spans="1:8">
      <c r="A32" s="788">
        <v>4</v>
      </c>
      <c r="B32" s="787" t="s">
        <v>108</v>
      </c>
      <c r="C32" s="288">
        <v>44287</v>
      </c>
      <c r="D32" s="288">
        <f>'Chi NSDP_trinh HDND'!H34</f>
        <v>32549.423860999999</v>
      </c>
      <c r="E32" s="786">
        <f t="shared" si="0"/>
        <v>73.496565269717976</v>
      </c>
    </row>
    <row r="33" spans="1:5">
      <c r="A33" s="788">
        <v>5</v>
      </c>
      <c r="B33" s="787" t="s">
        <v>110</v>
      </c>
      <c r="C33" s="288">
        <v>11912</v>
      </c>
      <c r="D33" s="288">
        <f>'Chi NSDP_trinh HDND'!H35</f>
        <v>11335.2</v>
      </c>
      <c r="E33" s="786">
        <f t="shared" si="0"/>
        <v>95.157824042981872</v>
      </c>
    </row>
    <row r="34" spans="1:5">
      <c r="A34" s="788">
        <v>6</v>
      </c>
      <c r="B34" s="787" t="s">
        <v>112</v>
      </c>
      <c r="C34" s="792">
        <v>11002</v>
      </c>
      <c r="D34" s="288">
        <f>'Chi NSDP_trinh HDND'!H36</f>
        <v>10463.477199999999</v>
      </c>
      <c r="E34" s="786">
        <f t="shared" si="0"/>
        <v>95.105228140338113</v>
      </c>
    </row>
    <row r="35" spans="1:5">
      <c r="A35" s="788">
        <v>7</v>
      </c>
      <c r="B35" s="787" t="s">
        <v>114</v>
      </c>
      <c r="C35" s="792">
        <v>4012</v>
      </c>
      <c r="D35" s="288">
        <f>'Chi NSDP_trinh HDND'!H37</f>
        <v>3600.9742120000001</v>
      </c>
      <c r="E35" s="786">
        <f t="shared" si="0"/>
        <v>89.755090029910264</v>
      </c>
    </row>
    <row r="36" spans="1:5">
      <c r="A36" s="788">
        <v>8</v>
      </c>
      <c r="B36" s="787" t="s">
        <v>116</v>
      </c>
      <c r="C36" s="792">
        <v>417374</v>
      </c>
      <c r="D36" s="288">
        <f>'Chi NSDP_trinh HDND'!H38</f>
        <v>312076.89350000001</v>
      </c>
      <c r="E36" s="786">
        <f t="shared" si="0"/>
        <v>74.771522303737186</v>
      </c>
    </row>
    <row r="37" spans="1:5" ht="25.5" customHeight="1">
      <c r="A37" s="788">
        <v>9</v>
      </c>
      <c r="B37" s="787" t="s">
        <v>118</v>
      </c>
      <c r="C37" s="792">
        <v>329850</v>
      </c>
      <c r="D37" s="288">
        <f>'Chi NSDP_trinh HDND'!H39</f>
        <v>304254.18874700001</v>
      </c>
      <c r="E37" s="786">
        <f t="shared" si="0"/>
        <v>92.240166362589065</v>
      </c>
    </row>
    <row r="38" spans="1:5">
      <c r="A38" s="788">
        <v>10</v>
      </c>
      <c r="B38" s="787" t="s">
        <v>120</v>
      </c>
      <c r="C38" s="792">
        <v>53840</v>
      </c>
      <c r="D38" s="288">
        <f>'Chi NSDP_trinh HDND'!H40</f>
        <v>38789.838091999998</v>
      </c>
      <c r="E38" s="786">
        <f t="shared" si="0"/>
        <v>72.046504628528979</v>
      </c>
    </row>
    <row r="39" spans="1:5" s="757" customFormat="1">
      <c r="A39" s="783" t="s">
        <v>33</v>
      </c>
      <c r="B39" s="645" t="s">
        <v>294</v>
      </c>
      <c r="C39" s="793">
        <v>38500</v>
      </c>
      <c r="D39" s="793">
        <f>'Chi NSDP_trinh HDND'!H27</f>
        <v>38500</v>
      </c>
      <c r="E39" s="785">
        <f t="shared" si="0"/>
        <v>100</v>
      </c>
    </row>
    <row r="40" spans="1:5" s="757" customFormat="1">
      <c r="A40" s="783" t="s">
        <v>71</v>
      </c>
      <c r="B40" s="645" t="s">
        <v>26</v>
      </c>
      <c r="C40" s="793">
        <v>2000</v>
      </c>
      <c r="D40" s="793">
        <f>'Chi NSDP_trinh HDND'!H42</f>
        <v>2000</v>
      </c>
      <c r="E40" s="785">
        <f t="shared" si="0"/>
        <v>100</v>
      </c>
    </row>
    <row r="41" spans="1:5" s="757" customFormat="1">
      <c r="A41" s="783" t="s">
        <v>96</v>
      </c>
      <c r="B41" s="645" t="s">
        <v>121</v>
      </c>
      <c r="C41" s="793">
        <v>52134</v>
      </c>
      <c r="D41" s="793">
        <v>0</v>
      </c>
      <c r="E41" s="786">
        <f t="shared" si="0"/>
        <v>0</v>
      </c>
    </row>
    <row r="42" spans="1:5" s="757" customFormat="1">
      <c r="A42" s="783" t="s">
        <v>97</v>
      </c>
      <c r="B42" s="645" t="s">
        <v>122</v>
      </c>
      <c r="C42" s="793"/>
      <c r="D42" s="793">
        <v>0</v>
      </c>
      <c r="E42" s="786">
        <f t="shared" si="0"/>
        <v>0</v>
      </c>
    </row>
    <row r="43" spans="1:5" s="757" customFormat="1">
      <c r="A43" s="783" t="s">
        <v>142</v>
      </c>
      <c r="B43" s="645" t="s">
        <v>2624</v>
      </c>
      <c r="C43" s="793">
        <v>11000</v>
      </c>
      <c r="D43" s="793"/>
      <c r="E43" s="786"/>
    </row>
    <row r="44" spans="1:5" s="757" customFormat="1">
      <c r="A44" s="783" t="s">
        <v>2115</v>
      </c>
      <c r="B44" s="645" t="s">
        <v>2625</v>
      </c>
      <c r="C44" s="793">
        <v>400</v>
      </c>
      <c r="D44" s="793"/>
      <c r="E44" s="786"/>
    </row>
    <row r="45" spans="1:5" s="757" customFormat="1">
      <c r="A45" s="783" t="s">
        <v>35</v>
      </c>
      <c r="B45" s="645" t="s">
        <v>99</v>
      </c>
      <c r="C45" s="793"/>
      <c r="D45" s="793">
        <f>'Chi NSDP_trinh HDND'!H43</f>
        <v>1833064.2520000001</v>
      </c>
      <c r="E45" s="786">
        <f t="shared" si="0"/>
        <v>0</v>
      </c>
    </row>
    <row r="46" spans="1:5" s="757" customFormat="1">
      <c r="A46" s="312" t="s">
        <v>36</v>
      </c>
      <c r="B46" s="794" t="s">
        <v>2623</v>
      </c>
      <c r="C46" s="795">
        <v>71019</v>
      </c>
      <c r="D46" s="795">
        <f>'Chi NSDP_trinh HDND'!H58</f>
        <v>65390.309923000001</v>
      </c>
      <c r="E46" s="796"/>
    </row>
  </sheetData>
  <mergeCells count="2">
    <mergeCell ref="A3:E3"/>
    <mergeCell ref="A4:E4"/>
  </mergeCells>
  <dataValidations count="2">
    <dataValidation allowBlank="1" showInputMessage="1" showErrorMessage="1" prompt="Không bao gồm Chi AN-QP, chi khác NS theo mẫu quy định" sqref="C27:D27" xr:uid="{00000000-0002-0000-0300-000000000000}"/>
    <dataValidation allowBlank="1" showInputMessage="1" showErrorMessage="1" prompt="Tạm trừ 90.539 trđ để bằng tổng DT đầu tư giao đầu năm_x000a_" sqref="C22" xr:uid="{00000000-0002-0000-0300-000001000000}"/>
  </dataValidations>
  <printOptions horizontalCentered="1"/>
  <pageMargins left="0" right="0" top="0.75" bottom="0.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D268"/>
  <sheetViews>
    <sheetView zoomScale="90" zoomScaleNormal="90" workbookViewId="0">
      <pane xSplit="2" ySplit="9" topLeftCell="W267" activePane="bottomRight" state="frozen"/>
      <selection pane="topRight" activeCell="C1" sqref="C1"/>
      <selection pane="bottomLeft" activeCell="A10" sqref="A10"/>
      <selection pane="bottomRight" activeCell="C20" sqref="C20"/>
    </sheetView>
  </sheetViews>
  <sheetFormatPr defaultRowHeight="15.6" outlineLevelCol="1"/>
  <cols>
    <col min="1" max="1" width="5.44140625" style="700" customWidth="1"/>
    <col min="2" max="2" width="45.109375" style="700" customWidth="1"/>
    <col min="3" max="4" width="12" style="700" customWidth="1"/>
    <col min="5" max="5" width="13.33203125" style="700" customWidth="1"/>
    <col min="6" max="7" width="13.109375" style="700" hidden="1" customWidth="1" outlineLevel="1"/>
    <col min="8" max="8" width="10.33203125" style="700" customWidth="1" collapsed="1"/>
    <col min="9" max="9" width="12" style="700" customWidth="1"/>
    <col min="10" max="10" width="9.6640625" style="700" customWidth="1"/>
    <col min="11" max="12" width="8.5546875" style="700" customWidth="1"/>
    <col min="13" max="13" width="12.5546875" style="700" customWidth="1"/>
    <col min="14" max="15" width="11.44140625" style="700" customWidth="1"/>
    <col min="16" max="17" width="17.109375" style="700" hidden="1" customWidth="1" outlineLevel="1"/>
    <col min="18" max="18" width="11.88671875" style="700" customWidth="1" collapsed="1"/>
    <col min="19" max="19" width="12" style="700" customWidth="1"/>
    <col min="20" max="20" width="10.44140625" style="700" customWidth="1"/>
    <col min="21" max="21" width="12.5546875" style="700" customWidth="1"/>
    <col min="22" max="22" width="9.88671875" style="700" customWidth="1"/>
    <col min="23" max="23" width="11.6640625" style="700" customWidth="1"/>
    <col min="24" max="25" width="11.6640625" style="700" customWidth="1" outlineLevel="1"/>
    <col min="26" max="26" width="9.33203125" style="700" customWidth="1"/>
    <col min="27" max="27" width="9.5546875" style="700" customWidth="1"/>
    <col min="28" max="28" width="9.109375" style="700" customWidth="1"/>
    <col min="29" max="29" width="8.6640625" style="700" customWidth="1"/>
    <col min="30" max="262" width="9.109375" style="700"/>
    <col min="263" max="263" width="5.44140625" style="700" customWidth="1"/>
    <col min="264" max="264" width="45.109375" style="700" customWidth="1"/>
    <col min="265" max="266" width="12" style="700" customWidth="1"/>
    <col min="267" max="267" width="16.109375" style="700" customWidth="1"/>
    <col min="268" max="268" width="7.6640625" style="700" customWidth="1"/>
    <col min="269" max="269" width="12" style="700" customWidth="1"/>
    <col min="270" max="271" width="9" style="700" customWidth="1"/>
    <col min="272" max="272" width="11.33203125" style="700" customWidth="1"/>
    <col min="273" max="274" width="12" style="700" customWidth="1"/>
    <col min="275" max="275" width="17.109375" style="700" customWidth="1"/>
    <col min="276" max="276" width="9" style="700" customWidth="1"/>
    <col min="277" max="277" width="12" style="700" customWidth="1"/>
    <col min="278" max="279" width="9" style="700" customWidth="1"/>
    <col min="280" max="280" width="9.88671875" style="700" customWidth="1"/>
    <col min="281" max="281" width="10.109375" style="700" customWidth="1"/>
    <col min="282" max="282" width="7.88671875" style="700" customWidth="1"/>
    <col min="283" max="283" width="8.5546875" style="700" customWidth="1"/>
    <col min="284" max="284" width="7.88671875" style="700" customWidth="1"/>
    <col min="285" max="285" width="8.6640625" style="700" customWidth="1"/>
    <col min="286" max="518" width="9.109375" style="700"/>
    <col min="519" max="519" width="5.44140625" style="700" customWidth="1"/>
    <col min="520" max="520" width="45.109375" style="700" customWidth="1"/>
    <col min="521" max="522" width="12" style="700" customWidth="1"/>
    <col min="523" max="523" width="16.109375" style="700" customWidth="1"/>
    <col min="524" max="524" width="7.6640625" style="700" customWidth="1"/>
    <col min="525" max="525" width="12" style="700" customWidth="1"/>
    <col min="526" max="527" width="9" style="700" customWidth="1"/>
    <col min="528" max="528" width="11.33203125" style="700" customWidth="1"/>
    <col min="529" max="530" width="12" style="700" customWidth="1"/>
    <col min="531" max="531" width="17.109375" style="700" customWidth="1"/>
    <col min="532" max="532" width="9" style="700" customWidth="1"/>
    <col min="533" max="533" width="12" style="700" customWidth="1"/>
    <col min="534" max="535" width="9" style="700" customWidth="1"/>
    <col min="536" max="536" width="9.88671875" style="700" customWidth="1"/>
    <col min="537" max="537" width="10.109375" style="700" customWidth="1"/>
    <col min="538" max="538" width="7.88671875" style="700" customWidth="1"/>
    <col min="539" max="539" width="8.5546875" style="700" customWidth="1"/>
    <col min="540" max="540" width="7.88671875" style="700" customWidth="1"/>
    <col min="541" max="541" width="8.6640625" style="700" customWidth="1"/>
    <col min="542" max="774" width="9.109375" style="700"/>
    <col min="775" max="775" width="5.44140625" style="700" customWidth="1"/>
    <col min="776" max="776" width="45.109375" style="700" customWidth="1"/>
    <col min="777" max="778" width="12" style="700" customWidth="1"/>
    <col min="779" max="779" width="16.109375" style="700" customWidth="1"/>
    <col min="780" max="780" width="7.6640625" style="700" customWidth="1"/>
    <col min="781" max="781" width="12" style="700" customWidth="1"/>
    <col min="782" max="783" width="9" style="700" customWidth="1"/>
    <col min="784" max="784" width="11.33203125" style="700" customWidth="1"/>
    <col min="785" max="786" width="12" style="700" customWidth="1"/>
    <col min="787" max="787" width="17.109375" style="700" customWidth="1"/>
    <col min="788" max="788" width="9" style="700" customWidth="1"/>
    <col min="789" max="789" width="12" style="700" customWidth="1"/>
    <col min="790" max="791" width="9" style="700" customWidth="1"/>
    <col min="792" max="792" width="9.88671875" style="700" customWidth="1"/>
    <col min="793" max="793" width="10.109375" style="700" customWidth="1"/>
    <col min="794" max="794" width="7.88671875" style="700" customWidth="1"/>
    <col min="795" max="795" width="8.5546875" style="700" customWidth="1"/>
    <col min="796" max="796" width="7.88671875" style="700" customWidth="1"/>
    <col min="797" max="797" width="8.6640625" style="700" customWidth="1"/>
    <col min="798" max="1030" width="9.109375" style="700"/>
    <col min="1031" max="1031" width="5.44140625" style="700" customWidth="1"/>
    <col min="1032" max="1032" width="45.109375" style="700" customWidth="1"/>
    <col min="1033" max="1034" width="12" style="700" customWidth="1"/>
    <col min="1035" max="1035" width="16.109375" style="700" customWidth="1"/>
    <col min="1036" max="1036" width="7.6640625" style="700" customWidth="1"/>
    <col min="1037" max="1037" width="12" style="700" customWidth="1"/>
    <col min="1038" max="1039" width="9" style="700" customWidth="1"/>
    <col min="1040" max="1040" width="11.33203125" style="700" customWidth="1"/>
    <col min="1041" max="1042" width="12" style="700" customWidth="1"/>
    <col min="1043" max="1043" width="17.109375" style="700" customWidth="1"/>
    <col min="1044" max="1044" width="9" style="700" customWidth="1"/>
    <col min="1045" max="1045" width="12" style="700" customWidth="1"/>
    <col min="1046" max="1047" width="9" style="700" customWidth="1"/>
    <col min="1048" max="1048" width="9.88671875" style="700" customWidth="1"/>
    <col min="1049" max="1049" width="10.109375" style="700" customWidth="1"/>
    <col min="1050" max="1050" width="7.88671875" style="700" customWidth="1"/>
    <col min="1051" max="1051" width="8.5546875" style="700" customWidth="1"/>
    <col min="1052" max="1052" width="7.88671875" style="700" customWidth="1"/>
    <col min="1053" max="1053" width="8.6640625" style="700" customWidth="1"/>
    <col min="1054" max="1286" width="9.109375" style="700"/>
    <col min="1287" max="1287" width="5.44140625" style="700" customWidth="1"/>
    <col min="1288" max="1288" width="45.109375" style="700" customWidth="1"/>
    <col min="1289" max="1290" width="12" style="700" customWidth="1"/>
    <col min="1291" max="1291" width="16.109375" style="700" customWidth="1"/>
    <col min="1292" max="1292" width="7.6640625" style="700" customWidth="1"/>
    <col min="1293" max="1293" width="12" style="700" customWidth="1"/>
    <col min="1294" max="1295" width="9" style="700" customWidth="1"/>
    <col min="1296" max="1296" width="11.33203125" style="700" customWidth="1"/>
    <col min="1297" max="1298" width="12" style="700" customWidth="1"/>
    <col min="1299" max="1299" width="17.109375" style="700" customWidth="1"/>
    <col min="1300" max="1300" width="9" style="700" customWidth="1"/>
    <col min="1301" max="1301" width="12" style="700" customWidth="1"/>
    <col min="1302" max="1303" width="9" style="700" customWidth="1"/>
    <col min="1304" max="1304" width="9.88671875" style="700" customWidth="1"/>
    <col min="1305" max="1305" width="10.109375" style="700" customWidth="1"/>
    <col min="1306" max="1306" width="7.88671875" style="700" customWidth="1"/>
    <col min="1307" max="1307" width="8.5546875" style="700" customWidth="1"/>
    <col min="1308" max="1308" width="7.88671875" style="700" customWidth="1"/>
    <col min="1309" max="1309" width="8.6640625" style="700" customWidth="1"/>
    <col min="1310" max="1542" width="9.109375" style="700"/>
    <col min="1543" max="1543" width="5.44140625" style="700" customWidth="1"/>
    <col min="1544" max="1544" width="45.109375" style="700" customWidth="1"/>
    <col min="1545" max="1546" width="12" style="700" customWidth="1"/>
    <col min="1547" max="1547" width="16.109375" style="700" customWidth="1"/>
    <col min="1548" max="1548" width="7.6640625" style="700" customWidth="1"/>
    <col min="1549" max="1549" width="12" style="700" customWidth="1"/>
    <col min="1550" max="1551" width="9" style="700" customWidth="1"/>
    <col min="1552" max="1552" width="11.33203125" style="700" customWidth="1"/>
    <col min="1553" max="1554" width="12" style="700" customWidth="1"/>
    <col min="1555" max="1555" width="17.109375" style="700" customWidth="1"/>
    <col min="1556" max="1556" width="9" style="700" customWidth="1"/>
    <col min="1557" max="1557" width="12" style="700" customWidth="1"/>
    <col min="1558" max="1559" width="9" style="700" customWidth="1"/>
    <col min="1560" max="1560" width="9.88671875" style="700" customWidth="1"/>
    <col min="1561" max="1561" width="10.109375" style="700" customWidth="1"/>
    <col min="1562" max="1562" width="7.88671875" style="700" customWidth="1"/>
    <col min="1563" max="1563" width="8.5546875" style="700" customWidth="1"/>
    <col min="1564" max="1564" width="7.88671875" style="700" customWidth="1"/>
    <col min="1565" max="1565" width="8.6640625" style="700" customWidth="1"/>
    <col min="1566" max="1798" width="9.109375" style="700"/>
    <col min="1799" max="1799" width="5.44140625" style="700" customWidth="1"/>
    <col min="1800" max="1800" width="45.109375" style="700" customWidth="1"/>
    <col min="1801" max="1802" width="12" style="700" customWidth="1"/>
    <col min="1803" max="1803" width="16.109375" style="700" customWidth="1"/>
    <col min="1804" max="1804" width="7.6640625" style="700" customWidth="1"/>
    <col min="1805" max="1805" width="12" style="700" customWidth="1"/>
    <col min="1806" max="1807" width="9" style="700" customWidth="1"/>
    <col min="1808" max="1808" width="11.33203125" style="700" customWidth="1"/>
    <col min="1809" max="1810" width="12" style="700" customWidth="1"/>
    <col min="1811" max="1811" width="17.109375" style="700" customWidth="1"/>
    <col min="1812" max="1812" width="9" style="700" customWidth="1"/>
    <col min="1813" max="1813" width="12" style="700" customWidth="1"/>
    <col min="1814" max="1815" width="9" style="700" customWidth="1"/>
    <col min="1816" max="1816" width="9.88671875" style="700" customWidth="1"/>
    <col min="1817" max="1817" width="10.109375" style="700" customWidth="1"/>
    <col min="1818" max="1818" width="7.88671875" style="700" customWidth="1"/>
    <col min="1819" max="1819" width="8.5546875" style="700" customWidth="1"/>
    <col min="1820" max="1820" width="7.88671875" style="700" customWidth="1"/>
    <col min="1821" max="1821" width="8.6640625" style="700" customWidth="1"/>
    <col min="1822" max="2054" width="9.109375" style="700"/>
    <col min="2055" max="2055" width="5.44140625" style="700" customWidth="1"/>
    <col min="2056" max="2056" width="45.109375" style="700" customWidth="1"/>
    <col min="2057" max="2058" width="12" style="700" customWidth="1"/>
    <col min="2059" max="2059" width="16.109375" style="700" customWidth="1"/>
    <col min="2060" max="2060" width="7.6640625" style="700" customWidth="1"/>
    <col min="2061" max="2061" width="12" style="700" customWidth="1"/>
    <col min="2062" max="2063" width="9" style="700" customWidth="1"/>
    <col min="2064" max="2064" width="11.33203125" style="700" customWidth="1"/>
    <col min="2065" max="2066" width="12" style="700" customWidth="1"/>
    <col min="2067" max="2067" width="17.109375" style="700" customWidth="1"/>
    <col min="2068" max="2068" width="9" style="700" customWidth="1"/>
    <col min="2069" max="2069" width="12" style="700" customWidth="1"/>
    <col min="2070" max="2071" width="9" style="700" customWidth="1"/>
    <col min="2072" max="2072" width="9.88671875" style="700" customWidth="1"/>
    <col min="2073" max="2073" width="10.109375" style="700" customWidth="1"/>
    <col min="2074" max="2074" width="7.88671875" style="700" customWidth="1"/>
    <col min="2075" max="2075" width="8.5546875" style="700" customWidth="1"/>
    <col min="2076" max="2076" width="7.88671875" style="700" customWidth="1"/>
    <col min="2077" max="2077" width="8.6640625" style="700" customWidth="1"/>
    <col min="2078" max="2310" width="9.109375" style="700"/>
    <col min="2311" max="2311" width="5.44140625" style="700" customWidth="1"/>
    <col min="2312" max="2312" width="45.109375" style="700" customWidth="1"/>
    <col min="2313" max="2314" width="12" style="700" customWidth="1"/>
    <col min="2315" max="2315" width="16.109375" style="700" customWidth="1"/>
    <col min="2316" max="2316" width="7.6640625" style="700" customWidth="1"/>
    <col min="2317" max="2317" width="12" style="700" customWidth="1"/>
    <col min="2318" max="2319" width="9" style="700" customWidth="1"/>
    <col min="2320" max="2320" width="11.33203125" style="700" customWidth="1"/>
    <col min="2321" max="2322" width="12" style="700" customWidth="1"/>
    <col min="2323" max="2323" width="17.109375" style="700" customWidth="1"/>
    <col min="2324" max="2324" width="9" style="700" customWidth="1"/>
    <col min="2325" max="2325" width="12" style="700" customWidth="1"/>
    <col min="2326" max="2327" width="9" style="700" customWidth="1"/>
    <col min="2328" max="2328" width="9.88671875" style="700" customWidth="1"/>
    <col min="2329" max="2329" width="10.109375" style="700" customWidth="1"/>
    <col min="2330" max="2330" width="7.88671875" style="700" customWidth="1"/>
    <col min="2331" max="2331" width="8.5546875" style="700" customWidth="1"/>
    <col min="2332" max="2332" width="7.88671875" style="700" customWidth="1"/>
    <col min="2333" max="2333" width="8.6640625" style="700" customWidth="1"/>
    <col min="2334" max="2566" width="9.109375" style="700"/>
    <col min="2567" max="2567" width="5.44140625" style="700" customWidth="1"/>
    <col min="2568" max="2568" width="45.109375" style="700" customWidth="1"/>
    <col min="2569" max="2570" width="12" style="700" customWidth="1"/>
    <col min="2571" max="2571" width="16.109375" style="700" customWidth="1"/>
    <col min="2572" max="2572" width="7.6640625" style="700" customWidth="1"/>
    <col min="2573" max="2573" width="12" style="700" customWidth="1"/>
    <col min="2574" max="2575" width="9" style="700" customWidth="1"/>
    <col min="2576" max="2576" width="11.33203125" style="700" customWidth="1"/>
    <col min="2577" max="2578" width="12" style="700" customWidth="1"/>
    <col min="2579" max="2579" width="17.109375" style="700" customWidth="1"/>
    <col min="2580" max="2580" width="9" style="700" customWidth="1"/>
    <col min="2581" max="2581" width="12" style="700" customWidth="1"/>
    <col min="2582" max="2583" width="9" style="700" customWidth="1"/>
    <col min="2584" max="2584" width="9.88671875" style="700" customWidth="1"/>
    <col min="2585" max="2585" width="10.109375" style="700" customWidth="1"/>
    <col min="2586" max="2586" width="7.88671875" style="700" customWidth="1"/>
    <col min="2587" max="2587" width="8.5546875" style="700" customWidth="1"/>
    <col min="2588" max="2588" width="7.88671875" style="700" customWidth="1"/>
    <col min="2589" max="2589" width="8.6640625" style="700" customWidth="1"/>
    <col min="2590" max="2822" width="9.109375" style="700"/>
    <col min="2823" max="2823" width="5.44140625" style="700" customWidth="1"/>
    <col min="2824" max="2824" width="45.109375" style="700" customWidth="1"/>
    <col min="2825" max="2826" width="12" style="700" customWidth="1"/>
    <col min="2827" max="2827" width="16.109375" style="700" customWidth="1"/>
    <col min="2828" max="2828" width="7.6640625" style="700" customWidth="1"/>
    <col min="2829" max="2829" width="12" style="700" customWidth="1"/>
    <col min="2830" max="2831" width="9" style="700" customWidth="1"/>
    <col min="2832" max="2832" width="11.33203125" style="700" customWidth="1"/>
    <col min="2833" max="2834" width="12" style="700" customWidth="1"/>
    <col min="2835" max="2835" width="17.109375" style="700" customWidth="1"/>
    <col min="2836" max="2836" width="9" style="700" customWidth="1"/>
    <col min="2837" max="2837" width="12" style="700" customWidth="1"/>
    <col min="2838" max="2839" width="9" style="700" customWidth="1"/>
    <col min="2840" max="2840" width="9.88671875" style="700" customWidth="1"/>
    <col min="2841" max="2841" width="10.109375" style="700" customWidth="1"/>
    <col min="2842" max="2842" width="7.88671875" style="700" customWidth="1"/>
    <col min="2843" max="2843" width="8.5546875" style="700" customWidth="1"/>
    <col min="2844" max="2844" width="7.88671875" style="700" customWidth="1"/>
    <col min="2845" max="2845" width="8.6640625" style="700" customWidth="1"/>
    <col min="2846" max="3078" width="9.109375" style="700"/>
    <col min="3079" max="3079" width="5.44140625" style="700" customWidth="1"/>
    <col min="3080" max="3080" width="45.109375" style="700" customWidth="1"/>
    <col min="3081" max="3082" width="12" style="700" customWidth="1"/>
    <col min="3083" max="3083" width="16.109375" style="700" customWidth="1"/>
    <col min="3084" max="3084" width="7.6640625" style="700" customWidth="1"/>
    <col min="3085" max="3085" width="12" style="700" customWidth="1"/>
    <col min="3086" max="3087" width="9" style="700" customWidth="1"/>
    <col min="3088" max="3088" width="11.33203125" style="700" customWidth="1"/>
    <col min="3089" max="3090" width="12" style="700" customWidth="1"/>
    <col min="3091" max="3091" width="17.109375" style="700" customWidth="1"/>
    <col min="3092" max="3092" width="9" style="700" customWidth="1"/>
    <col min="3093" max="3093" width="12" style="700" customWidth="1"/>
    <col min="3094" max="3095" width="9" style="700" customWidth="1"/>
    <col min="3096" max="3096" width="9.88671875" style="700" customWidth="1"/>
    <col min="3097" max="3097" width="10.109375" style="700" customWidth="1"/>
    <col min="3098" max="3098" width="7.88671875" style="700" customWidth="1"/>
    <col min="3099" max="3099" width="8.5546875" style="700" customWidth="1"/>
    <col min="3100" max="3100" width="7.88671875" style="700" customWidth="1"/>
    <col min="3101" max="3101" width="8.6640625" style="700" customWidth="1"/>
    <col min="3102" max="3334" width="9.109375" style="700"/>
    <col min="3335" max="3335" width="5.44140625" style="700" customWidth="1"/>
    <col min="3336" max="3336" width="45.109375" style="700" customWidth="1"/>
    <col min="3337" max="3338" width="12" style="700" customWidth="1"/>
    <col min="3339" max="3339" width="16.109375" style="700" customWidth="1"/>
    <col min="3340" max="3340" width="7.6640625" style="700" customWidth="1"/>
    <col min="3341" max="3341" width="12" style="700" customWidth="1"/>
    <col min="3342" max="3343" width="9" style="700" customWidth="1"/>
    <col min="3344" max="3344" width="11.33203125" style="700" customWidth="1"/>
    <col min="3345" max="3346" width="12" style="700" customWidth="1"/>
    <col min="3347" max="3347" width="17.109375" style="700" customWidth="1"/>
    <col min="3348" max="3348" width="9" style="700" customWidth="1"/>
    <col min="3349" max="3349" width="12" style="700" customWidth="1"/>
    <col min="3350" max="3351" width="9" style="700" customWidth="1"/>
    <col min="3352" max="3352" width="9.88671875" style="700" customWidth="1"/>
    <col min="3353" max="3353" width="10.109375" style="700" customWidth="1"/>
    <col min="3354" max="3354" width="7.88671875" style="700" customWidth="1"/>
    <col min="3355" max="3355" width="8.5546875" style="700" customWidth="1"/>
    <col min="3356" max="3356" width="7.88671875" style="700" customWidth="1"/>
    <col min="3357" max="3357" width="8.6640625" style="700" customWidth="1"/>
    <col min="3358" max="3590" width="9.109375" style="700"/>
    <col min="3591" max="3591" width="5.44140625" style="700" customWidth="1"/>
    <col min="3592" max="3592" width="45.109375" style="700" customWidth="1"/>
    <col min="3593" max="3594" width="12" style="700" customWidth="1"/>
    <col min="3595" max="3595" width="16.109375" style="700" customWidth="1"/>
    <col min="3596" max="3596" width="7.6640625" style="700" customWidth="1"/>
    <col min="3597" max="3597" width="12" style="700" customWidth="1"/>
    <col min="3598" max="3599" width="9" style="700" customWidth="1"/>
    <col min="3600" max="3600" width="11.33203125" style="700" customWidth="1"/>
    <col min="3601" max="3602" width="12" style="700" customWidth="1"/>
    <col min="3603" max="3603" width="17.109375" style="700" customWidth="1"/>
    <col min="3604" max="3604" width="9" style="700" customWidth="1"/>
    <col min="3605" max="3605" width="12" style="700" customWidth="1"/>
    <col min="3606" max="3607" width="9" style="700" customWidth="1"/>
    <col min="3608" max="3608" width="9.88671875" style="700" customWidth="1"/>
    <col min="3609" max="3609" width="10.109375" style="700" customWidth="1"/>
    <col min="3610" max="3610" width="7.88671875" style="700" customWidth="1"/>
    <col min="3611" max="3611" width="8.5546875" style="700" customWidth="1"/>
    <col min="3612" max="3612" width="7.88671875" style="700" customWidth="1"/>
    <col min="3613" max="3613" width="8.6640625" style="700" customWidth="1"/>
    <col min="3614" max="3846" width="9.109375" style="700"/>
    <col min="3847" max="3847" width="5.44140625" style="700" customWidth="1"/>
    <col min="3848" max="3848" width="45.109375" style="700" customWidth="1"/>
    <col min="3849" max="3850" width="12" style="700" customWidth="1"/>
    <col min="3851" max="3851" width="16.109375" style="700" customWidth="1"/>
    <col min="3852" max="3852" width="7.6640625" style="700" customWidth="1"/>
    <col min="3853" max="3853" width="12" style="700" customWidth="1"/>
    <col min="3854" max="3855" width="9" style="700" customWidth="1"/>
    <col min="3856" max="3856" width="11.33203125" style="700" customWidth="1"/>
    <col min="3857" max="3858" width="12" style="700" customWidth="1"/>
    <col min="3859" max="3859" width="17.109375" style="700" customWidth="1"/>
    <col min="3860" max="3860" width="9" style="700" customWidth="1"/>
    <col min="3861" max="3861" width="12" style="700" customWidth="1"/>
    <col min="3862" max="3863" width="9" style="700" customWidth="1"/>
    <col min="3864" max="3864" width="9.88671875" style="700" customWidth="1"/>
    <col min="3865" max="3865" width="10.109375" style="700" customWidth="1"/>
    <col min="3866" max="3866" width="7.88671875" style="700" customWidth="1"/>
    <col min="3867" max="3867" width="8.5546875" style="700" customWidth="1"/>
    <col min="3868" max="3868" width="7.88671875" style="700" customWidth="1"/>
    <col min="3869" max="3869" width="8.6640625" style="700" customWidth="1"/>
    <col min="3870" max="4102" width="9.109375" style="700"/>
    <col min="4103" max="4103" width="5.44140625" style="700" customWidth="1"/>
    <col min="4104" max="4104" width="45.109375" style="700" customWidth="1"/>
    <col min="4105" max="4106" width="12" style="700" customWidth="1"/>
    <col min="4107" max="4107" width="16.109375" style="700" customWidth="1"/>
    <col min="4108" max="4108" width="7.6640625" style="700" customWidth="1"/>
    <col min="4109" max="4109" width="12" style="700" customWidth="1"/>
    <col min="4110" max="4111" width="9" style="700" customWidth="1"/>
    <col min="4112" max="4112" width="11.33203125" style="700" customWidth="1"/>
    <col min="4113" max="4114" width="12" style="700" customWidth="1"/>
    <col min="4115" max="4115" width="17.109375" style="700" customWidth="1"/>
    <col min="4116" max="4116" width="9" style="700" customWidth="1"/>
    <col min="4117" max="4117" width="12" style="700" customWidth="1"/>
    <col min="4118" max="4119" width="9" style="700" customWidth="1"/>
    <col min="4120" max="4120" width="9.88671875" style="700" customWidth="1"/>
    <col min="4121" max="4121" width="10.109375" style="700" customWidth="1"/>
    <col min="4122" max="4122" width="7.88671875" style="700" customWidth="1"/>
    <col min="4123" max="4123" width="8.5546875" style="700" customWidth="1"/>
    <col min="4124" max="4124" width="7.88671875" style="700" customWidth="1"/>
    <col min="4125" max="4125" width="8.6640625" style="700" customWidth="1"/>
    <col min="4126" max="4358" width="9.109375" style="700"/>
    <col min="4359" max="4359" width="5.44140625" style="700" customWidth="1"/>
    <col min="4360" max="4360" width="45.109375" style="700" customWidth="1"/>
    <col min="4361" max="4362" width="12" style="700" customWidth="1"/>
    <col min="4363" max="4363" width="16.109375" style="700" customWidth="1"/>
    <col min="4364" max="4364" width="7.6640625" style="700" customWidth="1"/>
    <col min="4365" max="4365" width="12" style="700" customWidth="1"/>
    <col min="4366" max="4367" width="9" style="700" customWidth="1"/>
    <col min="4368" max="4368" width="11.33203125" style="700" customWidth="1"/>
    <col min="4369" max="4370" width="12" style="700" customWidth="1"/>
    <col min="4371" max="4371" width="17.109375" style="700" customWidth="1"/>
    <col min="4372" max="4372" width="9" style="700" customWidth="1"/>
    <col min="4373" max="4373" width="12" style="700" customWidth="1"/>
    <col min="4374" max="4375" width="9" style="700" customWidth="1"/>
    <col min="4376" max="4376" width="9.88671875" style="700" customWidth="1"/>
    <col min="4377" max="4377" width="10.109375" style="700" customWidth="1"/>
    <col min="4378" max="4378" width="7.88671875" style="700" customWidth="1"/>
    <col min="4379" max="4379" width="8.5546875" style="700" customWidth="1"/>
    <col min="4380" max="4380" width="7.88671875" style="700" customWidth="1"/>
    <col min="4381" max="4381" width="8.6640625" style="700" customWidth="1"/>
    <col min="4382" max="4614" width="9.109375" style="700"/>
    <col min="4615" max="4615" width="5.44140625" style="700" customWidth="1"/>
    <col min="4616" max="4616" width="45.109375" style="700" customWidth="1"/>
    <col min="4617" max="4618" width="12" style="700" customWidth="1"/>
    <col min="4619" max="4619" width="16.109375" style="700" customWidth="1"/>
    <col min="4620" max="4620" width="7.6640625" style="700" customWidth="1"/>
    <col min="4621" max="4621" width="12" style="700" customWidth="1"/>
    <col min="4622" max="4623" width="9" style="700" customWidth="1"/>
    <col min="4624" max="4624" width="11.33203125" style="700" customWidth="1"/>
    <col min="4625" max="4626" width="12" style="700" customWidth="1"/>
    <col min="4627" max="4627" width="17.109375" style="700" customWidth="1"/>
    <col min="4628" max="4628" width="9" style="700" customWidth="1"/>
    <col min="4629" max="4629" width="12" style="700" customWidth="1"/>
    <col min="4630" max="4631" width="9" style="700" customWidth="1"/>
    <col min="4632" max="4632" width="9.88671875" style="700" customWidth="1"/>
    <col min="4633" max="4633" width="10.109375" style="700" customWidth="1"/>
    <col min="4634" max="4634" width="7.88671875" style="700" customWidth="1"/>
    <col min="4635" max="4635" width="8.5546875" style="700" customWidth="1"/>
    <col min="4636" max="4636" width="7.88671875" style="700" customWidth="1"/>
    <col min="4637" max="4637" width="8.6640625" style="700" customWidth="1"/>
    <col min="4638" max="4870" width="9.109375" style="700"/>
    <col min="4871" max="4871" width="5.44140625" style="700" customWidth="1"/>
    <col min="4872" max="4872" width="45.109375" style="700" customWidth="1"/>
    <col min="4873" max="4874" width="12" style="700" customWidth="1"/>
    <col min="4875" max="4875" width="16.109375" style="700" customWidth="1"/>
    <col min="4876" max="4876" width="7.6640625" style="700" customWidth="1"/>
    <col min="4877" max="4877" width="12" style="700" customWidth="1"/>
    <col min="4878" max="4879" width="9" style="700" customWidth="1"/>
    <col min="4880" max="4880" width="11.33203125" style="700" customWidth="1"/>
    <col min="4881" max="4882" width="12" style="700" customWidth="1"/>
    <col min="4883" max="4883" width="17.109375" style="700" customWidth="1"/>
    <col min="4884" max="4884" width="9" style="700" customWidth="1"/>
    <col min="4885" max="4885" width="12" style="700" customWidth="1"/>
    <col min="4886" max="4887" width="9" style="700" customWidth="1"/>
    <col min="4888" max="4888" width="9.88671875" style="700" customWidth="1"/>
    <col min="4889" max="4889" width="10.109375" style="700" customWidth="1"/>
    <col min="4890" max="4890" width="7.88671875" style="700" customWidth="1"/>
    <col min="4891" max="4891" width="8.5546875" style="700" customWidth="1"/>
    <col min="4892" max="4892" width="7.88671875" style="700" customWidth="1"/>
    <col min="4893" max="4893" width="8.6640625" style="700" customWidth="1"/>
    <col min="4894" max="5126" width="9.109375" style="700"/>
    <col min="5127" max="5127" width="5.44140625" style="700" customWidth="1"/>
    <col min="5128" max="5128" width="45.109375" style="700" customWidth="1"/>
    <col min="5129" max="5130" width="12" style="700" customWidth="1"/>
    <col min="5131" max="5131" width="16.109375" style="700" customWidth="1"/>
    <col min="5132" max="5132" width="7.6640625" style="700" customWidth="1"/>
    <col min="5133" max="5133" width="12" style="700" customWidth="1"/>
    <col min="5134" max="5135" width="9" style="700" customWidth="1"/>
    <col min="5136" max="5136" width="11.33203125" style="700" customWidth="1"/>
    <col min="5137" max="5138" width="12" style="700" customWidth="1"/>
    <col min="5139" max="5139" width="17.109375" style="700" customWidth="1"/>
    <col min="5140" max="5140" width="9" style="700" customWidth="1"/>
    <col min="5141" max="5141" width="12" style="700" customWidth="1"/>
    <col min="5142" max="5143" width="9" style="700" customWidth="1"/>
    <col min="5144" max="5144" width="9.88671875" style="700" customWidth="1"/>
    <col min="5145" max="5145" width="10.109375" style="700" customWidth="1"/>
    <col min="5146" max="5146" width="7.88671875" style="700" customWidth="1"/>
    <col min="5147" max="5147" width="8.5546875" style="700" customWidth="1"/>
    <col min="5148" max="5148" width="7.88671875" style="700" customWidth="1"/>
    <col min="5149" max="5149" width="8.6640625" style="700" customWidth="1"/>
    <col min="5150" max="5382" width="9.109375" style="700"/>
    <col min="5383" max="5383" width="5.44140625" style="700" customWidth="1"/>
    <col min="5384" max="5384" width="45.109375" style="700" customWidth="1"/>
    <col min="5385" max="5386" width="12" style="700" customWidth="1"/>
    <col min="5387" max="5387" width="16.109375" style="700" customWidth="1"/>
    <col min="5388" max="5388" width="7.6640625" style="700" customWidth="1"/>
    <col min="5389" max="5389" width="12" style="700" customWidth="1"/>
    <col min="5390" max="5391" width="9" style="700" customWidth="1"/>
    <col min="5392" max="5392" width="11.33203125" style="700" customWidth="1"/>
    <col min="5393" max="5394" width="12" style="700" customWidth="1"/>
    <col min="5395" max="5395" width="17.109375" style="700" customWidth="1"/>
    <col min="5396" max="5396" width="9" style="700" customWidth="1"/>
    <col min="5397" max="5397" width="12" style="700" customWidth="1"/>
    <col min="5398" max="5399" width="9" style="700" customWidth="1"/>
    <col min="5400" max="5400" width="9.88671875" style="700" customWidth="1"/>
    <col min="5401" max="5401" width="10.109375" style="700" customWidth="1"/>
    <col min="5402" max="5402" width="7.88671875" style="700" customWidth="1"/>
    <col min="5403" max="5403" width="8.5546875" style="700" customWidth="1"/>
    <col min="5404" max="5404" width="7.88671875" style="700" customWidth="1"/>
    <col min="5405" max="5405" width="8.6640625" style="700" customWidth="1"/>
    <col min="5406" max="5638" width="9.109375" style="700"/>
    <col min="5639" max="5639" width="5.44140625" style="700" customWidth="1"/>
    <col min="5640" max="5640" width="45.109375" style="700" customWidth="1"/>
    <col min="5641" max="5642" width="12" style="700" customWidth="1"/>
    <col min="5643" max="5643" width="16.109375" style="700" customWidth="1"/>
    <col min="5644" max="5644" width="7.6640625" style="700" customWidth="1"/>
    <col min="5645" max="5645" width="12" style="700" customWidth="1"/>
    <col min="5646" max="5647" width="9" style="700" customWidth="1"/>
    <col min="5648" max="5648" width="11.33203125" style="700" customWidth="1"/>
    <col min="5649" max="5650" width="12" style="700" customWidth="1"/>
    <col min="5651" max="5651" width="17.109375" style="700" customWidth="1"/>
    <col min="5652" max="5652" width="9" style="700" customWidth="1"/>
    <col min="5653" max="5653" width="12" style="700" customWidth="1"/>
    <col min="5654" max="5655" width="9" style="700" customWidth="1"/>
    <col min="5656" max="5656" width="9.88671875" style="700" customWidth="1"/>
    <col min="5657" max="5657" width="10.109375" style="700" customWidth="1"/>
    <col min="5658" max="5658" width="7.88671875" style="700" customWidth="1"/>
    <col min="5659" max="5659" width="8.5546875" style="700" customWidth="1"/>
    <col min="5660" max="5660" width="7.88671875" style="700" customWidth="1"/>
    <col min="5661" max="5661" width="8.6640625" style="700" customWidth="1"/>
    <col min="5662" max="5894" width="9.109375" style="700"/>
    <col min="5895" max="5895" width="5.44140625" style="700" customWidth="1"/>
    <col min="5896" max="5896" width="45.109375" style="700" customWidth="1"/>
    <col min="5897" max="5898" width="12" style="700" customWidth="1"/>
    <col min="5899" max="5899" width="16.109375" style="700" customWidth="1"/>
    <col min="5900" max="5900" width="7.6640625" style="700" customWidth="1"/>
    <col min="5901" max="5901" width="12" style="700" customWidth="1"/>
    <col min="5902" max="5903" width="9" style="700" customWidth="1"/>
    <col min="5904" max="5904" width="11.33203125" style="700" customWidth="1"/>
    <col min="5905" max="5906" width="12" style="700" customWidth="1"/>
    <col min="5907" max="5907" width="17.109375" style="700" customWidth="1"/>
    <col min="5908" max="5908" width="9" style="700" customWidth="1"/>
    <col min="5909" max="5909" width="12" style="700" customWidth="1"/>
    <col min="5910" max="5911" width="9" style="700" customWidth="1"/>
    <col min="5912" max="5912" width="9.88671875" style="700" customWidth="1"/>
    <col min="5913" max="5913" width="10.109375" style="700" customWidth="1"/>
    <col min="5914" max="5914" width="7.88671875" style="700" customWidth="1"/>
    <col min="5915" max="5915" width="8.5546875" style="700" customWidth="1"/>
    <col min="5916" max="5916" width="7.88671875" style="700" customWidth="1"/>
    <col min="5917" max="5917" width="8.6640625" style="700" customWidth="1"/>
    <col min="5918" max="6150" width="9.109375" style="700"/>
    <col min="6151" max="6151" width="5.44140625" style="700" customWidth="1"/>
    <col min="6152" max="6152" width="45.109375" style="700" customWidth="1"/>
    <col min="6153" max="6154" width="12" style="700" customWidth="1"/>
    <col min="6155" max="6155" width="16.109375" style="700" customWidth="1"/>
    <col min="6156" max="6156" width="7.6640625" style="700" customWidth="1"/>
    <col min="6157" max="6157" width="12" style="700" customWidth="1"/>
    <col min="6158" max="6159" width="9" style="700" customWidth="1"/>
    <col min="6160" max="6160" width="11.33203125" style="700" customWidth="1"/>
    <col min="6161" max="6162" width="12" style="700" customWidth="1"/>
    <col min="6163" max="6163" width="17.109375" style="700" customWidth="1"/>
    <col min="6164" max="6164" width="9" style="700" customWidth="1"/>
    <col min="6165" max="6165" width="12" style="700" customWidth="1"/>
    <col min="6166" max="6167" width="9" style="700" customWidth="1"/>
    <col min="6168" max="6168" width="9.88671875" style="700" customWidth="1"/>
    <col min="6169" max="6169" width="10.109375" style="700" customWidth="1"/>
    <col min="6170" max="6170" width="7.88671875" style="700" customWidth="1"/>
    <col min="6171" max="6171" width="8.5546875" style="700" customWidth="1"/>
    <col min="6172" max="6172" width="7.88671875" style="700" customWidth="1"/>
    <col min="6173" max="6173" width="8.6640625" style="700" customWidth="1"/>
    <col min="6174" max="6406" width="9.109375" style="700"/>
    <col min="6407" max="6407" width="5.44140625" style="700" customWidth="1"/>
    <col min="6408" max="6408" width="45.109375" style="700" customWidth="1"/>
    <col min="6409" max="6410" width="12" style="700" customWidth="1"/>
    <col min="6411" max="6411" width="16.109375" style="700" customWidth="1"/>
    <col min="6412" max="6412" width="7.6640625" style="700" customWidth="1"/>
    <col min="6413" max="6413" width="12" style="700" customWidth="1"/>
    <col min="6414" max="6415" width="9" style="700" customWidth="1"/>
    <col min="6416" max="6416" width="11.33203125" style="700" customWidth="1"/>
    <col min="6417" max="6418" width="12" style="700" customWidth="1"/>
    <col min="6419" max="6419" width="17.109375" style="700" customWidth="1"/>
    <col min="6420" max="6420" width="9" style="700" customWidth="1"/>
    <col min="6421" max="6421" width="12" style="700" customWidth="1"/>
    <col min="6422" max="6423" width="9" style="700" customWidth="1"/>
    <col min="6424" max="6424" width="9.88671875" style="700" customWidth="1"/>
    <col min="6425" max="6425" width="10.109375" style="700" customWidth="1"/>
    <col min="6426" max="6426" width="7.88671875" style="700" customWidth="1"/>
    <col min="6427" max="6427" width="8.5546875" style="700" customWidth="1"/>
    <col min="6428" max="6428" width="7.88671875" style="700" customWidth="1"/>
    <col min="6429" max="6429" width="8.6640625" style="700" customWidth="1"/>
    <col min="6430" max="6662" width="9.109375" style="700"/>
    <col min="6663" max="6663" width="5.44140625" style="700" customWidth="1"/>
    <col min="6664" max="6664" width="45.109375" style="700" customWidth="1"/>
    <col min="6665" max="6666" width="12" style="700" customWidth="1"/>
    <col min="6667" max="6667" width="16.109375" style="700" customWidth="1"/>
    <col min="6668" max="6668" width="7.6640625" style="700" customWidth="1"/>
    <col min="6669" max="6669" width="12" style="700" customWidth="1"/>
    <col min="6670" max="6671" width="9" style="700" customWidth="1"/>
    <col min="6672" max="6672" width="11.33203125" style="700" customWidth="1"/>
    <col min="6673" max="6674" width="12" style="700" customWidth="1"/>
    <col min="6675" max="6675" width="17.109375" style="700" customWidth="1"/>
    <col min="6676" max="6676" width="9" style="700" customWidth="1"/>
    <col min="6677" max="6677" width="12" style="700" customWidth="1"/>
    <col min="6678" max="6679" width="9" style="700" customWidth="1"/>
    <col min="6680" max="6680" width="9.88671875" style="700" customWidth="1"/>
    <col min="6681" max="6681" width="10.109375" style="700" customWidth="1"/>
    <col min="6682" max="6682" width="7.88671875" style="700" customWidth="1"/>
    <col min="6683" max="6683" width="8.5546875" style="700" customWidth="1"/>
    <col min="6684" max="6684" width="7.88671875" style="700" customWidth="1"/>
    <col min="6685" max="6685" width="8.6640625" style="700" customWidth="1"/>
    <col min="6686" max="6918" width="9.109375" style="700"/>
    <col min="6919" max="6919" width="5.44140625" style="700" customWidth="1"/>
    <col min="6920" max="6920" width="45.109375" style="700" customWidth="1"/>
    <col min="6921" max="6922" width="12" style="700" customWidth="1"/>
    <col min="6923" max="6923" width="16.109375" style="700" customWidth="1"/>
    <col min="6924" max="6924" width="7.6640625" style="700" customWidth="1"/>
    <col min="6925" max="6925" width="12" style="700" customWidth="1"/>
    <col min="6926" max="6927" width="9" style="700" customWidth="1"/>
    <col min="6928" max="6928" width="11.33203125" style="700" customWidth="1"/>
    <col min="6929" max="6930" width="12" style="700" customWidth="1"/>
    <col min="6931" max="6931" width="17.109375" style="700" customWidth="1"/>
    <col min="6932" max="6932" width="9" style="700" customWidth="1"/>
    <col min="6933" max="6933" width="12" style="700" customWidth="1"/>
    <col min="6934" max="6935" width="9" style="700" customWidth="1"/>
    <col min="6936" max="6936" width="9.88671875" style="700" customWidth="1"/>
    <col min="6937" max="6937" width="10.109375" style="700" customWidth="1"/>
    <col min="6938" max="6938" width="7.88671875" style="700" customWidth="1"/>
    <col min="6939" max="6939" width="8.5546875" style="700" customWidth="1"/>
    <col min="6940" max="6940" width="7.88671875" style="700" customWidth="1"/>
    <col min="6941" max="6941" width="8.6640625" style="700" customWidth="1"/>
    <col min="6942" max="7174" width="9.109375" style="700"/>
    <col min="7175" max="7175" width="5.44140625" style="700" customWidth="1"/>
    <col min="7176" max="7176" width="45.109375" style="700" customWidth="1"/>
    <col min="7177" max="7178" width="12" style="700" customWidth="1"/>
    <col min="7179" max="7179" width="16.109375" style="700" customWidth="1"/>
    <col min="7180" max="7180" width="7.6640625" style="700" customWidth="1"/>
    <col min="7181" max="7181" width="12" style="700" customWidth="1"/>
    <col min="7182" max="7183" width="9" style="700" customWidth="1"/>
    <col min="7184" max="7184" width="11.33203125" style="700" customWidth="1"/>
    <col min="7185" max="7186" width="12" style="700" customWidth="1"/>
    <col min="7187" max="7187" width="17.109375" style="700" customWidth="1"/>
    <col min="7188" max="7188" width="9" style="700" customWidth="1"/>
    <col min="7189" max="7189" width="12" style="700" customWidth="1"/>
    <col min="7190" max="7191" width="9" style="700" customWidth="1"/>
    <col min="7192" max="7192" width="9.88671875" style="700" customWidth="1"/>
    <col min="7193" max="7193" width="10.109375" style="700" customWidth="1"/>
    <col min="7194" max="7194" width="7.88671875" style="700" customWidth="1"/>
    <col min="7195" max="7195" width="8.5546875" style="700" customWidth="1"/>
    <col min="7196" max="7196" width="7.88671875" style="700" customWidth="1"/>
    <col min="7197" max="7197" width="8.6640625" style="700" customWidth="1"/>
    <col min="7198" max="7430" width="9.109375" style="700"/>
    <col min="7431" max="7431" width="5.44140625" style="700" customWidth="1"/>
    <col min="7432" max="7432" width="45.109375" style="700" customWidth="1"/>
    <col min="7433" max="7434" width="12" style="700" customWidth="1"/>
    <col min="7435" max="7435" width="16.109375" style="700" customWidth="1"/>
    <col min="7436" max="7436" width="7.6640625" style="700" customWidth="1"/>
    <col min="7437" max="7437" width="12" style="700" customWidth="1"/>
    <col min="7438" max="7439" width="9" style="700" customWidth="1"/>
    <col min="7440" max="7440" width="11.33203125" style="700" customWidth="1"/>
    <col min="7441" max="7442" width="12" style="700" customWidth="1"/>
    <col min="7443" max="7443" width="17.109375" style="700" customWidth="1"/>
    <col min="7444" max="7444" width="9" style="700" customWidth="1"/>
    <col min="7445" max="7445" width="12" style="700" customWidth="1"/>
    <col min="7446" max="7447" width="9" style="700" customWidth="1"/>
    <col min="7448" max="7448" width="9.88671875" style="700" customWidth="1"/>
    <col min="7449" max="7449" width="10.109375" style="700" customWidth="1"/>
    <col min="7450" max="7450" width="7.88671875" style="700" customWidth="1"/>
    <col min="7451" max="7451" width="8.5546875" style="700" customWidth="1"/>
    <col min="7452" max="7452" width="7.88671875" style="700" customWidth="1"/>
    <col min="7453" max="7453" width="8.6640625" style="700" customWidth="1"/>
    <col min="7454" max="7686" width="9.109375" style="700"/>
    <col min="7687" max="7687" width="5.44140625" style="700" customWidth="1"/>
    <col min="7688" max="7688" width="45.109375" style="700" customWidth="1"/>
    <col min="7689" max="7690" width="12" style="700" customWidth="1"/>
    <col min="7691" max="7691" width="16.109375" style="700" customWidth="1"/>
    <col min="7692" max="7692" width="7.6640625" style="700" customWidth="1"/>
    <col min="7693" max="7693" width="12" style="700" customWidth="1"/>
    <col min="7694" max="7695" width="9" style="700" customWidth="1"/>
    <col min="7696" max="7696" width="11.33203125" style="700" customWidth="1"/>
    <col min="7697" max="7698" width="12" style="700" customWidth="1"/>
    <col min="7699" max="7699" width="17.109375" style="700" customWidth="1"/>
    <col min="7700" max="7700" width="9" style="700" customWidth="1"/>
    <col min="7701" max="7701" width="12" style="700" customWidth="1"/>
    <col min="7702" max="7703" width="9" style="700" customWidth="1"/>
    <col min="7704" max="7704" width="9.88671875" style="700" customWidth="1"/>
    <col min="7705" max="7705" width="10.109375" style="700" customWidth="1"/>
    <col min="7706" max="7706" width="7.88671875" style="700" customWidth="1"/>
    <col min="7707" max="7707" width="8.5546875" style="700" customWidth="1"/>
    <col min="7708" max="7708" width="7.88671875" style="700" customWidth="1"/>
    <col min="7709" max="7709" width="8.6640625" style="700" customWidth="1"/>
    <col min="7710" max="7942" width="9.109375" style="700"/>
    <col min="7943" max="7943" width="5.44140625" style="700" customWidth="1"/>
    <col min="7944" max="7944" width="45.109375" style="700" customWidth="1"/>
    <col min="7945" max="7946" width="12" style="700" customWidth="1"/>
    <col min="7947" max="7947" width="16.109375" style="700" customWidth="1"/>
    <col min="7948" max="7948" width="7.6640625" style="700" customWidth="1"/>
    <col min="7949" max="7949" width="12" style="700" customWidth="1"/>
    <col min="7950" max="7951" width="9" style="700" customWidth="1"/>
    <col min="7952" max="7952" width="11.33203125" style="700" customWidth="1"/>
    <col min="7953" max="7954" width="12" style="700" customWidth="1"/>
    <col min="7955" max="7955" width="17.109375" style="700" customWidth="1"/>
    <col min="7956" max="7956" width="9" style="700" customWidth="1"/>
    <col min="7957" max="7957" width="12" style="700" customWidth="1"/>
    <col min="7958" max="7959" width="9" style="700" customWidth="1"/>
    <col min="7960" max="7960" width="9.88671875" style="700" customWidth="1"/>
    <col min="7961" max="7961" width="10.109375" style="700" customWidth="1"/>
    <col min="7962" max="7962" width="7.88671875" style="700" customWidth="1"/>
    <col min="7963" max="7963" width="8.5546875" style="700" customWidth="1"/>
    <col min="7964" max="7964" width="7.88671875" style="700" customWidth="1"/>
    <col min="7965" max="7965" width="8.6640625" style="700" customWidth="1"/>
    <col min="7966" max="8198" width="9.109375" style="700"/>
    <col min="8199" max="8199" width="5.44140625" style="700" customWidth="1"/>
    <col min="8200" max="8200" width="45.109375" style="700" customWidth="1"/>
    <col min="8201" max="8202" width="12" style="700" customWidth="1"/>
    <col min="8203" max="8203" width="16.109375" style="700" customWidth="1"/>
    <col min="8204" max="8204" width="7.6640625" style="700" customWidth="1"/>
    <col min="8205" max="8205" width="12" style="700" customWidth="1"/>
    <col min="8206" max="8207" width="9" style="700" customWidth="1"/>
    <col min="8208" max="8208" width="11.33203125" style="700" customWidth="1"/>
    <col min="8209" max="8210" width="12" style="700" customWidth="1"/>
    <col min="8211" max="8211" width="17.109375" style="700" customWidth="1"/>
    <col min="8212" max="8212" width="9" style="700" customWidth="1"/>
    <col min="8213" max="8213" width="12" style="700" customWidth="1"/>
    <col min="8214" max="8215" width="9" style="700" customWidth="1"/>
    <col min="8216" max="8216" width="9.88671875" style="700" customWidth="1"/>
    <col min="8217" max="8217" width="10.109375" style="700" customWidth="1"/>
    <col min="8218" max="8218" width="7.88671875" style="700" customWidth="1"/>
    <col min="8219" max="8219" width="8.5546875" style="700" customWidth="1"/>
    <col min="8220" max="8220" width="7.88671875" style="700" customWidth="1"/>
    <col min="8221" max="8221" width="8.6640625" style="700" customWidth="1"/>
    <col min="8222" max="8454" width="9.109375" style="700"/>
    <col min="8455" max="8455" width="5.44140625" style="700" customWidth="1"/>
    <col min="8456" max="8456" width="45.109375" style="700" customWidth="1"/>
    <col min="8457" max="8458" width="12" style="700" customWidth="1"/>
    <col min="8459" max="8459" width="16.109375" style="700" customWidth="1"/>
    <col min="8460" max="8460" width="7.6640625" style="700" customWidth="1"/>
    <col min="8461" max="8461" width="12" style="700" customWidth="1"/>
    <col min="8462" max="8463" width="9" style="700" customWidth="1"/>
    <col min="8464" max="8464" width="11.33203125" style="700" customWidth="1"/>
    <col min="8465" max="8466" width="12" style="700" customWidth="1"/>
    <col min="8467" max="8467" width="17.109375" style="700" customWidth="1"/>
    <col min="8468" max="8468" width="9" style="700" customWidth="1"/>
    <col min="8469" max="8469" width="12" style="700" customWidth="1"/>
    <col min="8470" max="8471" width="9" style="700" customWidth="1"/>
    <col min="8472" max="8472" width="9.88671875" style="700" customWidth="1"/>
    <col min="8473" max="8473" width="10.109375" style="700" customWidth="1"/>
    <col min="8474" max="8474" width="7.88671875" style="700" customWidth="1"/>
    <col min="8475" max="8475" width="8.5546875" style="700" customWidth="1"/>
    <col min="8476" max="8476" width="7.88671875" style="700" customWidth="1"/>
    <col min="8477" max="8477" width="8.6640625" style="700" customWidth="1"/>
    <col min="8478" max="8710" width="9.109375" style="700"/>
    <col min="8711" max="8711" width="5.44140625" style="700" customWidth="1"/>
    <col min="8712" max="8712" width="45.109375" style="700" customWidth="1"/>
    <col min="8713" max="8714" width="12" style="700" customWidth="1"/>
    <col min="8715" max="8715" width="16.109375" style="700" customWidth="1"/>
    <col min="8716" max="8716" width="7.6640625" style="700" customWidth="1"/>
    <col min="8717" max="8717" width="12" style="700" customWidth="1"/>
    <col min="8718" max="8719" width="9" style="700" customWidth="1"/>
    <col min="8720" max="8720" width="11.33203125" style="700" customWidth="1"/>
    <col min="8721" max="8722" width="12" style="700" customWidth="1"/>
    <col min="8723" max="8723" width="17.109375" style="700" customWidth="1"/>
    <col min="8724" max="8724" width="9" style="700" customWidth="1"/>
    <col min="8725" max="8725" width="12" style="700" customWidth="1"/>
    <col min="8726" max="8727" width="9" style="700" customWidth="1"/>
    <col min="8728" max="8728" width="9.88671875" style="700" customWidth="1"/>
    <col min="8729" max="8729" width="10.109375" style="700" customWidth="1"/>
    <col min="8730" max="8730" width="7.88671875" style="700" customWidth="1"/>
    <col min="8731" max="8731" width="8.5546875" style="700" customWidth="1"/>
    <col min="8732" max="8732" width="7.88671875" style="700" customWidth="1"/>
    <col min="8733" max="8733" width="8.6640625" style="700" customWidth="1"/>
    <col min="8734" max="8966" width="9.109375" style="700"/>
    <col min="8967" max="8967" width="5.44140625" style="700" customWidth="1"/>
    <col min="8968" max="8968" width="45.109375" style="700" customWidth="1"/>
    <col min="8969" max="8970" width="12" style="700" customWidth="1"/>
    <col min="8971" max="8971" width="16.109375" style="700" customWidth="1"/>
    <col min="8972" max="8972" width="7.6640625" style="700" customWidth="1"/>
    <col min="8973" max="8973" width="12" style="700" customWidth="1"/>
    <col min="8974" max="8975" width="9" style="700" customWidth="1"/>
    <col min="8976" max="8976" width="11.33203125" style="700" customWidth="1"/>
    <col min="8977" max="8978" width="12" style="700" customWidth="1"/>
    <col min="8979" max="8979" width="17.109375" style="700" customWidth="1"/>
    <col min="8980" max="8980" width="9" style="700" customWidth="1"/>
    <col min="8981" max="8981" width="12" style="700" customWidth="1"/>
    <col min="8982" max="8983" width="9" style="700" customWidth="1"/>
    <col min="8984" max="8984" width="9.88671875" style="700" customWidth="1"/>
    <col min="8985" max="8985" width="10.109375" style="700" customWidth="1"/>
    <col min="8986" max="8986" width="7.88671875" style="700" customWidth="1"/>
    <col min="8987" max="8987" width="8.5546875" style="700" customWidth="1"/>
    <col min="8988" max="8988" width="7.88671875" style="700" customWidth="1"/>
    <col min="8989" max="8989" width="8.6640625" style="700" customWidth="1"/>
    <col min="8990" max="9222" width="9.109375" style="700"/>
    <col min="9223" max="9223" width="5.44140625" style="700" customWidth="1"/>
    <col min="9224" max="9224" width="45.109375" style="700" customWidth="1"/>
    <col min="9225" max="9226" width="12" style="700" customWidth="1"/>
    <col min="9227" max="9227" width="16.109375" style="700" customWidth="1"/>
    <col min="9228" max="9228" width="7.6640625" style="700" customWidth="1"/>
    <col min="9229" max="9229" width="12" style="700" customWidth="1"/>
    <col min="9230" max="9231" width="9" style="700" customWidth="1"/>
    <col min="9232" max="9232" width="11.33203125" style="700" customWidth="1"/>
    <col min="9233" max="9234" width="12" style="700" customWidth="1"/>
    <col min="9235" max="9235" width="17.109375" style="700" customWidth="1"/>
    <col min="9236" max="9236" width="9" style="700" customWidth="1"/>
    <col min="9237" max="9237" width="12" style="700" customWidth="1"/>
    <col min="9238" max="9239" width="9" style="700" customWidth="1"/>
    <col min="9240" max="9240" width="9.88671875" style="700" customWidth="1"/>
    <col min="9241" max="9241" width="10.109375" style="700" customWidth="1"/>
    <col min="9242" max="9242" width="7.88671875" style="700" customWidth="1"/>
    <col min="9243" max="9243" width="8.5546875" style="700" customWidth="1"/>
    <col min="9244" max="9244" width="7.88671875" style="700" customWidth="1"/>
    <col min="9245" max="9245" width="8.6640625" style="700" customWidth="1"/>
    <col min="9246" max="9478" width="9.109375" style="700"/>
    <col min="9479" max="9479" width="5.44140625" style="700" customWidth="1"/>
    <col min="9480" max="9480" width="45.109375" style="700" customWidth="1"/>
    <col min="9481" max="9482" width="12" style="700" customWidth="1"/>
    <col min="9483" max="9483" width="16.109375" style="700" customWidth="1"/>
    <col min="9484" max="9484" width="7.6640625" style="700" customWidth="1"/>
    <col min="9485" max="9485" width="12" style="700" customWidth="1"/>
    <col min="9486" max="9487" width="9" style="700" customWidth="1"/>
    <col min="9488" max="9488" width="11.33203125" style="700" customWidth="1"/>
    <col min="9489" max="9490" width="12" style="700" customWidth="1"/>
    <col min="9491" max="9491" width="17.109375" style="700" customWidth="1"/>
    <col min="9492" max="9492" width="9" style="700" customWidth="1"/>
    <col min="9493" max="9493" width="12" style="700" customWidth="1"/>
    <col min="9494" max="9495" width="9" style="700" customWidth="1"/>
    <col min="9496" max="9496" width="9.88671875" style="700" customWidth="1"/>
    <col min="9497" max="9497" width="10.109375" style="700" customWidth="1"/>
    <col min="9498" max="9498" width="7.88671875" style="700" customWidth="1"/>
    <col min="9499" max="9499" width="8.5546875" style="700" customWidth="1"/>
    <col min="9500" max="9500" width="7.88671875" style="700" customWidth="1"/>
    <col min="9501" max="9501" width="8.6640625" style="700" customWidth="1"/>
    <col min="9502" max="9734" width="9.109375" style="700"/>
    <col min="9735" max="9735" width="5.44140625" style="700" customWidth="1"/>
    <col min="9736" max="9736" width="45.109375" style="700" customWidth="1"/>
    <col min="9737" max="9738" width="12" style="700" customWidth="1"/>
    <col min="9739" max="9739" width="16.109375" style="700" customWidth="1"/>
    <col min="9740" max="9740" width="7.6640625" style="700" customWidth="1"/>
    <col min="9741" max="9741" width="12" style="700" customWidth="1"/>
    <col min="9742" max="9743" width="9" style="700" customWidth="1"/>
    <col min="9744" max="9744" width="11.33203125" style="700" customWidth="1"/>
    <col min="9745" max="9746" width="12" style="700" customWidth="1"/>
    <col min="9747" max="9747" width="17.109375" style="700" customWidth="1"/>
    <col min="9748" max="9748" width="9" style="700" customWidth="1"/>
    <col min="9749" max="9749" width="12" style="700" customWidth="1"/>
    <col min="9750" max="9751" width="9" style="700" customWidth="1"/>
    <col min="9752" max="9752" width="9.88671875" style="700" customWidth="1"/>
    <col min="9753" max="9753" width="10.109375" style="700" customWidth="1"/>
    <col min="9754" max="9754" width="7.88671875" style="700" customWidth="1"/>
    <col min="9755" max="9755" width="8.5546875" style="700" customWidth="1"/>
    <col min="9756" max="9756" width="7.88671875" style="700" customWidth="1"/>
    <col min="9757" max="9757" width="8.6640625" style="700" customWidth="1"/>
    <col min="9758" max="9990" width="9.109375" style="700"/>
    <col min="9991" max="9991" width="5.44140625" style="700" customWidth="1"/>
    <col min="9992" max="9992" width="45.109375" style="700" customWidth="1"/>
    <col min="9993" max="9994" width="12" style="700" customWidth="1"/>
    <col min="9995" max="9995" width="16.109375" style="700" customWidth="1"/>
    <col min="9996" max="9996" width="7.6640625" style="700" customWidth="1"/>
    <col min="9997" max="9997" width="12" style="700" customWidth="1"/>
    <col min="9998" max="9999" width="9" style="700" customWidth="1"/>
    <col min="10000" max="10000" width="11.33203125" style="700" customWidth="1"/>
    <col min="10001" max="10002" width="12" style="700" customWidth="1"/>
    <col min="10003" max="10003" width="17.109375" style="700" customWidth="1"/>
    <col min="10004" max="10004" width="9" style="700" customWidth="1"/>
    <col min="10005" max="10005" width="12" style="700" customWidth="1"/>
    <col min="10006" max="10007" width="9" style="700" customWidth="1"/>
    <col min="10008" max="10008" width="9.88671875" style="700" customWidth="1"/>
    <col min="10009" max="10009" width="10.109375" style="700" customWidth="1"/>
    <col min="10010" max="10010" width="7.88671875" style="700" customWidth="1"/>
    <col min="10011" max="10011" width="8.5546875" style="700" customWidth="1"/>
    <col min="10012" max="10012" width="7.88671875" style="700" customWidth="1"/>
    <col min="10013" max="10013" width="8.6640625" style="700" customWidth="1"/>
    <col min="10014" max="10246" width="9.109375" style="700"/>
    <col min="10247" max="10247" width="5.44140625" style="700" customWidth="1"/>
    <col min="10248" max="10248" width="45.109375" style="700" customWidth="1"/>
    <col min="10249" max="10250" width="12" style="700" customWidth="1"/>
    <col min="10251" max="10251" width="16.109375" style="700" customWidth="1"/>
    <col min="10252" max="10252" width="7.6640625" style="700" customWidth="1"/>
    <col min="10253" max="10253" width="12" style="700" customWidth="1"/>
    <col min="10254" max="10255" width="9" style="700" customWidth="1"/>
    <col min="10256" max="10256" width="11.33203125" style="700" customWidth="1"/>
    <col min="10257" max="10258" width="12" style="700" customWidth="1"/>
    <col min="10259" max="10259" width="17.109375" style="700" customWidth="1"/>
    <col min="10260" max="10260" width="9" style="700" customWidth="1"/>
    <col min="10261" max="10261" width="12" style="700" customWidth="1"/>
    <col min="10262" max="10263" width="9" style="700" customWidth="1"/>
    <col min="10264" max="10264" width="9.88671875" style="700" customWidth="1"/>
    <col min="10265" max="10265" width="10.109375" style="700" customWidth="1"/>
    <col min="10266" max="10266" width="7.88671875" style="700" customWidth="1"/>
    <col min="10267" max="10267" width="8.5546875" style="700" customWidth="1"/>
    <col min="10268" max="10268" width="7.88671875" style="700" customWidth="1"/>
    <col min="10269" max="10269" width="8.6640625" style="700" customWidth="1"/>
    <col min="10270" max="10502" width="9.109375" style="700"/>
    <col min="10503" max="10503" width="5.44140625" style="700" customWidth="1"/>
    <col min="10504" max="10504" width="45.109375" style="700" customWidth="1"/>
    <col min="10505" max="10506" width="12" style="700" customWidth="1"/>
    <col min="10507" max="10507" width="16.109375" style="700" customWidth="1"/>
    <col min="10508" max="10508" width="7.6640625" style="700" customWidth="1"/>
    <col min="10509" max="10509" width="12" style="700" customWidth="1"/>
    <col min="10510" max="10511" width="9" style="700" customWidth="1"/>
    <col min="10512" max="10512" width="11.33203125" style="700" customWidth="1"/>
    <col min="10513" max="10514" width="12" style="700" customWidth="1"/>
    <col min="10515" max="10515" width="17.109375" style="700" customWidth="1"/>
    <col min="10516" max="10516" width="9" style="700" customWidth="1"/>
    <col min="10517" max="10517" width="12" style="700" customWidth="1"/>
    <col min="10518" max="10519" width="9" style="700" customWidth="1"/>
    <col min="10520" max="10520" width="9.88671875" style="700" customWidth="1"/>
    <col min="10521" max="10521" width="10.109375" style="700" customWidth="1"/>
    <col min="10522" max="10522" width="7.88671875" style="700" customWidth="1"/>
    <col min="10523" max="10523" width="8.5546875" style="700" customWidth="1"/>
    <col min="10524" max="10524" width="7.88671875" style="700" customWidth="1"/>
    <col min="10525" max="10525" width="8.6640625" style="700" customWidth="1"/>
    <col min="10526" max="10758" width="9.109375" style="700"/>
    <col min="10759" max="10759" width="5.44140625" style="700" customWidth="1"/>
    <col min="10760" max="10760" width="45.109375" style="700" customWidth="1"/>
    <col min="10761" max="10762" width="12" style="700" customWidth="1"/>
    <col min="10763" max="10763" width="16.109375" style="700" customWidth="1"/>
    <col min="10764" max="10764" width="7.6640625" style="700" customWidth="1"/>
    <col min="10765" max="10765" width="12" style="700" customWidth="1"/>
    <col min="10766" max="10767" width="9" style="700" customWidth="1"/>
    <col min="10768" max="10768" width="11.33203125" style="700" customWidth="1"/>
    <col min="10769" max="10770" width="12" style="700" customWidth="1"/>
    <col min="10771" max="10771" width="17.109375" style="700" customWidth="1"/>
    <col min="10772" max="10772" width="9" style="700" customWidth="1"/>
    <col min="10773" max="10773" width="12" style="700" customWidth="1"/>
    <col min="10774" max="10775" width="9" style="700" customWidth="1"/>
    <col min="10776" max="10776" width="9.88671875" style="700" customWidth="1"/>
    <col min="10777" max="10777" width="10.109375" style="700" customWidth="1"/>
    <col min="10778" max="10778" width="7.88671875" style="700" customWidth="1"/>
    <col min="10779" max="10779" width="8.5546875" style="700" customWidth="1"/>
    <col min="10780" max="10780" width="7.88671875" style="700" customWidth="1"/>
    <col min="10781" max="10781" width="8.6640625" style="700" customWidth="1"/>
    <col min="10782" max="11014" width="9.109375" style="700"/>
    <col min="11015" max="11015" width="5.44140625" style="700" customWidth="1"/>
    <col min="11016" max="11016" width="45.109375" style="700" customWidth="1"/>
    <col min="11017" max="11018" width="12" style="700" customWidth="1"/>
    <col min="11019" max="11019" width="16.109375" style="700" customWidth="1"/>
    <col min="11020" max="11020" width="7.6640625" style="700" customWidth="1"/>
    <col min="11021" max="11021" width="12" style="700" customWidth="1"/>
    <col min="11022" max="11023" width="9" style="700" customWidth="1"/>
    <col min="11024" max="11024" width="11.33203125" style="700" customWidth="1"/>
    <col min="11025" max="11026" width="12" style="700" customWidth="1"/>
    <col min="11027" max="11027" width="17.109375" style="700" customWidth="1"/>
    <col min="11028" max="11028" width="9" style="700" customWidth="1"/>
    <col min="11029" max="11029" width="12" style="700" customWidth="1"/>
    <col min="11030" max="11031" width="9" style="700" customWidth="1"/>
    <col min="11032" max="11032" width="9.88671875" style="700" customWidth="1"/>
    <col min="11033" max="11033" width="10.109375" style="700" customWidth="1"/>
    <col min="11034" max="11034" width="7.88671875" style="700" customWidth="1"/>
    <col min="11035" max="11035" width="8.5546875" style="700" customWidth="1"/>
    <col min="11036" max="11036" width="7.88671875" style="700" customWidth="1"/>
    <col min="11037" max="11037" width="8.6640625" style="700" customWidth="1"/>
    <col min="11038" max="11270" width="9.109375" style="700"/>
    <col min="11271" max="11271" width="5.44140625" style="700" customWidth="1"/>
    <col min="11272" max="11272" width="45.109375" style="700" customWidth="1"/>
    <col min="11273" max="11274" width="12" style="700" customWidth="1"/>
    <col min="11275" max="11275" width="16.109375" style="700" customWidth="1"/>
    <col min="11276" max="11276" width="7.6640625" style="700" customWidth="1"/>
    <col min="11277" max="11277" width="12" style="700" customWidth="1"/>
    <col min="11278" max="11279" width="9" style="700" customWidth="1"/>
    <col min="11280" max="11280" width="11.33203125" style="700" customWidth="1"/>
    <col min="11281" max="11282" width="12" style="700" customWidth="1"/>
    <col min="11283" max="11283" width="17.109375" style="700" customWidth="1"/>
    <col min="11284" max="11284" width="9" style="700" customWidth="1"/>
    <col min="11285" max="11285" width="12" style="700" customWidth="1"/>
    <col min="11286" max="11287" width="9" style="700" customWidth="1"/>
    <col min="11288" max="11288" width="9.88671875" style="700" customWidth="1"/>
    <col min="11289" max="11289" width="10.109375" style="700" customWidth="1"/>
    <col min="11290" max="11290" width="7.88671875" style="700" customWidth="1"/>
    <col min="11291" max="11291" width="8.5546875" style="700" customWidth="1"/>
    <col min="11292" max="11292" width="7.88671875" style="700" customWidth="1"/>
    <col min="11293" max="11293" width="8.6640625" style="700" customWidth="1"/>
    <col min="11294" max="11526" width="9.109375" style="700"/>
    <col min="11527" max="11527" width="5.44140625" style="700" customWidth="1"/>
    <col min="11528" max="11528" width="45.109375" style="700" customWidth="1"/>
    <col min="11529" max="11530" width="12" style="700" customWidth="1"/>
    <col min="11531" max="11531" width="16.109375" style="700" customWidth="1"/>
    <col min="11532" max="11532" width="7.6640625" style="700" customWidth="1"/>
    <col min="11533" max="11533" width="12" style="700" customWidth="1"/>
    <col min="11534" max="11535" width="9" style="700" customWidth="1"/>
    <col min="11536" max="11536" width="11.33203125" style="700" customWidth="1"/>
    <col min="11537" max="11538" width="12" style="700" customWidth="1"/>
    <col min="11539" max="11539" width="17.109375" style="700" customWidth="1"/>
    <col min="11540" max="11540" width="9" style="700" customWidth="1"/>
    <col min="11541" max="11541" width="12" style="700" customWidth="1"/>
    <col min="11542" max="11543" width="9" style="700" customWidth="1"/>
    <col min="11544" max="11544" width="9.88671875" style="700" customWidth="1"/>
    <col min="11545" max="11545" width="10.109375" style="700" customWidth="1"/>
    <col min="11546" max="11546" width="7.88671875" style="700" customWidth="1"/>
    <col min="11547" max="11547" width="8.5546875" style="700" customWidth="1"/>
    <col min="11548" max="11548" width="7.88671875" style="700" customWidth="1"/>
    <col min="11549" max="11549" width="8.6640625" style="700" customWidth="1"/>
    <col min="11550" max="11782" width="9.109375" style="700"/>
    <col min="11783" max="11783" width="5.44140625" style="700" customWidth="1"/>
    <col min="11784" max="11784" width="45.109375" style="700" customWidth="1"/>
    <col min="11785" max="11786" width="12" style="700" customWidth="1"/>
    <col min="11787" max="11787" width="16.109375" style="700" customWidth="1"/>
    <col min="11788" max="11788" width="7.6640625" style="700" customWidth="1"/>
    <col min="11789" max="11789" width="12" style="700" customWidth="1"/>
    <col min="11790" max="11791" width="9" style="700" customWidth="1"/>
    <col min="11792" max="11792" width="11.33203125" style="700" customWidth="1"/>
    <col min="11793" max="11794" width="12" style="700" customWidth="1"/>
    <col min="11795" max="11795" width="17.109375" style="700" customWidth="1"/>
    <col min="11796" max="11796" width="9" style="700" customWidth="1"/>
    <col min="11797" max="11797" width="12" style="700" customWidth="1"/>
    <col min="11798" max="11799" width="9" style="700" customWidth="1"/>
    <col min="11800" max="11800" width="9.88671875" style="700" customWidth="1"/>
    <col min="11801" max="11801" width="10.109375" style="700" customWidth="1"/>
    <col min="11802" max="11802" width="7.88671875" style="700" customWidth="1"/>
    <col min="11803" max="11803" width="8.5546875" style="700" customWidth="1"/>
    <col min="11804" max="11804" width="7.88671875" style="700" customWidth="1"/>
    <col min="11805" max="11805" width="8.6640625" style="700" customWidth="1"/>
    <col min="11806" max="12038" width="9.109375" style="700"/>
    <col min="12039" max="12039" width="5.44140625" style="700" customWidth="1"/>
    <col min="12040" max="12040" width="45.109375" style="700" customWidth="1"/>
    <col min="12041" max="12042" width="12" style="700" customWidth="1"/>
    <col min="12043" max="12043" width="16.109375" style="700" customWidth="1"/>
    <col min="12044" max="12044" width="7.6640625" style="700" customWidth="1"/>
    <col min="12045" max="12045" width="12" style="700" customWidth="1"/>
    <col min="12046" max="12047" width="9" style="700" customWidth="1"/>
    <col min="12048" max="12048" width="11.33203125" style="700" customWidth="1"/>
    <col min="12049" max="12050" width="12" style="700" customWidth="1"/>
    <col min="12051" max="12051" width="17.109375" style="700" customWidth="1"/>
    <col min="12052" max="12052" width="9" style="700" customWidth="1"/>
    <col min="12053" max="12053" width="12" style="700" customWidth="1"/>
    <col min="12054" max="12055" width="9" style="700" customWidth="1"/>
    <col min="12056" max="12056" width="9.88671875" style="700" customWidth="1"/>
    <col min="12057" max="12057" width="10.109375" style="700" customWidth="1"/>
    <col min="12058" max="12058" width="7.88671875" style="700" customWidth="1"/>
    <col min="12059" max="12059" width="8.5546875" style="700" customWidth="1"/>
    <col min="12060" max="12060" width="7.88671875" style="700" customWidth="1"/>
    <col min="12061" max="12061" width="8.6640625" style="700" customWidth="1"/>
    <col min="12062" max="12294" width="9.109375" style="700"/>
    <col min="12295" max="12295" width="5.44140625" style="700" customWidth="1"/>
    <col min="12296" max="12296" width="45.109375" style="700" customWidth="1"/>
    <col min="12297" max="12298" width="12" style="700" customWidth="1"/>
    <col min="12299" max="12299" width="16.109375" style="700" customWidth="1"/>
    <col min="12300" max="12300" width="7.6640625" style="700" customWidth="1"/>
    <col min="12301" max="12301" width="12" style="700" customWidth="1"/>
    <col min="12302" max="12303" width="9" style="700" customWidth="1"/>
    <col min="12304" max="12304" width="11.33203125" style="700" customWidth="1"/>
    <col min="12305" max="12306" width="12" style="700" customWidth="1"/>
    <col min="12307" max="12307" width="17.109375" style="700" customWidth="1"/>
    <col min="12308" max="12308" width="9" style="700" customWidth="1"/>
    <col min="12309" max="12309" width="12" style="700" customWidth="1"/>
    <col min="12310" max="12311" width="9" style="700" customWidth="1"/>
    <col min="12312" max="12312" width="9.88671875" style="700" customWidth="1"/>
    <col min="12313" max="12313" width="10.109375" style="700" customWidth="1"/>
    <col min="12314" max="12314" width="7.88671875" style="700" customWidth="1"/>
    <col min="12315" max="12315" width="8.5546875" style="700" customWidth="1"/>
    <col min="12316" max="12316" width="7.88671875" style="700" customWidth="1"/>
    <col min="12317" max="12317" width="8.6640625" style="700" customWidth="1"/>
    <col min="12318" max="12550" width="9.109375" style="700"/>
    <col min="12551" max="12551" width="5.44140625" style="700" customWidth="1"/>
    <col min="12552" max="12552" width="45.109375" style="700" customWidth="1"/>
    <col min="12553" max="12554" width="12" style="700" customWidth="1"/>
    <col min="12555" max="12555" width="16.109375" style="700" customWidth="1"/>
    <col min="12556" max="12556" width="7.6640625" style="700" customWidth="1"/>
    <col min="12557" max="12557" width="12" style="700" customWidth="1"/>
    <col min="12558" max="12559" width="9" style="700" customWidth="1"/>
    <col min="12560" max="12560" width="11.33203125" style="700" customWidth="1"/>
    <col min="12561" max="12562" width="12" style="700" customWidth="1"/>
    <col min="12563" max="12563" width="17.109375" style="700" customWidth="1"/>
    <col min="12564" max="12564" width="9" style="700" customWidth="1"/>
    <col min="12565" max="12565" width="12" style="700" customWidth="1"/>
    <col min="12566" max="12567" width="9" style="700" customWidth="1"/>
    <col min="12568" max="12568" width="9.88671875" style="700" customWidth="1"/>
    <col min="12569" max="12569" width="10.109375" style="700" customWidth="1"/>
    <col min="12570" max="12570" width="7.88671875" style="700" customWidth="1"/>
    <col min="12571" max="12571" width="8.5546875" style="700" customWidth="1"/>
    <col min="12572" max="12572" width="7.88671875" style="700" customWidth="1"/>
    <col min="12573" max="12573" width="8.6640625" style="700" customWidth="1"/>
    <col min="12574" max="12806" width="9.109375" style="700"/>
    <col min="12807" max="12807" width="5.44140625" style="700" customWidth="1"/>
    <col min="12808" max="12808" width="45.109375" style="700" customWidth="1"/>
    <col min="12809" max="12810" width="12" style="700" customWidth="1"/>
    <col min="12811" max="12811" width="16.109375" style="700" customWidth="1"/>
    <col min="12812" max="12812" width="7.6640625" style="700" customWidth="1"/>
    <col min="12813" max="12813" width="12" style="700" customWidth="1"/>
    <col min="12814" max="12815" width="9" style="700" customWidth="1"/>
    <col min="12816" max="12816" width="11.33203125" style="700" customWidth="1"/>
    <col min="12817" max="12818" width="12" style="700" customWidth="1"/>
    <col min="12819" max="12819" width="17.109375" style="700" customWidth="1"/>
    <col min="12820" max="12820" width="9" style="700" customWidth="1"/>
    <col min="12821" max="12821" width="12" style="700" customWidth="1"/>
    <col min="12822" max="12823" width="9" style="700" customWidth="1"/>
    <col min="12824" max="12824" width="9.88671875" style="700" customWidth="1"/>
    <col min="12825" max="12825" width="10.109375" style="700" customWidth="1"/>
    <col min="12826" max="12826" width="7.88671875" style="700" customWidth="1"/>
    <col min="12827" max="12827" width="8.5546875" style="700" customWidth="1"/>
    <col min="12828" max="12828" width="7.88671875" style="700" customWidth="1"/>
    <col min="12829" max="12829" width="8.6640625" style="700" customWidth="1"/>
    <col min="12830" max="13062" width="9.109375" style="700"/>
    <col min="13063" max="13063" width="5.44140625" style="700" customWidth="1"/>
    <col min="13064" max="13064" width="45.109375" style="700" customWidth="1"/>
    <col min="13065" max="13066" width="12" style="700" customWidth="1"/>
    <col min="13067" max="13067" width="16.109375" style="700" customWidth="1"/>
    <col min="13068" max="13068" width="7.6640625" style="700" customWidth="1"/>
    <col min="13069" max="13069" width="12" style="700" customWidth="1"/>
    <col min="13070" max="13071" width="9" style="700" customWidth="1"/>
    <col min="13072" max="13072" width="11.33203125" style="700" customWidth="1"/>
    <col min="13073" max="13074" width="12" style="700" customWidth="1"/>
    <col min="13075" max="13075" width="17.109375" style="700" customWidth="1"/>
    <col min="13076" max="13076" width="9" style="700" customWidth="1"/>
    <col min="13077" max="13077" width="12" style="700" customWidth="1"/>
    <col min="13078" max="13079" width="9" style="700" customWidth="1"/>
    <col min="13080" max="13080" width="9.88671875" style="700" customWidth="1"/>
    <col min="13081" max="13081" width="10.109375" style="700" customWidth="1"/>
    <col min="13082" max="13082" width="7.88671875" style="700" customWidth="1"/>
    <col min="13083" max="13083" width="8.5546875" style="700" customWidth="1"/>
    <col min="13084" max="13084" width="7.88671875" style="700" customWidth="1"/>
    <col min="13085" max="13085" width="8.6640625" style="700" customWidth="1"/>
    <col min="13086" max="13318" width="9.109375" style="700"/>
    <col min="13319" max="13319" width="5.44140625" style="700" customWidth="1"/>
    <col min="13320" max="13320" width="45.109375" style="700" customWidth="1"/>
    <col min="13321" max="13322" width="12" style="700" customWidth="1"/>
    <col min="13323" max="13323" width="16.109375" style="700" customWidth="1"/>
    <col min="13324" max="13324" width="7.6640625" style="700" customWidth="1"/>
    <col min="13325" max="13325" width="12" style="700" customWidth="1"/>
    <col min="13326" max="13327" width="9" style="700" customWidth="1"/>
    <col min="13328" max="13328" width="11.33203125" style="700" customWidth="1"/>
    <col min="13329" max="13330" width="12" style="700" customWidth="1"/>
    <col min="13331" max="13331" width="17.109375" style="700" customWidth="1"/>
    <col min="13332" max="13332" width="9" style="700" customWidth="1"/>
    <col min="13333" max="13333" width="12" style="700" customWidth="1"/>
    <col min="13334" max="13335" width="9" style="700" customWidth="1"/>
    <col min="13336" max="13336" width="9.88671875" style="700" customWidth="1"/>
    <col min="13337" max="13337" width="10.109375" style="700" customWidth="1"/>
    <col min="13338" max="13338" width="7.88671875" style="700" customWidth="1"/>
    <col min="13339" max="13339" width="8.5546875" style="700" customWidth="1"/>
    <col min="13340" max="13340" width="7.88671875" style="700" customWidth="1"/>
    <col min="13341" max="13341" width="8.6640625" style="700" customWidth="1"/>
    <col min="13342" max="13574" width="9.109375" style="700"/>
    <col min="13575" max="13575" width="5.44140625" style="700" customWidth="1"/>
    <col min="13576" max="13576" width="45.109375" style="700" customWidth="1"/>
    <col min="13577" max="13578" width="12" style="700" customWidth="1"/>
    <col min="13579" max="13579" width="16.109375" style="700" customWidth="1"/>
    <col min="13580" max="13580" width="7.6640625" style="700" customWidth="1"/>
    <col min="13581" max="13581" width="12" style="700" customWidth="1"/>
    <col min="13582" max="13583" width="9" style="700" customWidth="1"/>
    <col min="13584" max="13584" width="11.33203125" style="700" customWidth="1"/>
    <col min="13585" max="13586" width="12" style="700" customWidth="1"/>
    <col min="13587" max="13587" width="17.109375" style="700" customWidth="1"/>
    <col min="13588" max="13588" width="9" style="700" customWidth="1"/>
    <col min="13589" max="13589" width="12" style="700" customWidth="1"/>
    <col min="13590" max="13591" width="9" style="700" customWidth="1"/>
    <col min="13592" max="13592" width="9.88671875" style="700" customWidth="1"/>
    <col min="13593" max="13593" width="10.109375" style="700" customWidth="1"/>
    <col min="13594" max="13594" width="7.88671875" style="700" customWidth="1"/>
    <col min="13595" max="13595" width="8.5546875" style="700" customWidth="1"/>
    <col min="13596" max="13596" width="7.88671875" style="700" customWidth="1"/>
    <col min="13597" max="13597" width="8.6640625" style="700" customWidth="1"/>
    <col min="13598" max="13830" width="9.109375" style="700"/>
    <col min="13831" max="13831" width="5.44140625" style="700" customWidth="1"/>
    <col min="13832" max="13832" width="45.109375" style="700" customWidth="1"/>
    <col min="13833" max="13834" width="12" style="700" customWidth="1"/>
    <col min="13835" max="13835" width="16.109375" style="700" customWidth="1"/>
    <col min="13836" max="13836" width="7.6640625" style="700" customWidth="1"/>
    <col min="13837" max="13837" width="12" style="700" customWidth="1"/>
    <col min="13838" max="13839" width="9" style="700" customWidth="1"/>
    <col min="13840" max="13840" width="11.33203125" style="700" customWidth="1"/>
    <col min="13841" max="13842" width="12" style="700" customWidth="1"/>
    <col min="13843" max="13843" width="17.109375" style="700" customWidth="1"/>
    <col min="13844" max="13844" width="9" style="700" customWidth="1"/>
    <col min="13845" max="13845" width="12" style="700" customWidth="1"/>
    <col min="13846" max="13847" width="9" style="700" customWidth="1"/>
    <col min="13848" max="13848" width="9.88671875" style="700" customWidth="1"/>
    <col min="13849" max="13849" width="10.109375" style="700" customWidth="1"/>
    <col min="13850" max="13850" width="7.88671875" style="700" customWidth="1"/>
    <col min="13851" max="13851" width="8.5546875" style="700" customWidth="1"/>
    <col min="13852" max="13852" width="7.88671875" style="700" customWidth="1"/>
    <col min="13853" max="13853" width="8.6640625" style="700" customWidth="1"/>
    <col min="13854" max="14086" width="9.109375" style="700"/>
    <col min="14087" max="14087" width="5.44140625" style="700" customWidth="1"/>
    <col min="14088" max="14088" width="45.109375" style="700" customWidth="1"/>
    <col min="14089" max="14090" width="12" style="700" customWidth="1"/>
    <col min="14091" max="14091" width="16.109375" style="700" customWidth="1"/>
    <col min="14092" max="14092" width="7.6640625" style="700" customWidth="1"/>
    <col min="14093" max="14093" width="12" style="700" customWidth="1"/>
    <col min="14094" max="14095" width="9" style="700" customWidth="1"/>
    <col min="14096" max="14096" width="11.33203125" style="700" customWidth="1"/>
    <col min="14097" max="14098" width="12" style="700" customWidth="1"/>
    <col min="14099" max="14099" width="17.109375" style="700" customWidth="1"/>
    <col min="14100" max="14100" width="9" style="700" customWidth="1"/>
    <col min="14101" max="14101" width="12" style="700" customWidth="1"/>
    <col min="14102" max="14103" width="9" style="700" customWidth="1"/>
    <col min="14104" max="14104" width="9.88671875" style="700" customWidth="1"/>
    <col min="14105" max="14105" width="10.109375" style="700" customWidth="1"/>
    <col min="14106" max="14106" width="7.88671875" style="700" customWidth="1"/>
    <col min="14107" max="14107" width="8.5546875" style="700" customWidth="1"/>
    <col min="14108" max="14108" width="7.88671875" style="700" customWidth="1"/>
    <col min="14109" max="14109" width="8.6640625" style="700" customWidth="1"/>
    <col min="14110" max="14342" width="9.109375" style="700"/>
    <col min="14343" max="14343" width="5.44140625" style="700" customWidth="1"/>
    <col min="14344" max="14344" width="45.109375" style="700" customWidth="1"/>
    <col min="14345" max="14346" width="12" style="700" customWidth="1"/>
    <col min="14347" max="14347" width="16.109375" style="700" customWidth="1"/>
    <col min="14348" max="14348" width="7.6640625" style="700" customWidth="1"/>
    <col min="14349" max="14349" width="12" style="700" customWidth="1"/>
    <col min="14350" max="14351" width="9" style="700" customWidth="1"/>
    <col min="14352" max="14352" width="11.33203125" style="700" customWidth="1"/>
    <col min="14353" max="14354" width="12" style="700" customWidth="1"/>
    <col min="14355" max="14355" width="17.109375" style="700" customWidth="1"/>
    <col min="14356" max="14356" width="9" style="700" customWidth="1"/>
    <col min="14357" max="14357" width="12" style="700" customWidth="1"/>
    <col min="14358" max="14359" width="9" style="700" customWidth="1"/>
    <col min="14360" max="14360" width="9.88671875" style="700" customWidth="1"/>
    <col min="14361" max="14361" width="10.109375" style="700" customWidth="1"/>
    <col min="14362" max="14362" width="7.88671875" style="700" customWidth="1"/>
    <col min="14363" max="14363" width="8.5546875" style="700" customWidth="1"/>
    <col min="14364" max="14364" width="7.88671875" style="700" customWidth="1"/>
    <col min="14365" max="14365" width="8.6640625" style="700" customWidth="1"/>
    <col min="14366" max="14598" width="9.109375" style="700"/>
    <col min="14599" max="14599" width="5.44140625" style="700" customWidth="1"/>
    <col min="14600" max="14600" width="45.109375" style="700" customWidth="1"/>
    <col min="14601" max="14602" width="12" style="700" customWidth="1"/>
    <col min="14603" max="14603" width="16.109375" style="700" customWidth="1"/>
    <col min="14604" max="14604" width="7.6640625" style="700" customWidth="1"/>
    <col min="14605" max="14605" width="12" style="700" customWidth="1"/>
    <col min="14606" max="14607" width="9" style="700" customWidth="1"/>
    <col min="14608" max="14608" width="11.33203125" style="700" customWidth="1"/>
    <col min="14609" max="14610" width="12" style="700" customWidth="1"/>
    <col min="14611" max="14611" width="17.109375" style="700" customWidth="1"/>
    <col min="14612" max="14612" width="9" style="700" customWidth="1"/>
    <col min="14613" max="14613" width="12" style="700" customWidth="1"/>
    <col min="14614" max="14615" width="9" style="700" customWidth="1"/>
    <col min="14616" max="14616" width="9.88671875" style="700" customWidth="1"/>
    <col min="14617" max="14617" width="10.109375" style="700" customWidth="1"/>
    <col min="14618" max="14618" width="7.88671875" style="700" customWidth="1"/>
    <col min="14619" max="14619" width="8.5546875" style="700" customWidth="1"/>
    <col min="14620" max="14620" width="7.88671875" style="700" customWidth="1"/>
    <col min="14621" max="14621" width="8.6640625" style="700" customWidth="1"/>
    <col min="14622" max="14854" width="9.109375" style="700"/>
    <col min="14855" max="14855" width="5.44140625" style="700" customWidth="1"/>
    <col min="14856" max="14856" width="45.109375" style="700" customWidth="1"/>
    <col min="14857" max="14858" width="12" style="700" customWidth="1"/>
    <col min="14859" max="14859" width="16.109375" style="700" customWidth="1"/>
    <col min="14860" max="14860" width="7.6640625" style="700" customWidth="1"/>
    <col min="14861" max="14861" width="12" style="700" customWidth="1"/>
    <col min="14862" max="14863" width="9" style="700" customWidth="1"/>
    <col min="14864" max="14864" width="11.33203125" style="700" customWidth="1"/>
    <col min="14865" max="14866" width="12" style="700" customWidth="1"/>
    <col min="14867" max="14867" width="17.109375" style="700" customWidth="1"/>
    <col min="14868" max="14868" width="9" style="700" customWidth="1"/>
    <col min="14869" max="14869" width="12" style="700" customWidth="1"/>
    <col min="14870" max="14871" width="9" style="700" customWidth="1"/>
    <col min="14872" max="14872" width="9.88671875" style="700" customWidth="1"/>
    <col min="14873" max="14873" width="10.109375" style="700" customWidth="1"/>
    <col min="14874" max="14874" width="7.88671875" style="700" customWidth="1"/>
    <col min="14875" max="14875" width="8.5546875" style="700" customWidth="1"/>
    <col min="14876" max="14876" width="7.88671875" style="700" customWidth="1"/>
    <col min="14877" max="14877" width="8.6640625" style="700" customWidth="1"/>
    <col min="14878" max="15110" width="9.109375" style="700"/>
    <col min="15111" max="15111" width="5.44140625" style="700" customWidth="1"/>
    <col min="15112" max="15112" width="45.109375" style="700" customWidth="1"/>
    <col min="15113" max="15114" width="12" style="700" customWidth="1"/>
    <col min="15115" max="15115" width="16.109375" style="700" customWidth="1"/>
    <col min="15116" max="15116" width="7.6640625" style="700" customWidth="1"/>
    <col min="15117" max="15117" width="12" style="700" customWidth="1"/>
    <col min="15118" max="15119" width="9" style="700" customWidth="1"/>
    <col min="15120" max="15120" width="11.33203125" style="700" customWidth="1"/>
    <col min="15121" max="15122" width="12" style="700" customWidth="1"/>
    <col min="15123" max="15123" width="17.109375" style="700" customWidth="1"/>
    <col min="15124" max="15124" width="9" style="700" customWidth="1"/>
    <col min="15125" max="15125" width="12" style="700" customWidth="1"/>
    <col min="15126" max="15127" width="9" style="700" customWidth="1"/>
    <col min="15128" max="15128" width="9.88671875" style="700" customWidth="1"/>
    <col min="15129" max="15129" width="10.109375" style="700" customWidth="1"/>
    <col min="15130" max="15130" width="7.88671875" style="700" customWidth="1"/>
    <col min="15131" max="15131" width="8.5546875" style="700" customWidth="1"/>
    <col min="15132" max="15132" width="7.88671875" style="700" customWidth="1"/>
    <col min="15133" max="15133" width="8.6640625" style="700" customWidth="1"/>
    <col min="15134" max="15366" width="9.109375" style="700"/>
    <col min="15367" max="15367" width="5.44140625" style="700" customWidth="1"/>
    <col min="15368" max="15368" width="45.109375" style="700" customWidth="1"/>
    <col min="15369" max="15370" width="12" style="700" customWidth="1"/>
    <col min="15371" max="15371" width="16.109375" style="700" customWidth="1"/>
    <col min="15372" max="15372" width="7.6640625" style="700" customWidth="1"/>
    <col min="15373" max="15373" width="12" style="700" customWidth="1"/>
    <col min="15374" max="15375" width="9" style="700" customWidth="1"/>
    <col min="15376" max="15376" width="11.33203125" style="700" customWidth="1"/>
    <col min="15377" max="15378" width="12" style="700" customWidth="1"/>
    <col min="15379" max="15379" width="17.109375" style="700" customWidth="1"/>
    <col min="15380" max="15380" width="9" style="700" customWidth="1"/>
    <col min="15381" max="15381" width="12" style="700" customWidth="1"/>
    <col min="15382" max="15383" width="9" style="700" customWidth="1"/>
    <col min="15384" max="15384" width="9.88671875" style="700" customWidth="1"/>
    <col min="15385" max="15385" width="10.109375" style="700" customWidth="1"/>
    <col min="15386" max="15386" width="7.88671875" style="700" customWidth="1"/>
    <col min="15387" max="15387" width="8.5546875" style="700" customWidth="1"/>
    <col min="15388" max="15388" width="7.88671875" style="700" customWidth="1"/>
    <col min="15389" max="15389" width="8.6640625" style="700" customWidth="1"/>
    <col min="15390" max="15622" width="9.109375" style="700"/>
    <col min="15623" max="15623" width="5.44140625" style="700" customWidth="1"/>
    <col min="15624" max="15624" width="45.109375" style="700" customWidth="1"/>
    <col min="15625" max="15626" width="12" style="700" customWidth="1"/>
    <col min="15627" max="15627" width="16.109375" style="700" customWidth="1"/>
    <col min="15628" max="15628" width="7.6640625" style="700" customWidth="1"/>
    <col min="15629" max="15629" width="12" style="700" customWidth="1"/>
    <col min="15630" max="15631" width="9" style="700" customWidth="1"/>
    <col min="15632" max="15632" width="11.33203125" style="700" customWidth="1"/>
    <col min="15633" max="15634" width="12" style="700" customWidth="1"/>
    <col min="15635" max="15635" width="17.109375" style="700" customWidth="1"/>
    <col min="15636" max="15636" width="9" style="700" customWidth="1"/>
    <col min="15637" max="15637" width="12" style="700" customWidth="1"/>
    <col min="15638" max="15639" width="9" style="700" customWidth="1"/>
    <col min="15640" max="15640" width="9.88671875" style="700" customWidth="1"/>
    <col min="15641" max="15641" width="10.109375" style="700" customWidth="1"/>
    <col min="15642" max="15642" width="7.88671875" style="700" customWidth="1"/>
    <col min="15643" max="15643" width="8.5546875" style="700" customWidth="1"/>
    <col min="15644" max="15644" width="7.88671875" style="700" customWidth="1"/>
    <col min="15645" max="15645" width="8.6640625" style="700" customWidth="1"/>
    <col min="15646" max="15878" width="9.109375" style="700"/>
    <col min="15879" max="15879" width="5.44140625" style="700" customWidth="1"/>
    <col min="15880" max="15880" width="45.109375" style="700" customWidth="1"/>
    <col min="15881" max="15882" width="12" style="700" customWidth="1"/>
    <col min="15883" max="15883" width="16.109375" style="700" customWidth="1"/>
    <col min="15884" max="15884" width="7.6640625" style="700" customWidth="1"/>
    <col min="15885" max="15885" width="12" style="700" customWidth="1"/>
    <col min="15886" max="15887" width="9" style="700" customWidth="1"/>
    <col min="15888" max="15888" width="11.33203125" style="700" customWidth="1"/>
    <col min="15889" max="15890" width="12" style="700" customWidth="1"/>
    <col min="15891" max="15891" width="17.109375" style="700" customWidth="1"/>
    <col min="15892" max="15892" width="9" style="700" customWidth="1"/>
    <col min="15893" max="15893" width="12" style="700" customWidth="1"/>
    <col min="15894" max="15895" width="9" style="700" customWidth="1"/>
    <col min="15896" max="15896" width="9.88671875" style="700" customWidth="1"/>
    <col min="15897" max="15897" width="10.109375" style="700" customWidth="1"/>
    <col min="15898" max="15898" width="7.88671875" style="700" customWidth="1"/>
    <col min="15899" max="15899" width="8.5546875" style="700" customWidth="1"/>
    <col min="15900" max="15900" width="7.88671875" style="700" customWidth="1"/>
    <col min="15901" max="15901" width="8.6640625" style="700" customWidth="1"/>
    <col min="15902" max="16134" width="9.109375" style="700"/>
    <col min="16135" max="16135" width="5.44140625" style="700" customWidth="1"/>
    <col min="16136" max="16136" width="45.109375" style="700" customWidth="1"/>
    <col min="16137" max="16138" width="12" style="700" customWidth="1"/>
    <col min="16139" max="16139" width="16.109375" style="700" customWidth="1"/>
    <col min="16140" max="16140" width="7.6640625" style="700" customWidth="1"/>
    <col min="16141" max="16141" width="12" style="700" customWidth="1"/>
    <col min="16142" max="16143" width="9" style="700" customWidth="1"/>
    <col min="16144" max="16144" width="11.33203125" style="700" customWidth="1"/>
    <col min="16145" max="16146" width="12" style="700" customWidth="1"/>
    <col min="16147" max="16147" width="17.109375" style="700" customWidth="1"/>
    <col min="16148" max="16148" width="9" style="700" customWidth="1"/>
    <col min="16149" max="16149" width="12" style="700" customWidth="1"/>
    <col min="16150" max="16151" width="9" style="700" customWidth="1"/>
    <col min="16152" max="16152" width="9.88671875" style="700" customWidth="1"/>
    <col min="16153" max="16153" width="10.109375" style="700" customWidth="1"/>
    <col min="16154" max="16154" width="7.88671875" style="700" customWidth="1"/>
    <col min="16155" max="16155" width="8.5546875" style="700" customWidth="1"/>
    <col min="16156" max="16156" width="7.88671875" style="700" customWidth="1"/>
    <col min="16157" max="16157" width="8.6640625" style="700" customWidth="1"/>
    <col min="16158" max="16384" width="9.109375" style="700"/>
  </cols>
  <sheetData>
    <row r="1" spans="1:29" ht="16.8">
      <c r="A1" s="715" t="s">
        <v>202</v>
      </c>
      <c r="D1" s="701"/>
      <c r="E1" s="703"/>
      <c r="F1" s="703"/>
      <c r="G1" s="703"/>
      <c r="N1" s="701"/>
      <c r="O1" s="703"/>
      <c r="P1" s="703"/>
      <c r="Q1" s="703"/>
      <c r="Z1" s="699" t="s">
        <v>123</v>
      </c>
    </row>
    <row r="2" spans="1:29">
      <c r="A2" s="702"/>
      <c r="C2" s="703"/>
      <c r="D2" s="701"/>
      <c r="N2" s="701"/>
      <c r="Z2" s="703">
        <v>0</v>
      </c>
    </row>
    <row r="3" spans="1:29" ht="21.75" customHeight="1">
      <c r="A3" s="813" t="s">
        <v>2023</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row>
    <row r="4" spans="1:29" ht="16.8">
      <c r="A4" s="814" t="s">
        <v>2043</v>
      </c>
      <c r="B4" s="814"/>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row>
    <row r="5" spans="1:29">
      <c r="B5" s="714"/>
      <c r="C5" s="703"/>
      <c r="D5" s="703"/>
      <c r="E5" s="703"/>
      <c r="F5" s="703"/>
      <c r="G5" s="703"/>
      <c r="L5" s="704"/>
      <c r="M5" s="703"/>
      <c r="N5" s="701"/>
      <c r="O5" s="703"/>
      <c r="P5" s="703"/>
      <c r="Q5" s="703"/>
      <c r="R5" s="703"/>
      <c r="S5" s="703"/>
      <c r="T5" s="703"/>
      <c r="V5" s="701"/>
      <c r="W5" s="703"/>
      <c r="X5" s="703"/>
      <c r="Y5" s="703"/>
      <c r="Z5" s="705" t="s">
        <v>1</v>
      </c>
    </row>
    <row r="6" spans="1:29" s="446" customFormat="1" ht="21" customHeight="1">
      <c r="A6" s="809" t="s">
        <v>2</v>
      </c>
      <c r="B6" s="809" t="s">
        <v>125</v>
      </c>
      <c r="C6" s="815" t="s">
        <v>39</v>
      </c>
      <c r="D6" s="816"/>
      <c r="E6" s="816"/>
      <c r="F6" s="816"/>
      <c r="G6" s="816"/>
      <c r="H6" s="816"/>
      <c r="I6" s="816"/>
      <c r="J6" s="816"/>
      <c r="K6" s="816"/>
      <c r="L6" s="817"/>
      <c r="M6" s="815" t="s">
        <v>5</v>
      </c>
      <c r="N6" s="816"/>
      <c r="O6" s="816"/>
      <c r="P6" s="816"/>
      <c r="Q6" s="816"/>
      <c r="R6" s="816"/>
      <c r="S6" s="816"/>
      <c r="T6" s="816"/>
      <c r="U6" s="816"/>
      <c r="V6" s="816"/>
      <c r="W6" s="816"/>
      <c r="X6" s="706"/>
      <c r="Y6" s="706"/>
      <c r="Z6" s="809" t="s">
        <v>6</v>
      </c>
      <c r="AA6" s="809"/>
      <c r="AB6" s="809"/>
      <c r="AC6" s="809"/>
    </row>
    <row r="7" spans="1:29" s="446" customFormat="1" ht="25.5" customHeight="1">
      <c r="A7" s="809"/>
      <c r="B7" s="809"/>
      <c r="C7" s="809" t="s">
        <v>126</v>
      </c>
      <c r="D7" s="809" t="s">
        <v>127</v>
      </c>
      <c r="E7" s="809" t="s">
        <v>129</v>
      </c>
      <c r="F7" s="810" t="s">
        <v>162</v>
      </c>
      <c r="G7" s="811"/>
      <c r="H7" s="809" t="s">
        <v>620</v>
      </c>
      <c r="I7" s="809" t="s">
        <v>624</v>
      </c>
      <c r="J7" s="809" t="s">
        <v>132</v>
      </c>
      <c r="K7" s="809"/>
      <c r="L7" s="809"/>
      <c r="M7" s="809" t="s">
        <v>126</v>
      </c>
      <c r="N7" s="809" t="s">
        <v>127</v>
      </c>
      <c r="O7" s="809" t="s">
        <v>129</v>
      </c>
      <c r="P7" s="810" t="s">
        <v>162</v>
      </c>
      <c r="Q7" s="811"/>
      <c r="R7" s="809" t="s">
        <v>620</v>
      </c>
      <c r="S7" s="809" t="s">
        <v>2012</v>
      </c>
      <c r="T7" s="809" t="s">
        <v>132</v>
      </c>
      <c r="U7" s="809"/>
      <c r="V7" s="809"/>
      <c r="W7" s="809" t="s">
        <v>133</v>
      </c>
      <c r="X7" s="815" t="s">
        <v>162</v>
      </c>
      <c r="Y7" s="817"/>
      <c r="Z7" s="809" t="s">
        <v>126</v>
      </c>
      <c r="AA7" s="812" t="s">
        <v>127</v>
      </c>
      <c r="AB7" s="812" t="s">
        <v>129</v>
      </c>
      <c r="AC7" s="812" t="s">
        <v>132</v>
      </c>
    </row>
    <row r="8" spans="1:29" s="709" customFormat="1" ht="129" customHeight="1">
      <c r="A8" s="809"/>
      <c r="B8" s="809"/>
      <c r="C8" s="809"/>
      <c r="D8" s="809"/>
      <c r="E8" s="809"/>
      <c r="F8" s="440" t="s">
        <v>2323</v>
      </c>
      <c r="G8" s="440" t="s">
        <v>2324</v>
      </c>
      <c r="H8" s="809"/>
      <c r="I8" s="809"/>
      <c r="J8" s="707" t="s">
        <v>126</v>
      </c>
      <c r="K8" s="707" t="s">
        <v>134</v>
      </c>
      <c r="L8" s="707" t="s">
        <v>135</v>
      </c>
      <c r="M8" s="809"/>
      <c r="N8" s="809"/>
      <c r="O8" s="809"/>
      <c r="P8" s="440" t="s">
        <v>2323</v>
      </c>
      <c r="Q8" s="440" t="s">
        <v>2324</v>
      </c>
      <c r="R8" s="809"/>
      <c r="S8" s="809"/>
      <c r="T8" s="707" t="s">
        <v>126</v>
      </c>
      <c r="U8" s="707" t="s">
        <v>134</v>
      </c>
      <c r="V8" s="707" t="s">
        <v>135</v>
      </c>
      <c r="W8" s="809"/>
      <c r="X8" s="708" t="s">
        <v>2514</v>
      </c>
      <c r="Y8" s="708" t="s">
        <v>2513</v>
      </c>
      <c r="Z8" s="809"/>
      <c r="AA8" s="812"/>
      <c r="AB8" s="812"/>
      <c r="AC8" s="812"/>
    </row>
    <row r="9" spans="1:29" s="711" customFormat="1" ht="18.75" customHeight="1">
      <c r="A9" s="710" t="s">
        <v>7</v>
      </c>
      <c r="B9" s="710" t="s">
        <v>8</v>
      </c>
      <c r="C9" s="710" t="s">
        <v>2009</v>
      </c>
      <c r="D9" s="710">
        <v>2</v>
      </c>
      <c r="E9" s="710">
        <v>3</v>
      </c>
      <c r="F9" s="710"/>
      <c r="G9" s="710"/>
      <c r="H9" s="710">
        <v>4</v>
      </c>
      <c r="I9" s="710">
        <v>5</v>
      </c>
      <c r="J9" s="710" t="s">
        <v>360</v>
      </c>
      <c r="K9" s="710">
        <v>7</v>
      </c>
      <c r="L9" s="710">
        <v>8</v>
      </c>
      <c r="M9" s="723" t="s">
        <v>2011</v>
      </c>
      <c r="N9" s="710">
        <v>10</v>
      </c>
      <c r="O9" s="710">
        <v>11</v>
      </c>
      <c r="P9" s="710"/>
      <c r="Q9" s="710"/>
      <c r="R9" s="710">
        <v>12</v>
      </c>
      <c r="S9" s="710">
        <v>13</v>
      </c>
      <c r="T9" s="710" t="s">
        <v>2010</v>
      </c>
      <c r="U9" s="710">
        <v>15</v>
      </c>
      <c r="V9" s="710">
        <v>16</v>
      </c>
      <c r="W9" s="710" t="s">
        <v>361</v>
      </c>
      <c r="X9" s="710"/>
      <c r="Y9" s="710"/>
      <c r="Z9" s="710" t="s">
        <v>1882</v>
      </c>
      <c r="AA9" s="710" t="s">
        <v>1883</v>
      </c>
      <c r="AB9" s="710" t="s">
        <v>1884</v>
      </c>
      <c r="AC9" s="710" t="s">
        <v>1885</v>
      </c>
    </row>
    <row r="10" spans="1:29" s="43" customFormat="1" ht="22.5" customHeight="1">
      <c r="A10" s="443"/>
      <c r="B10" s="443" t="s">
        <v>126</v>
      </c>
      <c r="C10" s="443">
        <f>C11+C263+C264+C265+C266+C267+C268</f>
        <v>5977299.5529320007</v>
      </c>
      <c r="D10" s="443">
        <f>D11+D263+D264+D265+D266+D267+D268</f>
        <v>1658876.9533879999</v>
      </c>
      <c r="E10" s="443">
        <f>E11+E263+E264+E265+E266+E267+E268</f>
        <v>1782641.4435439988</v>
      </c>
      <c r="F10" s="443"/>
      <c r="G10" s="443"/>
      <c r="H10" s="443">
        <f t="shared" ref="H10:O10" si="0">H11+H263+H264+H265+H266+H267+H268</f>
        <v>0</v>
      </c>
      <c r="I10" s="443">
        <f t="shared" si="0"/>
        <v>2435185.7000000002</v>
      </c>
      <c r="J10" s="443">
        <f t="shared" si="0"/>
        <v>100595.45600000001</v>
      </c>
      <c r="K10" s="443">
        <f t="shared" si="0"/>
        <v>85132.456000000006</v>
      </c>
      <c r="L10" s="443">
        <f t="shared" si="0"/>
        <v>15463</v>
      </c>
      <c r="M10" s="443">
        <f t="shared" si="0"/>
        <v>8385122.7451800043</v>
      </c>
      <c r="N10" s="443">
        <f t="shared" si="0"/>
        <v>1124052.5189929996</v>
      </c>
      <c r="O10" s="443">
        <f t="shared" si="0"/>
        <v>1555903.0776279992</v>
      </c>
      <c r="P10" s="443"/>
      <c r="Q10" s="443"/>
      <c r="R10" s="443">
        <f t="shared" ref="R10:Y10" si="1">R11+R263+R264+R265+R266+R267+R268</f>
        <v>38500</v>
      </c>
      <c r="S10" s="443">
        <f t="shared" si="1"/>
        <v>2695670</v>
      </c>
      <c r="T10" s="443">
        <f t="shared" si="1"/>
        <v>97844.082342000009</v>
      </c>
      <c r="U10" s="443">
        <f t="shared" si="1"/>
        <v>86872.697607000009</v>
      </c>
      <c r="V10" s="443">
        <f t="shared" si="1"/>
        <v>10971.384734999998</v>
      </c>
      <c r="W10" s="443">
        <f t="shared" si="1"/>
        <v>2873153.0662170006</v>
      </c>
      <c r="X10" s="443">
        <f t="shared" si="1"/>
        <v>931490.54752000002</v>
      </c>
      <c r="Y10" s="443">
        <f t="shared" si="1"/>
        <v>108598.26669699997</v>
      </c>
      <c r="Z10" s="455">
        <f t="shared" ref="Z10:Z12" si="2">M10/C10%</f>
        <v>140.28279277164404</v>
      </c>
      <c r="AA10" s="455">
        <f t="shared" ref="AA10:AA12" si="3">N10/D10%</f>
        <v>67.75984901696873</v>
      </c>
      <c r="AB10" s="455">
        <f t="shared" ref="AB10:AB12" si="4">O10/E10%</f>
        <v>87.280764354651723</v>
      </c>
      <c r="AC10" s="455">
        <f t="shared" ref="AC10:AC12" si="5">T10/J10%</f>
        <v>97.264912584123095</v>
      </c>
    </row>
    <row r="11" spans="1:29" s="43" customFormat="1" ht="16.5" customHeight="1">
      <c r="A11" s="450" t="s">
        <v>45</v>
      </c>
      <c r="B11" s="602" t="s">
        <v>138</v>
      </c>
      <c r="C11" s="450">
        <f>C12+C252</f>
        <v>3542113.8529320005</v>
      </c>
      <c r="D11" s="450">
        <f>D12+D252</f>
        <v>1658876.9533879999</v>
      </c>
      <c r="E11" s="450">
        <f>E12+E252</f>
        <v>1782641.4435439988</v>
      </c>
      <c r="F11" s="450"/>
      <c r="G11" s="450"/>
      <c r="H11" s="450">
        <f t="shared" ref="H11:O11" si="6">H12+H252</f>
        <v>0</v>
      </c>
      <c r="I11" s="450">
        <f t="shared" si="6"/>
        <v>0</v>
      </c>
      <c r="J11" s="450">
        <f t="shared" si="6"/>
        <v>100595.45600000001</v>
      </c>
      <c r="K11" s="450">
        <f t="shared" si="6"/>
        <v>85132.456000000006</v>
      </c>
      <c r="L11" s="450">
        <f t="shared" si="6"/>
        <v>15463</v>
      </c>
      <c r="M11" s="450">
        <f t="shared" si="6"/>
        <v>3817888.4931800039</v>
      </c>
      <c r="N11" s="450">
        <f t="shared" si="6"/>
        <v>1124052.5189929996</v>
      </c>
      <c r="O11" s="450">
        <f t="shared" si="6"/>
        <v>1555903.0776279992</v>
      </c>
      <c r="P11" s="450"/>
      <c r="Q11" s="450"/>
      <c r="R11" s="450">
        <f t="shared" ref="R11:Y11" si="7">R12+R252</f>
        <v>0</v>
      </c>
      <c r="S11" s="450">
        <f t="shared" si="7"/>
        <v>0</v>
      </c>
      <c r="T11" s="450">
        <f t="shared" si="7"/>
        <v>97844.082342000009</v>
      </c>
      <c r="U11" s="450">
        <f t="shared" si="7"/>
        <v>86872.697607000009</v>
      </c>
      <c r="V11" s="450">
        <f t="shared" si="7"/>
        <v>10971.384734999998</v>
      </c>
      <c r="W11" s="450">
        <f t="shared" si="7"/>
        <v>1040088.8142170003</v>
      </c>
      <c r="X11" s="450">
        <f t="shared" si="7"/>
        <v>931490.54752000002</v>
      </c>
      <c r="Y11" s="450">
        <f t="shared" si="7"/>
        <v>108598.26669699997</v>
      </c>
      <c r="Z11" s="455">
        <f t="shared" si="2"/>
        <v>107.78559503443769</v>
      </c>
      <c r="AA11" s="455">
        <f t="shared" si="3"/>
        <v>67.75984901696873</v>
      </c>
      <c r="AB11" s="455">
        <f t="shared" si="4"/>
        <v>87.280764354651723</v>
      </c>
      <c r="AC11" s="455">
        <f t="shared" si="5"/>
        <v>97.264912584123095</v>
      </c>
    </row>
    <row r="12" spans="1:29" s="43" customFormat="1">
      <c r="A12" s="450" t="s">
        <v>420</v>
      </c>
      <c r="B12" s="602" t="s">
        <v>623</v>
      </c>
      <c r="C12" s="450">
        <f t="shared" ref="C12:Y12" si="8">SUM(C13:C251)</f>
        <v>3176687.8359320005</v>
      </c>
      <c r="D12" s="450">
        <f t="shared" si="8"/>
        <v>1378583.3923879999</v>
      </c>
      <c r="E12" s="450">
        <f t="shared" si="8"/>
        <v>1782641.4435439988</v>
      </c>
      <c r="F12" s="450">
        <f t="shared" si="8"/>
        <v>1417689.6889789987</v>
      </c>
      <c r="G12" s="450">
        <f t="shared" si="8"/>
        <v>362827.94956500002</v>
      </c>
      <c r="H12" s="450">
        <f t="shared" si="8"/>
        <v>0</v>
      </c>
      <c r="I12" s="450">
        <f t="shared" si="8"/>
        <v>0</v>
      </c>
      <c r="J12" s="450">
        <f t="shared" si="8"/>
        <v>15463</v>
      </c>
      <c r="K12" s="450">
        <f t="shared" si="8"/>
        <v>0</v>
      </c>
      <c r="L12" s="450">
        <f t="shared" si="8"/>
        <v>15463</v>
      </c>
      <c r="M12" s="450">
        <f t="shared" si="8"/>
        <v>3190097.5868750038</v>
      </c>
      <c r="N12" s="450">
        <f t="shared" si="8"/>
        <v>752169.5375089997</v>
      </c>
      <c r="O12" s="450">
        <f t="shared" si="8"/>
        <v>1555903.0776279992</v>
      </c>
      <c r="P12" s="450">
        <f t="shared" si="8"/>
        <v>0</v>
      </c>
      <c r="Q12" s="450">
        <f t="shared" si="8"/>
        <v>0</v>
      </c>
      <c r="R12" s="450">
        <f t="shared" si="8"/>
        <v>0</v>
      </c>
      <c r="S12" s="450">
        <f t="shared" si="8"/>
        <v>0</v>
      </c>
      <c r="T12" s="450">
        <f t="shared" si="8"/>
        <v>10971.384734999998</v>
      </c>
      <c r="U12" s="450">
        <f t="shared" si="8"/>
        <v>0</v>
      </c>
      <c r="V12" s="450">
        <f t="shared" si="8"/>
        <v>10971.384734999998</v>
      </c>
      <c r="W12" s="450">
        <f t="shared" si="8"/>
        <v>871053.58700300031</v>
      </c>
      <c r="X12" s="450">
        <f t="shared" si="8"/>
        <v>762455.32030600007</v>
      </c>
      <c r="Y12" s="450">
        <f t="shared" si="8"/>
        <v>108598.26669699997</v>
      </c>
      <c r="Z12" s="455">
        <f t="shared" si="2"/>
        <v>100.4221299553366</v>
      </c>
      <c r="AA12" s="455">
        <f t="shared" si="3"/>
        <v>54.561047352099742</v>
      </c>
      <c r="AB12" s="455">
        <f t="shared" si="4"/>
        <v>87.280764354651723</v>
      </c>
      <c r="AC12" s="455">
        <f t="shared" si="5"/>
        <v>70.952497801202853</v>
      </c>
    </row>
    <row r="13" spans="1:29" s="47" customFormat="1">
      <c r="A13" s="452">
        <v>1</v>
      </c>
      <c r="B13" s="716" t="s">
        <v>2330</v>
      </c>
      <c r="C13" s="329">
        <f>D13+E13+H13+I13+J13</f>
        <v>15610</v>
      </c>
      <c r="D13" s="329">
        <v>10000</v>
      </c>
      <c r="E13" s="329">
        <v>5610</v>
      </c>
      <c r="F13" s="329">
        <v>5610</v>
      </c>
      <c r="G13" s="329"/>
      <c r="H13" s="329"/>
      <c r="I13" s="329"/>
      <c r="J13" s="329">
        <f>K13+L13</f>
        <v>0</v>
      </c>
      <c r="K13" s="329"/>
      <c r="L13" s="329"/>
      <c r="M13" s="329">
        <f>N13+O13+R13+S13+T13+W13</f>
        <v>15587.857770999999</v>
      </c>
      <c r="N13" s="329">
        <v>10000</v>
      </c>
      <c r="O13" s="398">
        <v>5587.857771</v>
      </c>
      <c r="P13" s="329"/>
      <c r="Q13" s="329"/>
      <c r="R13" s="329"/>
      <c r="S13" s="329"/>
      <c r="T13" s="329">
        <f>U13+V13</f>
        <v>0</v>
      </c>
      <c r="U13" s="329"/>
      <c r="V13" s="329"/>
      <c r="W13" s="329">
        <f>X13+Y13</f>
        <v>0</v>
      </c>
      <c r="X13" s="329"/>
      <c r="Y13" s="329">
        <v>0</v>
      </c>
      <c r="Z13" s="330">
        <f>M13/C13%</f>
        <v>99.85815356181935</v>
      </c>
      <c r="AA13" s="330">
        <f>N13/D13%</f>
        <v>100</v>
      </c>
      <c r="AB13" s="330">
        <f>O13/E13%</f>
        <v>99.605307860962569</v>
      </c>
      <c r="AC13" s="330"/>
    </row>
    <row r="14" spans="1:29" s="47" customFormat="1">
      <c r="A14" s="452">
        <v>2</v>
      </c>
      <c r="B14" s="716" t="s">
        <v>1623</v>
      </c>
      <c r="C14" s="329">
        <f t="shared" ref="C14:C29" si="9">D14+E14+H14+I14+J14</f>
        <v>73786.396999999997</v>
      </c>
      <c r="D14" s="329">
        <v>57246.796999999999</v>
      </c>
      <c r="E14" s="329">
        <v>16539.599999999999</v>
      </c>
      <c r="F14" s="329">
        <v>16539.599999999999</v>
      </c>
      <c r="G14" s="329"/>
      <c r="H14" s="329"/>
      <c r="I14" s="329"/>
      <c r="J14" s="329">
        <f t="shared" ref="J14:J29" si="10">K14+L14</f>
        <v>0</v>
      </c>
      <c r="K14" s="329"/>
      <c r="L14" s="329"/>
      <c r="M14" s="329">
        <f t="shared" ref="M14:M29" si="11">N14+O14+R14+S14+T14+W14</f>
        <v>75048.008000000002</v>
      </c>
      <c r="N14" s="329">
        <v>36204.741999999998</v>
      </c>
      <c r="O14" s="398">
        <v>16534.64</v>
      </c>
      <c r="P14" s="329"/>
      <c r="Q14" s="329"/>
      <c r="R14" s="329"/>
      <c r="S14" s="329"/>
      <c r="T14" s="329">
        <f t="shared" ref="T14:T29" si="12">U14+V14</f>
        <v>0</v>
      </c>
      <c r="U14" s="329"/>
      <c r="V14" s="329"/>
      <c r="W14" s="329">
        <f t="shared" ref="W14:W29" si="13">X14+Y14</f>
        <v>22308.626</v>
      </c>
      <c r="X14" s="329">
        <v>22303.666000000001</v>
      </c>
      <c r="Y14" s="329">
        <v>4.96</v>
      </c>
      <c r="Z14" s="330">
        <f t="shared" ref="Z14:Z75" si="14">M14/C14%</f>
        <v>101.70981515739277</v>
      </c>
      <c r="AA14" s="330">
        <f t="shared" ref="AA14:AA74" si="15">N14/D14%</f>
        <v>63.243262326100087</v>
      </c>
      <c r="AB14" s="330">
        <f t="shared" ref="AB14:AB75" si="16">O14/E14%</f>
        <v>99.970011366659421</v>
      </c>
      <c r="AC14" s="330"/>
    </row>
    <row r="15" spans="1:29" s="47" customFormat="1">
      <c r="A15" s="452">
        <v>3</v>
      </c>
      <c r="B15" s="716" t="s">
        <v>2331</v>
      </c>
      <c r="C15" s="329">
        <f t="shared" si="9"/>
        <v>49060.757335999995</v>
      </c>
      <c r="D15" s="329">
        <v>21024.821</v>
      </c>
      <c r="E15" s="329">
        <v>28035.936335999999</v>
      </c>
      <c r="F15" s="329">
        <v>28035.936335999999</v>
      </c>
      <c r="G15" s="329"/>
      <c r="H15" s="329"/>
      <c r="I15" s="329"/>
      <c r="J15" s="329">
        <f t="shared" si="10"/>
        <v>0</v>
      </c>
      <c r="K15" s="329"/>
      <c r="L15" s="329"/>
      <c r="M15" s="329">
        <f t="shared" si="11"/>
        <v>51339.799668</v>
      </c>
      <c r="N15" s="329">
        <v>21749.134999999998</v>
      </c>
      <c r="O15" s="398">
        <v>23443.646519999998</v>
      </c>
      <c r="P15" s="329"/>
      <c r="Q15" s="329"/>
      <c r="R15" s="329"/>
      <c r="S15" s="329"/>
      <c r="T15" s="329">
        <f t="shared" si="12"/>
        <v>0</v>
      </c>
      <c r="U15" s="329"/>
      <c r="V15" s="329"/>
      <c r="W15" s="329">
        <f t="shared" si="13"/>
        <v>6147.0181480000001</v>
      </c>
      <c r="X15" s="329">
        <v>2201.2515600000002</v>
      </c>
      <c r="Y15" s="329">
        <v>3945.766588</v>
      </c>
      <c r="Z15" s="330">
        <f t="shared" si="14"/>
        <v>104.6453468224953</v>
      </c>
      <c r="AA15" s="330">
        <f t="shared" si="15"/>
        <v>103.44504240963573</v>
      </c>
      <c r="AB15" s="330">
        <f t="shared" si="16"/>
        <v>83.619987715183981</v>
      </c>
      <c r="AC15" s="330"/>
    </row>
    <row r="16" spans="1:29" s="47" customFormat="1">
      <c r="A16" s="452">
        <v>4</v>
      </c>
      <c r="B16" s="716" t="s">
        <v>2335</v>
      </c>
      <c r="C16" s="329">
        <f t="shared" si="9"/>
        <v>26669.481102999998</v>
      </c>
      <c r="D16" s="319">
        <v>16500</v>
      </c>
      <c r="E16" s="329">
        <v>10169.481103</v>
      </c>
      <c r="F16" s="329">
        <v>10169.481103</v>
      </c>
      <c r="G16" s="329"/>
      <c r="H16" s="329"/>
      <c r="I16" s="329"/>
      <c r="J16" s="329">
        <f t="shared" si="10"/>
        <v>0</v>
      </c>
      <c r="K16" s="329"/>
      <c r="L16" s="329"/>
      <c r="M16" s="329">
        <f t="shared" si="11"/>
        <v>31857.758576</v>
      </c>
      <c r="N16" s="329">
        <v>16843.658767000001</v>
      </c>
      <c r="O16" s="398">
        <v>9508.5479400000004</v>
      </c>
      <c r="P16" s="329"/>
      <c r="Q16" s="329"/>
      <c r="R16" s="329"/>
      <c r="S16" s="329"/>
      <c r="T16" s="329">
        <f t="shared" si="12"/>
        <v>0</v>
      </c>
      <c r="U16" s="329"/>
      <c r="V16" s="329"/>
      <c r="W16" s="329">
        <f t="shared" si="13"/>
        <v>5505.5518689999981</v>
      </c>
      <c r="X16" s="329">
        <v>5195.9895059999981</v>
      </c>
      <c r="Y16" s="329">
        <v>309.562363</v>
      </c>
      <c r="Z16" s="330">
        <f t="shared" si="14"/>
        <v>119.45398732342184</v>
      </c>
      <c r="AA16" s="330">
        <f t="shared" si="15"/>
        <v>102.08278040606061</v>
      </c>
      <c r="AB16" s="330">
        <f t="shared" si="16"/>
        <v>93.500817236338406</v>
      </c>
      <c r="AC16" s="330"/>
    </row>
    <row r="17" spans="1:29" s="47" customFormat="1">
      <c r="A17" s="452">
        <v>5</v>
      </c>
      <c r="B17" s="716" t="s">
        <v>1922</v>
      </c>
      <c r="C17" s="329">
        <f t="shared" si="9"/>
        <v>20702.964500999999</v>
      </c>
      <c r="D17" s="329"/>
      <c r="E17" s="329">
        <v>20702.964500999999</v>
      </c>
      <c r="F17" s="329">
        <v>20702.964500999999</v>
      </c>
      <c r="G17" s="329"/>
      <c r="H17" s="329"/>
      <c r="I17" s="329"/>
      <c r="J17" s="329">
        <f t="shared" si="10"/>
        <v>0</v>
      </c>
      <c r="K17" s="329"/>
      <c r="L17" s="329"/>
      <c r="M17" s="329">
        <f t="shared" si="11"/>
        <v>20648.162917000001</v>
      </c>
      <c r="N17" s="329">
        <v>2461.5</v>
      </c>
      <c r="O17" s="398">
        <v>14995.780761</v>
      </c>
      <c r="P17" s="329"/>
      <c r="Q17" s="329"/>
      <c r="R17" s="329"/>
      <c r="S17" s="329"/>
      <c r="T17" s="329">
        <f t="shared" si="12"/>
        <v>0</v>
      </c>
      <c r="U17" s="329"/>
      <c r="V17" s="329"/>
      <c r="W17" s="329">
        <f t="shared" si="13"/>
        <v>3190.8821560000001</v>
      </c>
      <c r="X17" s="329"/>
      <c r="Y17" s="329">
        <v>3190.8821560000001</v>
      </c>
      <c r="Z17" s="330">
        <f t="shared" si="14"/>
        <v>99.735295957265677</v>
      </c>
      <c r="AA17" s="330"/>
      <c r="AB17" s="330">
        <f t="shared" si="16"/>
        <v>72.433011998236637</v>
      </c>
      <c r="AC17" s="330"/>
    </row>
    <row r="18" spans="1:29" s="47" customFormat="1">
      <c r="A18" s="452">
        <v>6</v>
      </c>
      <c r="B18" s="716" t="s">
        <v>1628</v>
      </c>
      <c r="C18" s="329">
        <f t="shared" si="9"/>
        <v>36551.383000000002</v>
      </c>
      <c r="D18" s="329">
        <v>2731.4279999999999</v>
      </c>
      <c r="E18" s="329">
        <v>32362.955000000002</v>
      </c>
      <c r="F18" s="329">
        <v>32362.955000000002</v>
      </c>
      <c r="G18" s="329"/>
      <c r="H18" s="329"/>
      <c r="I18" s="329"/>
      <c r="J18" s="329">
        <f t="shared" si="10"/>
        <v>1457</v>
      </c>
      <c r="K18" s="329"/>
      <c r="L18" s="329">
        <v>1457</v>
      </c>
      <c r="M18" s="329">
        <f t="shared" si="11"/>
        <v>31289.068158999999</v>
      </c>
      <c r="N18" s="329"/>
      <c r="O18" s="398">
        <f>28477.640159-T18</f>
        <v>27681.800904</v>
      </c>
      <c r="P18" s="329"/>
      <c r="Q18" s="329"/>
      <c r="R18" s="329"/>
      <c r="S18" s="329"/>
      <c r="T18" s="329">
        <f t="shared" si="12"/>
        <v>795.83925499999998</v>
      </c>
      <c r="U18" s="329"/>
      <c r="V18" s="329">
        <f>457.32489+338.514365</f>
        <v>795.83925499999998</v>
      </c>
      <c r="W18" s="329">
        <f t="shared" si="13"/>
        <v>2811.4279999999999</v>
      </c>
      <c r="X18" s="329">
        <v>2731.4279999999999</v>
      </c>
      <c r="Y18" s="329">
        <v>80</v>
      </c>
      <c r="Z18" s="330">
        <f t="shared" si="14"/>
        <v>85.602966538913165</v>
      </c>
      <c r="AA18" s="330">
        <f t="shared" si="15"/>
        <v>0</v>
      </c>
      <c r="AB18" s="330">
        <f t="shared" si="16"/>
        <v>85.535455288307261</v>
      </c>
      <c r="AC18" s="330">
        <f t="shared" ref="AC18:AC26" si="17">T18/J18%</f>
        <v>54.621774536719286</v>
      </c>
    </row>
    <row r="19" spans="1:29" s="47" customFormat="1">
      <c r="A19" s="452">
        <v>7</v>
      </c>
      <c r="B19" s="716" t="s">
        <v>1563</v>
      </c>
      <c r="C19" s="329">
        <f t="shared" si="9"/>
        <v>7648</v>
      </c>
      <c r="D19" s="329"/>
      <c r="E19" s="329">
        <v>7648</v>
      </c>
      <c r="F19" s="329">
        <v>7648</v>
      </c>
      <c r="G19" s="329"/>
      <c r="H19" s="329"/>
      <c r="I19" s="329"/>
      <c r="J19" s="329">
        <f t="shared" si="10"/>
        <v>0</v>
      </c>
      <c r="K19" s="329"/>
      <c r="L19" s="329"/>
      <c r="M19" s="329">
        <f t="shared" si="11"/>
        <v>7476.5436</v>
      </c>
      <c r="N19" s="329"/>
      <c r="O19" s="398">
        <v>7195.7435999999998</v>
      </c>
      <c r="P19" s="329"/>
      <c r="Q19" s="329"/>
      <c r="R19" s="329"/>
      <c r="S19" s="329"/>
      <c r="T19" s="329">
        <f t="shared" si="12"/>
        <v>0</v>
      </c>
      <c r="U19" s="329"/>
      <c r="V19" s="329"/>
      <c r="W19" s="329">
        <f t="shared" si="13"/>
        <v>280.8</v>
      </c>
      <c r="X19" s="329"/>
      <c r="Y19" s="329">
        <v>280.8</v>
      </c>
      <c r="Z19" s="330">
        <f t="shared" si="14"/>
        <v>97.758153765690366</v>
      </c>
      <c r="AA19" s="330"/>
      <c r="AB19" s="330">
        <f t="shared" si="16"/>
        <v>94.086605648535553</v>
      </c>
      <c r="AC19" s="330"/>
    </row>
    <row r="20" spans="1:29" s="47" customFormat="1">
      <c r="A20" s="452">
        <v>8</v>
      </c>
      <c r="B20" s="716" t="s">
        <v>473</v>
      </c>
      <c r="C20" s="329">
        <f t="shared" si="9"/>
        <v>23953.111499999999</v>
      </c>
      <c r="D20" s="329"/>
      <c r="E20" s="329">
        <v>23953.111499999999</v>
      </c>
      <c r="F20" s="329">
        <v>23953.111499999999</v>
      </c>
      <c r="G20" s="329"/>
      <c r="H20" s="329"/>
      <c r="I20" s="329"/>
      <c r="J20" s="329">
        <f t="shared" si="10"/>
        <v>0</v>
      </c>
      <c r="K20" s="329"/>
      <c r="L20" s="329"/>
      <c r="M20" s="329">
        <f t="shared" si="11"/>
        <v>19135.502583999998</v>
      </c>
      <c r="N20" s="329"/>
      <c r="O20" s="398">
        <v>18829.849831</v>
      </c>
      <c r="P20" s="329"/>
      <c r="Q20" s="329"/>
      <c r="R20" s="329"/>
      <c r="S20" s="329"/>
      <c r="T20" s="329">
        <f t="shared" si="12"/>
        <v>0</v>
      </c>
      <c r="U20" s="329"/>
      <c r="V20" s="329"/>
      <c r="W20" s="329">
        <f t="shared" si="13"/>
        <v>305.65275300000002</v>
      </c>
      <c r="X20" s="329"/>
      <c r="Y20" s="329">
        <v>305.65275300000002</v>
      </c>
      <c r="Z20" s="330">
        <f t="shared" si="14"/>
        <v>79.887335655745588</v>
      </c>
      <c r="AA20" s="330"/>
      <c r="AB20" s="330">
        <f t="shared" si="16"/>
        <v>78.611289522866372</v>
      </c>
      <c r="AC20" s="330"/>
    </row>
    <row r="21" spans="1:29" s="47" customFormat="1">
      <c r="A21" s="452">
        <v>9</v>
      </c>
      <c r="B21" s="716" t="s">
        <v>2332</v>
      </c>
      <c r="C21" s="329">
        <f t="shared" si="9"/>
        <v>35499.019</v>
      </c>
      <c r="D21" s="329">
        <v>28000</v>
      </c>
      <c r="E21" s="329">
        <v>7499.0190000000002</v>
      </c>
      <c r="F21" s="329">
        <v>7499.0190000000002</v>
      </c>
      <c r="G21" s="329"/>
      <c r="H21" s="329"/>
      <c r="I21" s="329"/>
      <c r="J21" s="329">
        <f t="shared" si="10"/>
        <v>0</v>
      </c>
      <c r="K21" s="329"/>
      <c r="L21" s="329"/>
      <c r="M21" s="329">
        <f t="shared" si="11"/>
        <v>46065.534090000001</v>
      </c>
      <c r="N21" s="329">
        <v>35242.203163999999</v>
      </c>
      <c r="O21" s="398">
        <v>7170.4374600000001</v>
      </c>
      <c r="P21" s="329"/>
      <c r="Q21" s="329"/>
      <c r="R21" s="329"/>
      <c r="S21" s="329"/>
      <c r="T21" s="329">
        <f t="shared" si="12"/>
        <v>0</v>
      </c>
      <c r="U21" s="329"/>
      <c r="V21" s="329"/>
      <c r="W21" s="329">
        <f t="shared" si="13"/>
        <v>3652.8934660000004</v>
      </c>
      <c r="X21" s="329">
        <v>3532.8934660000004</v>
      </c>
      <c r="Y21" s="329">
        <v>120</v>
      </c>
      <c r="Z21" s="330">
        <f t="shared" si="14"/>
        <v>129.76565377764385</v>
      </c>
      <c r="AA21" s="330">
        <f t="shared" si="15"/>
        <v>125.86501129999999</v>
      </c>
      <c r="AB21" s="330">
        <f t="shared" si="16"/>
        <v>95.618339678829997</v>
      </c>
      <c r="AC21" s="330"/>
    </row>
    <row r="22" spans="1:29" s="47" customFormat="1">
      <c r="A22" s="452">
        <v>10</v>
      </c>
      <c r="B22" s="716" t="s">
        <v>1925</v>
      </c>
      <c r="C22" s="329">
        <f t="shared" si="9"/>
        <v>10278.425999999999</v>
      </c>
      <c r="D22" s="329"/>
      <c r="E22" s="329">
        <v>10278.425999999999</v>
      </c>
      <c r="F22" s="329">
        <v>10278.425999999999</v>
      </c>
      <c r="G22" s="329"/>
      <c r="H22" s="329"/>
      <c r="I22" s="329"/>
      <c r="J22" s="329">
        <f t="shared" si="10"/>
        <v>0</v>
      </c>
      <c r="K22" s="329"/>
      <c r="L22" s="329"/>
      <c r="M22" s="329">
        <f t="shared" si="11"/>
        <v>10278.425999999999</v>
      </c>
      <c r="N22" s="329"/>
      <c r="O22" s="398">
        <v>10278.425999999999</v>
      </c>
      <c r="P22" s="329"/>
      <c r="Q22" s="329"/>
      <c r="R22" s="329"/>
      <c r="S22" s="329"/>
      <c r="T22" s="329">
        <f t="shared" si="12"/>
        <v>0</v>
      </c>
      <c r="U22" s="329"/>
      <c r="V22" s="329"/>
      <c r="W22" s="329">
        <f t="shared" si="13"/>
        <v>0</v>
      </c>
      <c r="X22" s="329"/>
      <c r="Y22" s="329">
        <v>0</v>
      </c>
      <c r="Z22" s="330">
        <f t="shared" si="14"/>
        <v>100</v>
      </c>
      <c r="AA22" s="330"/>
      <c r="AB22" s="330">
        <f t="shared" si="16"/>
        <v>100</v>
      </c>
      <c r="AC22" s="330"/>
    </row>
    <row r="23" spans="1:29" s="47" customFormat="1" ht="21" customHeight="1">
      <c r="A23" s="452">
        <v>11</v>
      </c>
      <c r="B23" s="716" t="s">
        <v>1926</v>
      </c>
      <c r="C23" s="329">
        <f t="shared" si="9"/>
        <v>31443.424369</v>
      </c>
      <c r="D23" s="329"/>
      <c r="E23" s="329">
        <f>31413.424369+30</f>
        <v>31443.424369</v>
      </c>
      <c r="F23" s="329">
        <v>31413.424369</v>
      </c>
      <c r="G23" s="329"/>
      <c r="H23" s="329"/>
      <c r="I23" s="329"/>
      <c r="J23" s="329">
        <f t="shared" si="10"/>
        <v>0</v>
      </c>
      <c r="K23" s="329"/>
      <c r="L23" s="329"/>
      <c r="M23" s="329">
        <f t="shared" si="11"/>
        <v>28928.690859000002</v>
      </c>
      <c r="N23" s="329"/>
      <c r="O23" s="398">
        <f>28670.379859+30</f>
        <v>28700.379859000001</v>
      </c>
      <c r="P23" s="329"/>
      <c r="Q23" s="329"/>
      <c r="R23" s="329"/>
      <c r="S23" s="329"/>
      <c r="T23" s="329">
        <f t="shared" si="12"/>
        <v>0</v>
      </c>
      <c r="U23" s="329"/>
      <c r="V23" s="329"/>
      <c r="W23" s="329">
        <f t="shared" si="13"/>
        <v>228.31100000000001</v>
      </c>
      <c r="X23" s="329"/>
      <c r="Y23" s="329">
        <v>228.31100000000001</v>
      </c>
      <c r="Z23" s="330">
        <f t="shared" si="14"/>
        <v>92.002354831049288</v>
      </c>
      <c r="AA23" s="330"/>
      <c r="AB23" s="330">
        <f t="shared" si="16"/>
        <v>91.276253890767819</v>
      </c>
      <c r="AC23" s="330"/>
    </row>
    <row r="24" spans="1:29" s="47" customFormat="1">
      <c r="A24" s="452">
        <v>12</v>
      </c>
      <c r="B24" s="716" t="s">
        <v>2333</v>
      </c>
      <c r="C24" s="329">
        <f t="shared" si="9"/>
        <v>7950.7640000000001</v>
      </c>
      <c r="D24" s="329"/>
      <c r="E24" s="329">
        <v>7846.7640000000001</v>
      </c>
      <c r="F24" s="329">
        <v>7846.7640000000001</v>
      </c>
      <c r="G24" s="329"/>
      <c r="H24" s="329"/>
      <c r="I24" s="329"/>
      <c r="J24" s="329">
        <f t="shared" si="10"/>
        <v>104</v>
      </c>
      <c r="K24" s="329"/>
      <c r="L24" s="329">
        <v>104</v>
      </c>
      <c r="M24" s="329">
        <f t="shared" si="11"/>
        <v>6310.4779639999997</v>
      </c>
      <c r="N24" s="329"/>
      <c r="O24" s="398">
        <f>5879.28964-T24</f>
        <v>5775.28964</v>
      </c>
      <c r="P24" s="329"/>
      <c r="Q24" s="329"/>
      <c r="R24" s="329"/>
      <c r="S24" s="329"/>
      <c r="T24" s="329">
        <f t="shared" si="12"/>
        <v>104</v>
      </c>
      <c r="U24" s="329"/>
      <c r="V24" s="329">
        <v>104</v>
      </c>
      <c r="W24" s="329">
        <f t="shared" si="13"/>
        <v>431.18832400000002</v>
      </c>
      <c r="X24" s="329">
        <v>394.88400000000001</v>
      </c>
      <c r="Y24" s="329">
        <v>36.304324000000001</v>
      </c>
      <c r="Z24" s="330">
        <f t="shared" si="14"/>
        <v>79.369453853742868</v>
      </c>
      <c r="AA24" s="330"/>
      <c r="AB24" s="330">
        <f t="shared" si="16"/>
        <v>73.600909113616765</v>
      </c>
      <c r="AC24" s="330">
        <f t="shared" si="17"/>
        <v>100</v>
      </c>
    </row>
    <row r="25" spans="1:29" s="47" customFormat="1">
      <c r="A25" s="452">
        <v>13</v>
      </c>
      <c r="B25" s="716" t="s">
        <v>1629</v>
      </c>
      <c r="C25" s="329">
        <f t="shared" si="9"/>
        <v>4707.6080000000002</v>
      </c>
      <c r="D25" s="329"/>
      <c r="E25" s="329">
        <v>4707.6080000000002</v>
      </c>
      <c r="F25" s="329">
        <v>4707.6080000000002</v>
      </c>
      <c r="G25" s="329"/>
      <c r="H25" s="329"/>
      <c r="I25" s="329"/>
      <c r="J25" s="329">
        <f t="shared" si="10"/>
        <v>0</v>
      </c>
      <c r="K25" s="329"/>
      <c r="L25" s="329"/>
      <c r="M25" s="329">
        <f t="shared" si="11"/>
        <v>4787.0411999999997</v>
      </c>
      <c r="N25" s="329">
        <v>79.855000000000004</v>
      </c>
      <c r="O25" s="398">
        <v>4684.7781999999997</v>
      </c>
      <c r="P25" s="329"/>
      <c r="Q25" s="329"/>
      <c r="R25" s="329"/>
      <c r="S25" s="329"/>
      <c r="T25" s="329">
        <f t="shared" si="12"/>
        <v>0</v>
      </c>
      <c r="U25" s="329"/>
      <c r="V25" s="329"/>
      <c r="W25" s="329">
        <f t="shared" si="13"/>
        <v>22.408000000000001</v>
      </c>
      <c r="X25" s="329">
        <v>22.408000000000001</v>
      </c>
      <c r="Y25" s="329">
        <v>0</v>
      </c>
      <c r="Z25" s="330">
        <f t="shared" si="14"/>
        <v>101.68733675361243</v>
      </c>
      <c r="AA25" s="330"/>
      <c r="AB25" s="330">
        <f t="shared" si="16"/>
        <v>99.515044583151337</v>
      </c>
      <c r="AC25" s="330"/>
    </row>
    <row r="26" spans="1:29" s="47" customFormat="1">
      <c r="A26" s="452">
        <v>14</v>
      </c>
      <c r="B26" s="716" t="s">
        <v>2334</v>
      </c>
      <c r="C26" s="329">
        <f t="shared" si="9"/>
        <v>19910.383999999998</v>
      </c>
      <c r="D26" s="329">
        <v>520.28399999999999</v>
      </c>
      <c r="E26" s="329">
        <v>19290.099999999999</v>
      </c>
      <c r="F26" s="329">
        <v>19290.099999999999</v>
      </c>
      <c r="G26" s="329"/>
      <c r="H26" s="329"/>
      <c r="I26" s="329"/>
      <c r="J26" s="329">
        <f t="shared" si="10"/>
        <v>100</v>
      </c>
      <c r="K26" s="329"/>
      <c r="L26" s="329">
        <v>100</v>
      </c>
      <c r="M26" s="329">
        <f t="shared" si="11"/>
        <v>19288.895669000001</v>
      </c>
      <c r="N26" s="329">
        <v>218.25399999999999</v>
      </c>
      <c r="O26" s="398">
        <f>18816.438644-T26</f>
        <v>18716.438644000002</v>
      </c>
      <c r="P26" s="329"/>
      <c r="Q26" s="329"/>
      <c r="R26" s="329"/>
      <c r="S26" s="329"/>
      <c r="T26" s="329">
        <f t="shared" si="12"/>
        <v>100</v>
      </c>
      <c r="U26" s="329"/>
      <c r="V26" s="329">
        <v>100</v>
      </c>
      <c r="W26" s="329">
        <f t="shared" si="13"/>
        <v>254.203025</v>
      </c>
      <c r="X26" s="329"/>
      <c r="Y26" s="329">
        <v>254.203025</v>
      </c>
      <c r="Z26" s="330">
        <f t="shared" si="14"/>
        <v>96.878571849744347</v>
      </c>
      <c r="AA26" s="330">
        <f t="shared" si="15"/>
        <v>41.949012462424363</v>
      </c>
      <c r="AB26" s="330">
        <f t="shared" si="16"/>
        <v>97.02613591427729</v>
      </c>
      <c r="AC26" s="330">
        <f t="shared" si="17"/>
        <v>100</v>
      </c>
    </row>
    <row r="27" spans="1:29" s="47" customFormat="1">
      <c r="A27" s="452">
        <v>15</v>
      </c>
      <c r="B27" s="716" t="s">
        <v>1613</v>
      </c>
      <c r="C27" s="329">
        <f t="shared" si="9"/>
        <v>5937.4</v>
      </c>
      <c r="D27" s="329"/>
      <c r="E27" s="329">
        <v>5937.4</v>
      </c>
      <c r="F27" s="329">
        <v>5937.4</v>
      </c>
      <c r="G27" s="329"/>
      <c r="H27" s="329"/>
      <c r="I27" s="329"/>
      <c r="J27" s="329">
        <f t="shared" si="10"/>
        <v>0</v>
      </c>
      <c r="K27" s="329"/>
      <c r="L27" s="329"/>
      <c r="M27" s="329">
        <f t="shared" si="11"/>
        <v>5468.1832969999996</v>
      </c>
      <c r="N27" s="329"/>
      <c r="O27" s="398">
        <v>5468.1832969999996</v>
      </c>
      <c r="P27" s="329"/>
      <c r="Q27" s="329"/>
      <c r="R27" s="329"/>
      <c r="S27" s="329"/>
      <c r="T27" s="329">
        <f t="shared" si="12"/>
        <v>0</v>
      </c>
      <c r="U27" s="329"/>
      <c r="V27" s="329"/>
      <c r="W27" s="329">
        <f t="shared" si="13"/>
        <v>0</v>
      </c>
      <c r="X27" s="329"/>
      <c r="Y27" s="329">
        <v>0</v>
      </c>
      <c r="Z27" s="330">
        <f t="shared" si="14"/>
        <v>92.097269798228183</v>
      </c>
      <c r="AA27" s="330"/>
      <c r="AB27" s="330">
        <f t="shared" si="16"/>
        <v>92.097269798228183</v>
      </c>
      <c r="AC27" s="330"/>
    </row>
    <row r="28" spans="1:29" s="47" customFormat="1">
      <c r="A28" s="452">
        <v>16</v>
      </c>
      <c r="B28" s="716" t="s">
        <v>465</v>
      </c>
      <c r="C28" s="329">
        <f t="shared" si="9"/>
        <v>137032.23200000002</v>
      </c>
      <c r="D28" s="329">
        <v>85194.182000000001</v>
      </c>
      <c r="E28" s="329">
        <f>50838.05+1000</f>
        <v>51838.05</v>
      </c>
      <c r="F28" s="329">
        <v>50838.05</v>
      </c>
      <c r="G28" s="329"/>
      <c r="H28" s="329"/>
      <c r="I28" s="329"/>
      <c r="J28" s="329">
        <f t="shared" si="10"/>
        <v>0</v>
      </c>
      <c r="K28" s="329"/>
      <c r="L28" s="329"/>
      <c r="M28" s="329">
        <f t="shared" si="11"/>
        <v>140637.12126699998</v>
      </c>
      <c r="N28" s="329">
        <v>70821.580761999998</v>
      </c>
      <c r="O28" s="398">
        <f>19500.225312+1000</f>
        <v>20500.225311999999</v>
      </c>
      <c r="P28" s="329"/>
      <c r="Q28" s="329"/>
      <c r="R28" s="329"/>
      <c r="S28" s="329"/>
      <c r="T28" s="329">
        <f t="shared" si="12"/>
        <v>0</v>
      </c>
      <c r="U28" s="329"/>
      <c r="V28" s="329"/>
      <c r="W28" s="329">
        <f t="shared" si="13"/>
        <v>49315.315193000002</v>
      </c>
      <c r="X28" s="329">
        <v>19263.102192999999</v>
      </c>
      <c r="Y28" s="329">
        <v>30052.213</v>
      </c>
      <c r="Z28" s="330">
        <f t="shared" si="14"/>
        <v>102.63068711235759</v>
      </c>
      <c r="AA28" s="330">
        <f t="shared" si="15"/>
        <v>83.129597701871234</v>
      </c>
      <c r="AB28" s="330">
        <f t="shared" si="16"/>
        <v>39.546675293534378</v>
      </c>
      <c r="AC28" s="330"/>
    </row>
    <row r="29" spans="1:29" s="47" customFormat="1">
      <c r="A29" s="452">
        <v>17</v>
      </c>
      <c r="B29" s="716" t="s">
        <v>2363</v>
      </c>
      <c r="C29" s="329">
        <f t="shared" si="9"/>
        <v>21086.098999999998</v>
      </c>
      <c r="D29" s="329"/>
      <c r="E29" s="329">
        <v>17490.098999999998</v>
      </c>
      <c r="F29" s="329">
        <v>17490.098999999998</v>
      </c>
      <c r="G29" s="329"/>
      <c r="H29" s="329"/>
      <c r="I29" s="329"/>
      <c r="J29" s="329">
        <f t="shared" si="10"/>
        <v>3596</v>
      </c>
      <c r="K29" s="329"/>
      <c r="L29" s="329">
        <v>3596</v>
      </c>
      <c r="M29" s="329">
        <f t="shared" si="11"/>
        <v>24190.098999999998</v>
      </c>
      <c r="N29" s="329">
        <v>6607.8449999999993</v>
      </c>
      <c r="O29" s="398">
        <f>11309.099-T29</f>
        <v>7690.0990000000002</v>
      </c>
      <c r="P29" s="329"/>
      <c r="Q29" s="329"/>
      <c r="R29" s="329"/>
      <c r="S29" s="329"/>
      <c r="T29" s="329">
        <f t="shared" si="12"/>
        <v>3619</v>
      </c>
      <c r="U29" s="329"/>
      <c r="V29" s="329">
        <v>3619</v>
      </c>
      <c r="W29" s="329">
        <f t="shared" si="13"/>
        <v>6273.1549999999997</v>
      </c>
      <c r="X29" s="329">
        <v>92.154999999999973</v>
      </c>
      <c r="Y29" s="329">
        <v>6181</v>
      </c>
      <c r="Z29" s="330">
        <f t="shared" si="14"/>
        <v>114.72059862756026</v>
      </c>
      <c r="AA29" s="330"/>
      <c r="AB29" s="330">
        <f t="shared" si="16"/>
        <v>43.968298864403231</v>
      </c>
      <c r="AC29" s="330"/>
    </row>
    <row r="30" spans="1:29" s="47" customFormat="1">
      <c r="A30" s="452">
        <v>18</v>
      </c>
      <c r="B30" s="716" t="s">
        <v>2341</v>
      </c>
      <c r="C30" s="329">
        <f t="shared" ref="C30:C91" si="18">D30+E30+H30+I30+J30</f>
        <v>19264.305</v>
      </c>
      <c r="D30" s="329">
        <v>20</v>
      </c>
      <c r="E30" s="329">
        <v>19244.305</v>
      </c>
      <c r="F30" s="329">
        <v>19244.305</v>
      </c>
      <c r="G30" s="329"/>
      <c r="H30" s="329"/>
      <c r="I30" s="329"/>
      <c r="J30" s="329">
        <f t="shared" ref="J30:J91" si="19">K30+L30</f>
        <v>0</v>
      </c>
      <c r="K30" s="329"/>
      <c r="L30" s="329"/>
      <c r="M30" s="329">
        <f t="shared" ref="M30:M91" si="20">N30+O30+R30+S30+T30+W30</f>
        <v>19042.780139000002</v>
      </c>
      <c r="N30" s="329">
        <v>20</v>
      </c>
      <c r="O30" s="398">
        <v>17731.562688000002</v>
      </c>
      <c r="P30" s="329"/>
      <c r="Q30" s="329"/>
      <c r="R30" s="329"/>
      <c r="S30" s="329"/>
      <c r="T30" s="329">
        <f t="shared" ref="T30:T38" si="21">U30+V30</f>
        <v>0</v>
      </c>
      <c r="U30" s="329"/>
      <c r="V30" s="329"/>
      <c r="W30" s="329">
        <f t="shared" ref="W30:W91" si="22">X30+Y30</f>
        <v>1291.217451</v>
      </c>
      <c r="X30" s="329"/>
      <c r="Y30" s="329">
        <v>1291.217451</v>
      </c>
      <c r="Z30" s="330">
        <f t="shared" si="14"/>
        <v>98.8500760292157</v>
      </c>
      <c r="AA30" s="330">
        <f t="shared" si="15"/>
        <v>100</v>
      </c>
      <c r="AB30" s="330">
        <f t="shared" si="16"/>
        <v>92.139272829026567</v>
      </c>
      <c r="AC30" s="330"/>
    </row>
    <row r="31" spans="1:29" s="47" customFormat="1">
      <c r="A31" s="452">
        <v>19</v>
      </c>
      <c r="B31" s="716" t="s">
        <v>2536</v>
      </c>
      <c r="C31" s="329">
        <f t="shared" si="18"/>
        <v>6933.3577130000003</v>
      </c>
      <c r="D31" s="329"/>
      <c r="E31" s="329">
        <v>6933.3577130000003</v>
      </c>
      <c r="F31" s="329">
        <v>6933.3577130000003</v>
      </c>
      <c r="G31" s="329"/>
      <c r="H31" s="329"/>
      <c r="I31" s="329"/>
      <c r="J31" s="329">
        <f t="shared" si="19"/>
        <v>0</v>
      </c>
      <c r="K31" s="329"/>
      <c r="L31" s="329"/>
      <c r="M31" s="329">
        <f t="shared" si="20"/>
        <v>6931.8441130000001</v>
      </c>
      <c r="N31" s="329"/>
      <c r="O31" s="398">
        <v>6814.3828089999997</v>
      </c>
      <c r="P31" s="329"/>
      <c r="Q31" s="329"/>
      <c r="R31" s="329"/>
      <c r="S31" s="329"/>
      <c r="T31" s="329">
        <f t="shared" si="21"/>
        <v>0</v>
      </c>
      <c r="U31" s="329"/>
      <c r="V31" s="329"/>
      <c r="W31" s="329">
        <f t="shared" si="22"/>
        <v>117.461304</v>
      </c>
      <c r="X31" s="329"/>
      <c r="Y31" s="329">
        <v>117.461304</v>
      </c>
      <c r="Z31" s="330">
        <f t="shared" si="14"/>
        <v>99.97816930753244</v>
      </c>
      <c r="AA31" s="330"/>
      <c r="AB31" s="330">
        <f t="shared" si="16"/>
        <v>98.284021841582984</v>
      </c>
      <c r="AC31" s="330"/>
    </row>
    <row r="32" spans="1:29" s="47" customFormat="1">
      <c r="A32" s="452">
        <v>20</v>
      </c>
      <c r="B32" s="307" t="s">
        <v>2507</v>
      </c>
      <c r="C32" s="329">
        <f t="shared" si="18"/>
        <v>64147.353999999999</v>
      </c>
      <c r="D32" s="329">
        <v>4987.3540000000003</v>
      </c>
      <c r="E32" s="329">
        <v>59160</v>
      </c>
      <c r="F32" s="329"/>
      <c r="G32" s="329">
        <v>59160</v>
      </c>
      <c r="H32" s="329"/>
      <c r="I32" s="329"/>
      <c r="J32" s="329">
        <f t="shared" si="19"/>
        <v>0</v>
      </c>
      <c r="K32" s="329"/>
      <c r="L32" s="329"/>
      <c r="M32" s="329">
        <f t="shared" si="20"/>
        <v>62385.353999999999</v>
      </c>
      <c r="N32" s="329">
        <v>4987.3540000000003</v>
      </c>
      <c r="O32" s="329">
        <v>57398</v>
      </c>
      <c r="P32" s="329"/>
      <c r="Q32" s="329"/>
      <c r="R32" s="329"/>
      <c r="S32" s="329"/>
      <c r="T32" s="329">
        <f t="shared" si="21"/>
        <v>0</v>
      </c>
      <c r="U32" s="329"/>
      <c r="V32" s="329"/>
      <c r="W32" s="329">
        <f t="shared" si="22"/>
        <v>0</v>
      </c>
      <c r="X32" s="329"/>
      <c r="Y32" s="329"/>
      <c r="Z32" s="330">
        <f t="shared" si="14"/>
        <v>97.253199251211527</v>
      </c>
      <c r="AA32" s="330">
        <f t="shared" si="15"/>
        <v>100</v>
      </c>
      <c r="AB32" s="330">
        <f t="shared" si="16"/>
        <v>97.021636240703174</v>
      </c>
      <c r="AC32" s="330"/>
    </row>
    <row r="33" spans="1:29" s="47" customFormat="1">
      <c r="A33" s="452">
        <v>21</v>
      </c>
      <c r="B33" s="716" t="s">
        <v>1492</v>
      </c>
      <c r="C33" s="329">
        <f t="shared" si="18"/>
        <v>959</v>
      </c>
      <c r="D33" s="329"/>
      <c r="E33" s="329">
        <v>959</v>
      </c>
      <c r="F33" s="329">
        <v>959</v>
      </c>
      <c r="G33" s="329"/>
      <c r="H33" s="329"/>
      <c r="I33" s="329"/>
      <c r="J33" s="329">
        <f t="shared" si="19"/>
        <v>0</v>
      </c>
      <c r="K33" s="329"/>
      <c r="L33" s="329"/>
      <c r="M33" s="329">
        <f t="shared" si="20"/>
        <v>958.82825400000002</v>
      </c>
      <c r="N33" s="329"/>
      <c r="O33" s="398">
        <v>958.82825400000002</v>
      </c>
      <c r="P33" s="329"/>
      <c r="Q33" s="329"/>
      <c r="R33" s="329"/>
      <c r="S33" s="329"/>
      <c r="T33" s="329">
        <f t="shared" si="21"/>
        <v>0</v>
      </c>
      <c r="U33" s="329"/>
      <c r="V33" s="329"/>
      <c r="W33" s="329">
        <f t="shared" si="22"/>
        <v>0</v>
      </c>
      <c r="X33" s="329"/>
      <c r="Y33" s="329">
        <v>0</v>
      </c>
      <c r="Z33" s="330">
        <f t="shared" si="14"/>
        <v>99.98209113660063</v>
      </c>
      <c r="AA33" s="330"/>
      <c r="AB33" s="330">
        <f t="shared" si="16"/>
        <v>99.98209113660063</v>
      </c>
      <c r="AC33" s="330"/>
    </row>
    <row r="34" spans="1:29" s="47" customFormat="1">
      <c r="A34" s="452">
        <v>22</v>
      </c>
      <c r="B34" s="716" t="s">
        <v>2561</v>
      </c>
      <c r="C34" s="329">
        <f t="shared" si="18"/>
        <v>4453.6000000000004</v>
      </c>
      <c r="D34" s="329"/>
      <c r="E34" s="329">
        <v>4453.6000000000004</v>
      </c>
      <c r="F34" s="329">
        <v>4453.6000000000004</v>
      </c>
      <c r="G34" s="329"/>
      <c r="H34" s="329"/>
      <c r="I34" s="329"/>
      <c r="J34" s="329">
        <f t="shared" si="19"/>
        <v>0</v>
      </c>
      <c r="K34" s="329"/>
      <c r="L34" s="329"/>
      <c r="M34" s="329">
        <f t="shared" si="20"/>
        <v>4333.6000000000004</v>
      </c>
      <c r="N34" s="329"/>
      <c r="O34" s="398">
        <v>4333.6000000000004</v>
      </c>
      <c r="P34" s="329"/>
      <c r="Q34" s="329"/>
      <c r="R34" s="329"/>
      <c r="S34" s="329"/>
      <c r="T34" s="329">
        <f t="shared" si="21"/>
        <v>0</v>
      </c>
      <c r="U34" s="329"/>
      <c r="V34" s="329"/>
      <c r="W34" s="329">
        <f t="shared" si="22"/>
        <v>0</v>
      </c>
      <c r="X34" s="329"/>
      <c r="Y34" s="329">
        <v>0</v>
      </c>
      <c r="Z34" s="330">
        <f t="shared" si="14"/>
        <v>97.30555056583438</v>
      </c>
      <c r="AA34" s="330"/>
      <c r="AB34" s="330">
        <f t="shared" si="16"/>
        <v>97.30555056583438</v>
      </c>
      <c r="AC34" s="330"/>
    </row>
    <row r="35" spans="1:29" s="47" customFormat="1">
      <c r="A35" s="452">
        <v>23</v>
      </c>
      <c r="B35" s="716" t="s">
        <v>2612</v>
      </c>
      <c r="C35" s="329">
        <f t="shared" si="18"/>
        <v>45768</v>
      </c>
      <c r="D35" s="329"/>
      <c r="E35" s="329">
        <v>45768</v>
      </c>
      <c r="F35" s="329">
        <v>45768</v>
      </c>
      <c r="G35" s="329"/>
      <c r="H35" s="329"/>
      <c r="I35" s="329"/>
      <c r="J35" s="329">
        <f t="shared" si="19"/>
        <v>0</v>
      </c>
      <c r="K35" s="329"/>
      <c r="L35" s="329"/>
      <c r="M35" s="329">
        <f t="shared" si="20"/>
        <v>45768</v>
      </c>
      <c r="N35" s="329"/>
      <c r="O35" s="398">
        <v>45768</v>
      </c>
      <c r="P35" s="329"/>
      <c r="Q35" s="329"/>
      <c r="R35" s="329"/>
      <c r="S35" s="329"/>
      <c r="T35" s="329">
        <f t="shared" si="21"/>
        <v>0</v>
      </c>
      <c r="U35" s="329"/>
      <c r="V35" s="329"/>
      <c r="W35" s="329">
        <f t="shared" si="22"/>
        <v>0</v>
      </c>
      <c r="X35" s="329"/>
      <c r="Y35" s="329">
        <v>0</v>
      </c>
      <c r="Z35" s="330">
        <f t="shared" si="14"/>
        <v>100</v>
      </c>
      <c r="AA35" s="330"/>
      <c r="AB35" s="330">
        <f t="shared" si="16"/>
        <v>100</v>
      </c>
      <c r="AC35" s="330"/>
    </row>
    <row r="36" spans="1:29" s="47" customFormat="1" ht="31.2">
      <c r="A36" s="452">
        <v>24</v>
      </c>
      <c r="B36" s="716" t="s">
        <v>2539</v>
      </c>
      <c r="C36" s="329">
        <f t="shared" si="18"/>
        <v>741.1</v>
      </c>
      <c r="D36" s="329"/>
      <c r="E36" s="329">
        <v>741.1</v>
      </c>
      <c r="F36" s="329">
        <v>741.1</v>
      </c>
      <c r="G36" s="329"/>
      <c r="H36" s="329"/>
      <c r="I36" s="329"/>
      <c r="J36" s="329">
        <f t="shared" si="19"/>
        <v>0</v>
      </c>
      <c r="K36" s="329"/>
      <c r="L36" s="329"/>
      <c r="M36" s="329">
        <f t="shared" si="20"/>
        <v>741.1</v>
      </c>
      <c r="N36" s="329"/>
      <c r="O36" s="398">
        <v>741.1</v>
      </c>
      <c r="P36" s="329"/>
      <c r="Q36" s="329"/>
      <c r="R36" s="329"/>
      <c r="S36" s="329"/>
      <c r="T36" s="329">
        <f t="shared" si="21"/>
        <v>0</v>
      </c>
      <c r="U36" s="329"/>
      <c r="V36" s="329"/>
      <c r="W36" s="329">
        <f t="shared" si="22"/>
        <v>0</v>
      </c>
      <c r="X36" s="329"/>
      <c r="Y36" s="329">
        <v>0</v>
      </c>
      <c r="Z36" s="330">
        <f t="shared" si="14"/>
        <v>100</v>
      </c>
      <c r="AA36" s="330"/>
      <c r="AB36" s="330">
        <f t="shared" si="16"/>
        <v>100</v>
      </c>
      <c r="AC36" s="330"/>
    </row>
    <row r="37" spans="1:29" s="47" customFormat="1">
      <c r="A37" s="452">
        <v>25</v>
      </c>
      <c r="B37" s="716" t="s">
        <v>2473</v>
      </c>
      <c r="C37" s="329">
        <f t="shared" si="18"/>
        <v>738</v>
      </c>
      <c r="D37" s="329"/>
      <c r="E37" s="329">
        <v>738</v>
      </c>
      <c r="F37" s="329">
        <v>738</v>
      </c>
      <c r="G37" s="329"/>
      <c r="H37" s="329"/>
      <c r="I37" s="329"/>
      <c r="J37" s="329">
        <f t="shared" si="19"/>
        <v>0</v>
      </c>
      <c r="K37" s="329"/>
      <c r="L37" s="329"/>
      <c r="M37" s="329">
        <f t="shared" si="20"/>
        <v>738</v>
      </c>
      <c r="N37" s="329"/>
      <c r="O37" s="398">
        <v>738</v>
      </c>
      <c r="P37" s="329"/>
      <c r="Q37" s="329"/>
      <c r="R37" s="329"/>
      <c r="S37" s="329"/>
      <c r="T37" s="329">
        <f t="shared" si="21"/>
        <v>0</v>
      </c>
      <c r="U37" s="329"/>
      <c r="V37" s="329"/>
      <c r="W37" s="329">
        <f t="shared" si="22"/>
        <v>0</v>
      </c>
      <c r="X37" s="329"/>
      <c r="Y37" s="329">
        <v>0</v>
      </c>
      <c r="Z37" s="330">
        <f t="shared" si="14"/>
        <v>100</v>
      </c>
      <c r="AA37" s="330"/>
      <c r="AB37" s="330">
        <f t="shared" si="16"/>
        <v>100</v>
      </c>
      <c r="AC37" s="330"/>
    </row>
    <row r="38" spans="1:29" s="47" customFormat="1">
      <c r="A38" s="452">
        <v>26</v>
      </c>
      <c r="B38" s="716" t="s">
        <v>1646</v>
      </c>
      <c r="C38" s="329">
        <f t="shared" si="18"/>
        <v>333.15</v>
      </c>
      <c r="D38" s="329"/>
      <c r="E38" s="329">
        <v>333.15</v>
      </c>
      <c r="F38" s="329">
        <v>333.15</v>
      </c>
      <c r="G38" s="329"/>
      <c r="H38" s="329"/>
      <c r="I38" s="329"/>
      <c r="J38" s="329">
        <f t="shared" si="19"/>
        <v>0</v>
      </c>
      <c r="K38" s="329"/>
      <c r="L38" s="329"/>
      <c r="M38" s="329">
        <f t="shared" si="20"/>
        <v>333.15</v>
      </c>
      <c r="N38" s="329"/>
      <c r="O38" s="398">
        <v>333.15</v>
      </c>
      <c r="P38" s="329"/>
      <c r="Q38" s="329"/>
      <c r="R38" s="329"/>
      <c r="S38" s="329"/>
      <c r="T38" s="329">
        <f t="shared" si="21"/>
        <v>0</v>
      </c>
      <c r="U38" s="329"/>
      <c r="V38" s="329"/>
      <c r="W38" s="329">
        <f t="shared" si="22"/>
        <v>0</v>
      </c>
      <c r="X38" s="329"/>
      <c r="Y38" s="329">
        <v>0</v>
      </c>
      <c r="Z38" s="330">
        <f t="shared" si="14"/>
        <v>100</v>
      </c>
      <c r="AA38" s="330"/>
      <c r="AB38" s="330">
        <f t="shared" si="16"/>
        <v>100</v>
      </c>
      <c r="AC38" s="330"/>
    </row>
    <row r="39" spans="1:29" s="47" customFormat="1" ht="31.2">
      <c r="A39" s="452">
        <v>27</v>
      </c>
      <c r="B39" s="720" t="s">
        <v>2519</v>
      </c>
      <c r="C39" s="329">
        <f t="shared" si="18"/>
        <v>134</v>
      </c>
      <c r="D39" s="329">
        <f>M39</f>
        <v>134</v>
      </c>
      <c r="E39" s="329"/>
      <c r="F39" s="329"/>
      <c r="G39" s="329"/>
      <c r="H39" s="329"/>
      <c r="I39" s="329"/>
      <c r="J39" s="329">
        <f t="shared" si="19"/>
        <v>0</v>
      </c>
      <c r="K39" s="329"/>
      <c r="L39" s="329"/>
      <c r="M39" s="329">
        <f t="shared" si="20"/>
        <v>134</v>
      </c>
      <c r="N39" s="329">
        <v>114.04600000000001</v>
      </c>
      <c r="O39" s="329"/>
      <c r="P39" s="329"/>
      <c r="Q39" s="329"/>
      <c r="R39" s="329"/>
      <c r="S39" s="329"/>
      <c r="T39" s="329"/>
      <c r="U39" s="329"/>
      <c r="V39" s="329"/>
      <c r="W39" s="329">
        <f t="shared" si="22"/>
        <v>19.953999999999994</v>
      </c>
      <c r="X39" s="329">
        <v>19.953999999999994</v>
      </c>
      <c r="Y39" s="329"/>
      <c r="Z39" s="330">
        <f t="shared" si="14"/>
        <v>100</v>
      </c>
      <c r="AA39" s="330">
        <f t="shared" si="15"/>
        <v>85.108955223880599</v>
      </c>
      <c r="AB39" s="330"/>
      <c r="AC39" s="330"/>
    </row>
    <row r="40" spans="1:29" s="47" customFormat="1">
      <c r="A40" s="452">
        <v>28</v>
      </c>
      <c r="B40" s="717" t="s">
        <v>581</v>
      </c>
      <c r="C40" s="329">
        <f t="shared" si="18"/>
        <v>781244.34317500005</v>
      </c>
      <c r="D40" s="329">
        <v>781244.34317500005</v>
      </c>
      <c r="E40" s="329"/>
      <c r="F40" s="329"/>
      <c r="G40" s="329"/>
      <c r="H40" s="329"/>
      <c r="I40" s="329"/>
      <c r="J40" s="329">
        <f t="shared" si="19"/>
        <v>0</v>
      </c>
      <c r="K40" s="329"/>
      <c r="L40" s="329"/>
      <c r="M40" s="329">
        <f t="shared" si="20"/>
        <v>893459.72785999998</v>
      </c>
      <c r="N40" s="329">
        <v>242613.55453699999</v>
      </c>
      <c r="O40" s="329"/>
      <c r="P40" s="329"/>
      <c r="Q40" s="329"/>
      <c r="R40" s="329"/>
      <c r="S40" s="329"/>
      <c r="T40" s="329"/>
      <c r="U40" s="329"/>
      <c r="V40" s="329"/>
      <c r="W40" s="329">
        <f t="shared" si="22"/>
        <v>650846.17332299997</v>
      </c>
      <c r="X40" s="329">
        <v>650846.17332299997</v>
      </c>
      <c r="Y40" s="329"/>
      <c r="Z40" s="330">
        <f t="shared" si="14"/>
        <v>114.36367324324593</v>
      </c>
      <c r="AA40" s="330">
        <f t="shared" si="15"/>
        <v>31.054759840053542</v>
      </c>
      <c r="AB40" s="330"/>
      <c r="AC40" s="330"/>
    </row>
    <row r="41" spans="1:29" s="47" customFormat="1">
      <c r="A41" s="452">
        <v>29</v>
      </c>
      <c r="B41" s="716" t="s">
        <v>2436</v>
      </c>
      <c r="C41" s="329">
        <f t="shared" si="18"/>
        <v>852.07957199999998</v>
      </c>
      <c r="D41" s="329"/>
      <c r="E41" s="329">
        <v>852.07957199999998</v>
      </c>
      <c r="F41" s="329">
        <v>852.07957199999998</v>
      </c>
      <c r="G41" s="329"/>
      <c r="H41" s="329"/>
      <c r="I41" s="329"/>
      <c r="J41" s="329">
        <f t="shared" si="19"/>
        <v>0</v>
      </c>
      <c r="K41" s="329"/>
      <c r="L41" s="329"/>
      <c r="M41" s="329">
        <f t="shared" si="20"/>
        <v>852.07957199999998</v>
      </c>
      <c r="N41" s="329"/>
      <c r="O41" s="398">
        <v>852.07957199999998</v>
      </c>
      <c r="P41" s="329"/>
      <c r="Q41" s="329"/>
      <c r="R41" s="329"/>
      <c r="S41" s="329"/>
      <c r="T41" s="329">
        <f>U41+V41</f>
        <v>0</v>
      </c>
      <c r="U41" s="329"/>
      <c r="V41" s="329"/>
      <c r="W41" s="329">
        <f t="shared" si="22"/>
        <v>0</v>
      </c>
      <c r="X41" s="329"/>
      <c r="Y41" s="329">
        <v>0</v>
      </c>
      <c r="Z41" s="330">
        <f t="shared" si="14"/>
        <v>99.999999999999986</v>
      </c>
      <c r="AA41" s="330"/>
      <c r="AB41" s="330">
        <f t="shared" si="16"/>
        <v>99.999999999999986</v>
      </c>
      <c r="AC41" s="330"/>
    </row>
    <row r="42" spans="1:29" s="47" customFormat="1" ht="31.2">
      <c r="A42" s="452">
        <v>30</v>
      </c>
      <c r="B42" s="716" t="s">
        <v>2469</v>
      </c>
      <c r="C42" s="329">
        <f t="shared" si="18"/>
        <v>1530</v>
      </c>
      <c r="D42" s="329"/>
      <c r="E42" s="329">
        <v>1530</v>
      </c>
      <c r="F42" s="329">
        <v>1530</v>
      </c>
      <c r="G42" s="329"/>
      <c r="H42" s="329"/>
      <c r="I42" s="329"/>
      <c r="J42" s="329">
        <f t="shared" si="19"/>
        <v>0</v>
      </c>
      <c r="K42" s="329"/>
      <c r="L42" s="329"/>
      <c r="M42" s="329">
        <f t="shared" si="20"/>
        <v>674.68</v>
      </c>
      <c r="N42" s="329"/>
      <c r="O42" s="398">
        <v>674.68</v>
      </c>
      <c r="P42" s="329"/>
      <c r="Q42" s="329"/>
      <c r="R42" s="329"/>
      <c r="S42" s="329"/>
      <c r="T42" s="329">
        <f>U42+V42</f>
        <v>0</v>
      </c>
      <c r="U42" s="329"/>
      <c r="V42" s="329"/>
      <c r="W42" s="329">
        <f t="shared" si="22"/>
        <v>0</v>
      </c>
      <c r="X42" s="329"/>
      <c r="Y42" s="329">
        <v>0</v>
      </c>
      <c r="Z42" s="330">
        <f t="shared" si="14"/>
        <v>44.096732026143783</v>
      </c>
      <c r="AA42" s="330"/>
      <c r="AB42" s="330">
        <f t="shared" si="16"/>
        <v>44.096732026143783</v>
      </c>
      <c r="AC42" s="330"/>
    </row>
    <row r="43" spans="1:29" s="47" customFormat="1" ht="31.2">
      <c r="A43" s="452">
        <v>31</v>
      </c>
      <c r="B43" s="716" t="s">
        <v>2467</v>
      </c>
      <c r="C43" s="329">
        <f t="shared" si="18"/>
        <v>45934</v>
      </c>
      <c r="D43" s="329"/>
      <c r="E43" s="329">
        <v>45934</v>
      </c>
      <c r="F43" s="329">
        <v>45934</v>
      </c>
      <c r="G43" s="329"/>
      <c r="H43" s="329"/>
      <c r="I43" s="329"/>
      <c r="J43" s="329">
        <f t="shared" si="19"/>
        <v>0</v>
      </c>
      <c r="K43" s="329"/>
      <c r="L43" s="329"/>
      <c r="M43" s="329">
        <f t="shared" si="20"/>
        <v>17416.337525999999</v>
      </c>
      <c r="N43" s="329"/>
      <c r="O43" s="398">
        <v>17416.337525999999</v>
      </c>
      <c r="P43" s="329"/>
      <c r="Q43" s="329"/>
      <c r="R43" s="329"/>
      <c r="S43" s="329"/>
      <c r="T43" s="329">
        <f>U43+V43</f>
        <v>0</v>
      </c>
      <c r="U43" s="329"/>
      <c r="V43" s="329"/>
      <c r="W43" s="329">
        <f t="shared" si="22"/>
        <v>0</v>
      </c>
      <c r="X43" s="329"/>
      <c r="Y43" s="329">
        <v>0</v>
      </c>
      <c r="Z43" s="330">
        <f t="shared" si="14"/>
        <v>37.916004541298385</v>
      </c>
      <c r="AA43" s="330"/>
      <c r="AB43" s="330">
        <f t="shared" si="16"/>
        <v>37.916004541298385</v>
      </c>
      <c r="AC43" s="330"/>
    </row>
    <row r="44" spans="1:29" s="47" customFormat="1" ht="46.8">
      <c r="A44" s="452">
        <v>32</v>
      </c>
      <c r="B44" s="720" t="s">
        <v>2027</v>
      </c>
      <c r="C44" s="329">
        <f t="shared" si="18"/>
        <v>287</v>
      </c>
      <c r="D44" s="329">
        <f>M44</f>
        <v>287</v>
      </c>
      <c r="E44" s="329"/>
      <c r="F44" s="329"/>
      <c r="G44" s="329"/>
      <c r="H44" s="329"/>
      <c r="I44" s="329"/>
      <c r="J44" s="329">
        <f t="shared" si="19"/>
        <v>0</v>
      </c>
      <c r="K44" s="329"/>
      <c r="L44" s="329"/>
      <c r="M44" s="329">
        <f t="shared" si="20"/>
        <v>287</v>
      </c>
      <c r="N44" s="329">
        <v>269.21481199999999</v>
      </c>
      <c r="O44" s="329"/>
      <c r="P44" s="329"/>
      <c r="Q44" s="329"/>
      <c r="R44" s="329"/>
      <c r="S44" s="329"/>
      <c r="T44" s="329"/>
      <c r="U44" s="329"/>
      <c r="V44" s="329"/>
      <c r="W44" s="329">
        <f t="shared" si="22"/>
        <v>17.785188000000005</v>
      </c>
      <c r="X44" s="329">
        <v>17.785188000000005</v>
      </c>
      <c r="Y44" s="329"/>
      <c r="Z44" s="330">
        <f t="shared" si="14"/>
        <v>100</v>
      </c>
      <c r="AA44" s="330">
        <f t="shared" si="15"/>
        <v>93.803070383275255</v>
      </c>
      <c r="AB44" s="330"/>
      <c r="AC44" s="330"/>
    </row>
    <row r="45" spans="1:29" s="47" customFormat="1" ht="31.2">
      <c r="A45" s="452">
        <v>33</v>
      </c>
      <c r="B45" s="716" t="s">
        <v>606</v>
      </c>
      <c r="C45" s="329">
        <f t="shared" si="18"/>
        <v>218</v>
      </c>
      <c r="D45" s="329"/>
      <c r="E45" s="329">
        <v>218</v>
      </c>
      <c r="F45" s="329">
        <v>218</v>
      </c>
      <c r="G45" s="329"/>
      <c r="H45" s="329"/>
      <c r="I45" s="329"/>
      <c r="J45" s="329">
        <f t="shared" si="19"/>
        <v>0</v>
      </c>
      <c r="K45" s="329"/>
      <c r="L45" s="329"/>
      <c r="M45" s="329">
        <f t="shared" si="20"/>
        <v>214.34</v>
      </c>
      <c r="N45" s="329"/>
      <c r="O45" s="398">
        <v>214.34</v>
      </c>
      <c r="P45" s="329"/>
      <c r="Q45" s="329"/>
      <c r="R45" s="329"/>
      <c r="S45" s="329"/>
      <c r="T45" s="329">
        <f>U45+V45</f>
        <v>0</v>
      </c>
      <c r="U45" s="329"/>
      <c r="V45" s="329"/>
      <c r="W45" s="329">
        <f t="shared" si="22"/>
        <v>0</v>
      </c>
      <c r="X45" s="329"/>
      <c r="Y45" s="329">
        <v>0</v>
      </c>
      <c r="Z45" s="330">
        <f t="shared" si="14"/>
        <v>98.321100917431181</v>
      </c>
      <c r="AA45" s="330"/>
      <c r="AB45" s="330">
        <f t="shared" si="16"/>
        <v>98.321100917431181</v>
      </c>
      <c r="AC45" s="330"/>
    </row>
    <row r="46" spans="1:29" s="47" customFormat="1" ht="31.2">
      <c r="A46" s="452">
        <v>34</v>
      </c>
      <c r="B46" s="718" t="s">
        <v>606</v>
      </c>
      <c r="C46" s="329">
        <f t="shared" si="18"/>
        <v>2964</v>
      </c>
      <c r="D46" s="329">
        <v>2964</v>
      </c>
      <c r="E46" s="329"/>
      <c r="F46" s="329"/>
      <c r="G46" s="329"/>
      <c r="H46" s="329"/>
      <c r="I46" s="329"/>
      <c r="J46" s="329">
        <f t="shared" si="19"/>
        <v>0</v>
      </c>
      <c r="K46" s="329"/>
      <c r="L46" s="329"/>
      <c r="M46" s="329">
        <f t="shared" si="20"/>
        <v>4171</v>
      </c>
      <c r="N46" s="329">
        <v>4093.9604989999998</v>
      </c>
      <c r="O46" s="329"/>
      <c r="P46" s="329"/>
      <c r="Q46" s="329"/>
      <c r="R46" s="329"/>
      <c r="S46" s="329"/>
      <c r="T46" s="329"/>
      <c r="U46" s="329"/>
      <c r="V46" s="329"/>
      <c r="W46" s="329">
        <f t="shared" si="22"/>
        <v>77.0395010000002</v>
      </c>
      <c r="X46" s="329">
        <v>77.0395010000002</v>
      </c>
      <c r="Y46" s="329"/>
      <c r="Z46" s="330">
        <f t="shared" si="14"/>
        <v>140.72199730094468</v>
      </c>
      <c r="AA46" s="330">
        <f t="shared" si="15"/>
        <v>138.12282385290146</v>
      </c>
      <c r="AB46" s="330"/>
      <c r="AC46" s="330"/>
    </row>
    <row r="47" spans="1:29" s="47" customFormat="1" ht="31.2">
      <c r="A47" s="452">
        <v>35</v>
      </c>
      <c r="B47" s="717" t="s">
        <v>2522</v>
      </c>
      <c r="C47" s="329">
        <f t="shared" si="18"/>
        <v>2270</v>
      </c>
      <c r="D47" s="329">
        <v>2270</v>
      </c>
      <c r="E47" s="329"/>
      <c r="F47" s="329"/>
      <c r="G47" s="329"/>
      <c r="H47" s="329"/>
      <c r="I47" s="329"/>
      <c r="J47" s="329">
        <f t="shared" si="19"/>
        <v>0</v>
      </c>
      <c r="K47" s="329"/>
      <c r="L47" s="329"/>
      <c r="M47" s="329">
        <f t="shared" si="20"/>
        <v>3397.5128340000001</v>
      </c>
      <c r="N47" s="329">
        <v>2047.8402640000002</v>
      </c>
      <c r="O47" s="329"/>
      <c r="P47" s="329"/>
      <c r="Q47" s="329"/>
      <c r="R47" s="329"/>
      <c r="S47" s="329"/>
      <c r="T47" s="329"/>
      <c r="U47" s="329"/>
      <c r="V47" s="329"/>
      <c r="W47" s="329">
        <f t="shared" si="22"/>
        <v>1349.67257</v>
      </c>
      <c r="X47" s="329">
        <v>1349.67257</v>
      </c>
      <c r="Y47" s="329"/>
      <c r="Z47" s="330">
        <f t="shared" si="14"/>
        <v>149.67016889867841</v>
      </c>
      <c r="AA47" s="330">
        <f t="shared" si="15"/>
        <v>90.213227488986789</v>
      </c>
      <c r="AB47" s="330"/>
      <c r="AC47" s="330"/>
    </row>
    <row r="48" spans="1:29" s="47" customFormat="1" ht="31.2">
      <c r="A48" s="452">
        <v>36</v>
      </c>
      <c r="B48" s="716" t="s">
        <v>2602</v>
      </c>
      <c r="C48" s="329">
        <f t="shared" si="18"/>
        <v>13979.277</v>
      </c>
      <c r="D48" s="329"/>
      <c r="E48" s="329">
        <v>13979.277</v>
      </c>
      <c r="F48" s="329">
        <v>13979.277</v>
      </c>
      <c r="G48" s="329"/>
      <c r="H48" s="329"/>
      <c r="I48" s="329"/>
      <c r="J48" s="329">
        <f t="shared" si="19"/>
        <v>0</v>
      </c>
      <c r="K48" s="329"/>
      <c r="L48" s="329"/>
      <c r="M48" s="329">
        <f t="shared" si="20"/>
        <v>880.047506</v>
      </c>
      <c r="N48" s="329"/>
      <c r="O48" s="398">
        <v>880.047506</v>
      </c>
      <c r="P48" s="329"/>
      <c r="Q48" s="329"/>
      <c r="R48" s="329"/>
      <c r="S48" s="329"/>
      <c r="T48" s="329">
        <f>U48+V48</f>
        <v>0</v>
      </c>
      <c r="U48" s="329"/>
      <c r="V48" s="329"/>
      <c r="W48" s="329">
        <f t="shared" si="22"/>
        <v>0</v>
      </c>
      <c r="X48" s="329"/>
      <c r="Y48" s="329">
        <v>0</v>
      </c>
      <c r="Z48" s="330">
        <f t="shared" si="14"/>
        <v>6.2953721140227783</v>
      </c>
      <c r="AA48" s="330"/>
      <c r="AB48" s="330">
        <f t="shared" si="16"/>
        <v>6.2953721140227783</v>
      </c>
      <c r="AC48" s="330"/>
    </row>
    <row r="49" spans="1:29" s="47" customFormat="1" ht="31.2">
      <c r="A49" s="452">
        <v>37</v>
      </c>
      <c r="B49" s="716" t="s">
        <v>1962</v>
      </c>
      <c r="C49" s="329">
        <f t="shared" si="18"/>
        <v>157</v>
      </c>
      <c r="D49" s="329"/>
      <c r="E49" s="329">
        <v>157</v>
      </c>
      <c r="F49" s="329">
        <v>157</v>
      </c>
      <c r="G49" s="329"/>
      <c r="H49" s="329"/>
      <c r="I49" s="329"/>
      <c r="J49" s="329">
        <f t="shared" si="19"/>
        <v>0</v>
      </c>
      <c r="K49" s="329"/>
      <c r="L49" s="329"/>
      <c r="M49" s="329">
        <f t="shared" si="20"/>
        <v>157</v>
      </c>
      <c r="N49" s="329"/>
      <c r="O49" s="398">
        <v>141.39400000000001</v>
      </c>
      <c r="P49" s="329"/>
      <c r="Q49" s="329"/>
      <c r="R49" s="329"/>
      <c r="S49" s="329"/>
      <c r="T49" s="329">
        <f>U49+V49</f>
        <v>0</v>
      </c>
      <c r="U49" s="329"/>
      <c r="V49" s="329"/>
      <c r="W49" s="329">
        <f t="shared" si="22"/>
        <v>15.606</v>
      </c>
      <c r="X49" s="329"/>
      <c r="Y49" s="329">
        <v>15.606</v>
      </c>
      <c r="Z49" s="330">
        <f t="shared" si="14"/>
        <v>100</v>
      </c>
      <c r="AA49" s="330"/>
      <c r="AB49" s="330">
        <f t="shared" si="16"/>
        <v>90.059872611464968</v>
      </c>
      <c r="AC49" s="330"/>
    </row>
    <row r="50" spans="1:29" s="47" customFormat="1" ht="31.2">
      <c r="A50" s="452">
        <v>38</v>
      </c>
      <c r="B50" s="718" t="s">
        <v>2523</v>
      </c>
      <c r="C50" s="329">
        <f t="shared" si="18"/>
        <v>446.79300000000001</v>
      </c>
      <c r="D50" s="329">
        <v>446.79300000000001</v>
      </c>
      <c r="E50" s="329"/>
      <c r="F50" s="329"/>
      <c r="G50" s="329"/>
      <c r="H50" s="329"/>
      <c r="I50" s="329"/>
      <c r="J50" s="329">
        <f t="shared" si="19"/>
        <v>0</v>
      </c>
      <c r="K50" s="329"/>
      <c r="L50" s="329"/>
      <c r="M50" s="329">
        <f t="shared" si="20"/>
        <v>446.79266200000001</v>
      </c>
      <c r="N50" s="329">
        <v>446.79266200000001</v>
      </c>
      <c r="O50" s="329"/>
      <c r="P50" s="329"/>
      <c r="Q50" s="329"/>
      <c r="R50" s="329"/>
      <c r="S50" s="329"/>
      <c r="T50" s="329"/>
      <c r="U50" s="329"/>
      <c r="V50" s="329"/>
      <c r="W50" s="329">
        <f t="shared" si="22"/>
        <v>0</v>
      </c>
      <c r="X50" s="329">
        <v>0</v>
      </c>
      <c r="Y50" s="329"/>
      <c r="Z50" s="330">
        <f t="shared" si="14"/>
        <v>99.999924349754806</v>
      </c>
      <c r="AA50" s="330">
        <f t="shared" si="15"/>
        <v>99.999924349754806</v>
      </c>
      <c r="AB50" s="330"/>
      <c r="AC50" s="330"/>
    </row>
    <row r="51" spans="1:29" s="47" customFormat="1" ht="31.2">
      <c r="A51" s="452">
        <v>39</v>
      </c>
      <c r="B51" s="716" t="s">
        <v>2032</v>
      </c>
      <c r="C51" s="329">
        <f t="shared" si="18"/>
        <v>1500</v>
      </c>
      <c r="D51" s="329"/>
      <c r="E51" s="329">
        <v>1500</v>
      </c>
      <c r="F51" s="329">
        <v>1500</v>
      </c>
      <c r="G51" s="329"/>
      <c r="H51" s="329"/>
      <c r="I51" s="329"/>
      <c r="J51" s="329">
        <f t="shared" si="19"/>
        <v>0</v>
      </c>
      <c r="K51" s="329"/>
      <c r="L51" s="329"/>
      <c r="M51" s="329">
        <f t="shared" si="20"/>
        <v>1250.417569</v>
      </c>
      <c r="N51" s="329"/>
      <c r="O51" s="398">
        <v>1250.417569</v>
      </c>
      <c r="P51" s="329"/>
      <c r="Q51" s="329"/>
      <c r="R51" s="329"/>
      <c r="S51" s="329"/>
      <c r="T51" s="329">
        <f>U51+V51</f>
        <v>0</v>
      </c>
      <c r="U51" s="329"/>
      <c r="V51" s="329"/>
      <c r="W51" s="329">
        <f t="shared" si="22"/>
        <v>0</v>
      </c>
      <c r="X51" s="329"/>
      <c r="Y51" s="329">
        <v>0</v>
      </c>
      <c r="Z51" s="330">
        <f t="shared" si="14"/>
        <v>83.361171266666659</v>
      </c>
      <c r="AA51" s="330"/>
      <c r="AB51" s="330">
        <f t="shared" si="16"/>
        <v>83.361171266666659</v>
      </c>
      <c r="AC51" s="330"/>
    </row>
    <row r="52" spans="1:29" s="47" customFormat="1">
      <c r="A52" s="452">
        <v>40</v>
      </c>
      <c r="B52" s="719" t="s">
        <v>2516</v>
      </c>
      <c r="C52" s="329">
        <f t="shared" si="18"/>
        <v>75713.547000000006</v>
      </c>
      <c r="D52" s="329">
        <v>75713.547000000006</v>
      </c>
      <c r="E52" s="329"/>
      <c r="F52" s="329"/>
      <c r="G52" s="329"/>
      <c r="H52" s="329"/>
      <c r="I52" s="329"/>
      <c r="J52" s="329">
        <f t="shared" si="19"/>
        <v>0</v>
      </c>
      <c r="K52" s="329"/>
      <c r="L52" s="329"/>
      <c r="M52" s="329">
        <f t="shared" si="20"/>
        <v>51261.29896</v>
      </c>
      <c r="N52" s="329">
        <v>40477.550796000003</v>
      </c>
      <c r="O52" s="329"/>
      <c r="P52" s="329"/>
      <c r="Q52" s="329"/>
      <c r="R52" s="329"/>
      <c r="S52" s="329"/>
      <c r="T52" s="329"/>
      <c r="U52" s="329"/>
      <c r="V52" s="329"/>
      <c r="W52" s="329">
        <f t="shared" si="22"/>
        <v>10783.748163999993</v>
      </c>
      <c r="X52" s="329">
        <v>10783.748163999993</v>
      </c>
      <c r="Y52" s="329"/>
      <c r="Z52" s="330">
        <f t="shared" si="14"/>
        <v>67.704262963667517</v>
      </c>
      <c r="AA52" s="330">
        <f t="shared" si="15"/>
        <v>53.461437747725647</v>
      </c>
      <c r="AB52" s="330"/>
      <c r="AC52" s="330"/>
    </row>
    <row r="53" spans="1:29" s="47" customFormat="1">
      <c r="A53" s="452">
        <v>41</v>
      </c>
      <c r="B53" s="716" t="s">
        <v>2595</v>
      </c>
      <c r="C53" s="329">
        <f t="shared" si="18"/>
        <v>28106</v>
      </c>
      <c r="D53" s="329"/>
      <c r="E53" s="329">
        <v>28106</v>
      </c>
      <c r="F53" s="329">
        <v>28106</v>
      </c>
      <c r="G53" s="329"/>
      <c r="H53" s="329"/>
      <c r="I53" s="329"/>
      <c r="J53" s="329">
        <f t="shared" si="19"/>
        <v>0</v>
      </c>
      <c r="K53" s="329"/>
      <c r="L53" s="329"/>
      <c r="M53" s="329">
        <f t="shared" si="20"/>
        <v>28104.337</v>
      </c>
      <c r="N53" s="329"/>
      <c r="O53" s="398">
        <v>25604.337</v>
      </c>
      <c r="P53" s="329"/>
      <c r="Q53" s="329"/>
      <c r="R53" s="329"/>
      <c r="S53" s="329"/>
      <c r="T53" s="329">
        <f>U53+V53</f>
        <v>0</v>
      </c>
      <c r="U53" s="329"/>
      <c r="V53" s="329"/>
      <c r="W53" s="329">
        <f t="shared" si="22"/>
        <v>2500</v>
      </c>
      <c r="X53" s="329"/>
      <c r="Y53" s="329">
        <v>2500</v>
      </c>
      <c r="Z53" s="330">
        <f t="shared" si="14"/>
        <v>99.994083113925853</v>
      </c>
      <c r="AA53" s="330"/>
      <c r="AB53" s="330">
        <f t="shared" si="16"/>
        <v>91.099185227353587</v>
      </c>
      <c r="AC53" s="330"/>
    </row>
    <row r="54" spans="1:29" s="47" customFormat="1">
      <c r="A54" s="452">
        <v>42</v>
      </c>
      <c r="B54" s="718" t="s">
        <v>2520</v>
      </c>
      <c r="C54" s="329">
        <f t="shared" si="18"/>
        <v>97.405000000000001</v>
      </c>
      <c r="D54" s="329">
        <v>97.405000000000001</v>
      </c>
      <c r="E54" s="329"/>
      <c r="F54" s="329"/>
      <c r="G54" s="329"/>
      <c r="H54" s="329"/>
      <c r="I54" s="329"/>
      <c r="J54" s="329">
        <f t="shared" si="19"/>
        <v>0</v>
      </c>
      <c r="K54" s="329"/>
      <c r="L54" s="329"/>
      <c r="M54" s="329">
        <f t="shared" si="20"/>
        <v>456.40499999999997</v>
      </c>
      <c r="N54" s="329">
        <v>417.37199999999996</v>
      </c>
      <c r="O54" s="329"/>
      <c r="P54" s="329"/>
      <c r="Q54" s="329"/>
      <c r="R54" s="329"/>
      <c r="S54" s="329"/>
      <c r="T54" s="329"/>
      <c r="U54" s="329"/>
      <c r="V54" s="329"/>
      <c r="W54" s="329">
        <f t="shared" si="22"/>
        <v>39.033000000000015</v>
      </c>
      <c r="X54" s="329">
        <v>39.033000000000015</v>
      </c>
      <c r="Y54" s="329"/>
      <c r="Z54" s="330">
        <f t="shared" si="14"/>
        <v>468.56424208202861</v>
      </c>
      <c r="AA54" s="330">
        <f t="shared" si="15"/>
        <v>428.49135054668648</v>
      </c>
      <c r="AB54" s="330"/>
      <c r="AC54" s="330"/>
    </row>
    <row r="55" spans="1:29" s="47" customFormat="1">
      <c r="A55" s="452">
        <v>43</v>
      </c>
      <c r="B55" s="716" t="s">
        <v>2592</v>
      </c>
      <c r="C55" s="329">
        <f t="shared" si="18"/>
        <v>9756</v>
      </c>
      <c r="D55" s="329"/>
      <c r="E55" s="329">
        <v>9756</v>
      </c>
      <c r="F55" s="329">
        <v>9756</v>
      </c>
      <c r="G55" s="329"/>
      <c r="H55" s="329"/>
      <c r="I55" s="329"/>
      <c r="J55" s="329">
        <f t="shared" si="19"/>
        <v>0</v>
      </c>
      <c r="K55" s="329"/>
      <c r="L55" s="329"/>
      <c r="M55" s="329">
        <f t="shared" si="20"/>
        <v>9756</v>
      </c>
      <c r="N55" s="329"/>
      <c r="O55" s="398">
        <v>9756</v>
      </c>
      <c r="P55" s="329"/>
      <c r="Q55" s="329"/>
      <c r="R55" s="329"/>
      <c r="S55" s="329"/>
      <c r="T55" s="329">
        <f>U55+V55</f>
        <v>0</v>
      </c>
      <c r="U55" s="329"/>
      <c r="V55" s="329"/>
      <c r="W55" s="329">
        <f t="shared" si="22"/>
        <v>0</v>
      </c>
      <c r="X55" s="329"/>
      <c r="Y55" s="329">
        <v>0</v>
      </c>
      <c r="Z55" s="330">
        <f t="shared" si="14"/>
        <v>100</v>
      </c>
      <c r="AA55" s="330"/>
      <c r="AB55" s="330">
        <f t="shared" si="16"/>
        <v>100</v>
      </c>
      <c r="AC55" s="330"/>
    </row>
    <row r="56" spans="1:29" s="47" customFormat="1">
      <c r="A56" s="452">
        <v>44</v>
      </c>
      <c r="B56" s="718" t="s">
        <v>477</v>
      </c>
      <c r="C56" s="329">
        <f t="shared" si="18"/>
        <v>55090.5</v>
      </c>
      <c r="D56" s="329">
        <v>55090.5</v>
      </c>
      <c r="E56" s="329"/>
      <c r="F56" s="329"/>
      <c r="G56" s="329"/>
      <c r="H56" s="329"/>
      <c r="I56" s="329"/>
      <c r="J56" s="329">
        <f t="shared" si="19"/>
        <v>0</v>
      </c>
      <c r="K56" s="329"/>
      <c r="L56" s="329"/>
      <c r="M56" s="329">
        <f t="shared" si="20"/>
        <v>60770.601000000002</v>
      </c>
      <c r="N56" s="329">
        <v>56451</v>
      </c>
      <c r="O56" s="329"/>
      <c r="P56" s="329"/>
      <c r="Q56" s="329"/>
      <c r="R56" s="329"/>
      <c r="S56" s="329"/>
      <c r="T56" s="329"/>
      <c r="U56" s="329"/>
      <c r="V56" s="329"/>
      <c r="W56" s="329">
        <f t="shared" si="22"/>
        <v>4319.6010000000006</v>
      </c>
      <c r="X56" s="329">
        <v>4319.6010000000006</v>
      </c>
      <c r="Y56" s="329"/>
      <c r="Z56" s="330">
        <f t="shared" si="14"/>
        <v>110.31049091948704</v>
      </c>
      <c r="AA56" s="330">
        <f t="shared" si="15"/>
        <v>102.46957279385738</v>
      </c>
      <c r="AB56" s="330"/>
      <c r="AC56" s="330"/>
    </row>
    <row r="57" spans="1:29" s="47" customFormat="1" ht="31.2">
      <c r="A57" s="452">
        <v>45</v>
      </c>
      <c r="B57" s="716" t="s">
        <v>1506</v>
      </c>
      <c r="C57" s="329">
        <f t="shared" si="18"/>
        <v>737.01005799999996</v>
      </c>
      <c r="D57" s="329"/>
      <c r="E57" s="329">
        <v>737.01005799999996</v>
      </c>
      <c r="F57" s="329">
        <v>737.01005799999996</v>
      </c>
      <c r="G57" s="329"/>
      <c r="H57" s="329"/>
      <c r="I57" s="329"/>
      <c r="J57" s="329">
        <f t="shared" si="19"/>
        <v>0</v>
      </c>
      <c r="K57" s="329"/>
      <c r="L57" s="329"/>
      <c r="M57" s="329">
        <f t="shared" si="20"/>
        <v>737.01005799999996</v>
      </c>
      <c r="N57" s="329"/>
      <c r="O57" s="398">
        <v>737.01005799999996</v>
      </c>
      <c r="P57" s="329"/>
      <c r="Q57" s="329"/>
      <c r="R57" s="329"/>
      <c r="S57" s="329"/>
      <c r="T57" s="329">
        <f t="shared" ref="T57:T62" si="23">U57+V57</f>
        <v>0</v>
      </c>
      <c r="U57" s="329"/>
      <c r="V57" s="329"/>
      <c r="W57" s="329">
        <f t="shared" si="22"/>
        <v>0</v>
      </c>
      <c r="X57" s="329"/>
      <c r="Y57" s="329">
        <v>0</v>
      </c>
      <c r="Z57" s="330">
        <f t="shared" si="14"/>
        <v>100</v>
      </c>
      <c r="AA57" s="330"/>
      <c r="AB57" s="330">
        <f t="shared" si="16"/>
        <v>100</v>
      </c>
      <c r="AC57" s="330"/>
    </row>
    <row r="58" spans="1:29" s="47" customFormat="1" ht="31.2">
      <c r="A58" s="452">
        <v>46</v>
      </c>
      <c r="B58" s="716" t="s">
        <v>2596</v>
      </c>
      <c r="C58" s="329">
        <f t="shared" si="18"/>
        <v>53657.374000000003</v>
      </c>
      <c r="D58" s="329"/>
      <c r="E58" s="329">
        <v>53657.374000000003</v>
      </c>
      <c r="F58" s="329">
        <v>53657.374000000003</v>
      </c>
      <c r="G58" s="329"/>
      <c r="H58" s="329"/>
      <c r="I58" s="329"/>
      <c r="J58" s="329">
        <f t="shared" si="19"/>
        <v>0</v>
      </c>
      <c r="K58" s="329"/>
      <c r="L58" s="329"/>
      <c r="M58" s="329">
        <f t="shared" si="20"/>
        <v>53657.373999999996</v>
      </c>
      <c r="N58" s="329"/>
      <c r="O58" s="398">
        <v>8557.3739999999998</v>
      </c>
      <c r="P58" s="329"/>
      <c r="Q58" s="329"/>
      <c r="R58" s="329"/>
      <c r="S58" s="329"/>
      <c r="T58" s="329">
        <f t="shared" si="23"/>
        <v>0</v>
      </c>
      <c r="U58" s="329"/>
      <c r="V58" s="329"/>
      <c r="W58" s="329">
        <f t="shared" si="22"/>
        <v>45100</v>
      </c>
      <c r="X58" s="329"/>
      <c r="Y58" s="329">
        <v>45100</v>
      </c>
      <c r="Z58" s="330">
        <f t="shared" si="14"/>
        <v>99.999999999999986</v>
      </c>
      <c r="AA58" s="330"/>
      <c r="AB58" s="330">
        <f t="shared" si="16"/>
        <v>15.948178902679805</v>
      </c>
      <c r="AC58" s="330"/>
    </row>
    <row r="59" spans="1:29" s="47" customFormat="1">
      <c r="A59" s="452">
        <v>47</v>
      </c>
      <c r="B59" s="716" t="s">
        <v>2552</v>
      </c>
      <c r="C59" s="329">
        <f t="shared" si="18"/>
        <v>2759.3942740000002</v>
      </c>
      <c r="D59" s="329"/>
      <c r="E59" s="329">
        <v>2759.3942740000002</v>
      </c>
      <c r="F59" s="329">
        <v>2759.3942740000002</v>
      </c>
      <c r="G59" s="329"/>
      <c r="H59" s="329"/>
      <c r="I59" s="329"/>
      <c r="J59" s="329">
        <f t="shared" si="19"/>
        <v>0</v>
      </c>
      <c r="K59" s="329"/>
      <c r="L59" s="329"/>
      <c r="M59" s="329">
        <f t="shared" si="20"/>
        <v>2707.5463030000001</v>
      </c>
      <c r="N59" s="329"/>
      <c r="O59" s="398">
        <v>2707.5463030000001</v>
      </c>
      <c r="P59" s="329"/>
      <c r="Q59" s="329"/>
      <c r="R59" s="329"/>
      <c r="S59" s="329"/>
      <c r="T59" s="329">
        <f t="shared" si="23"/>
        <v>0</v>
      </c>
      <c r="U59" s="329"/>
      <c r="V59" s="329"/>
      <c r="W59" s="329">
        <f t="shared" si="22"/>
        <v>0</v>
      </c>
      <c r="X59" s="329"/>
      <c r="Y59" s="329">
        <v>0</v>
      </c>
      <c r="Z59" s="330">
        <f t="shared" si="14"/>
        <v>98.12103795791235</v>
      </c>
      <c r="AA59" s="330"/>
      <c r="AB59" s="330">
        <f t="shared" si="16"/>
        <v>98.12103795791235</v>
      </c>
      <c r="AC59" s="330"/>
    </row>
    <row r="60" spans="1:29" s="47" customFormat="1">
      <c r="A60" s="452">
        <v>48</v>
      </c>
      <c r="B60" s="716" t="s">
        <v>1496</v>
      </c>
      <c r="C60" s="329">
        <f t="shared" si="18"/>
        <v>1223.2380000000001</v>
      </c>
      <c r="D60" s="329"/>
      <c r="E60" s="329">
        <v>1223.2380000000001</v>
      </c>
      <c r="F60" s="329">
        <v>1223.2380000000001</v>
      </c>
      <c r="G60" s="329"/>
      <c r="H60" s="329"/>
      <c r="I60" s="329"/>
      <c r="J60" s="329">
        <f t="shared" si="19"/>
        <v>0</v>
      </c>
      <c r="K60" s="329"/>
      <c r="L60" s="329"/>
      <c r="M60" s="329">
        <f t="shared" si="20"/>
        <v>1223.2380000000001</v>
      </c>
      <c r="N60" s="329"/>
      <c r="O60" s="398">
        <v>1223.2380000000001</v>
      </c>
      <c r="P60" s="329"/>
      <c r="Q60" s="329"/>
      <c r="R60" s="329"/>
      <c r="S60" s="329"/>
      <c r="T60" s="329">
        <f t="shared" si="23"/>
        <v>0</v>
      </c>
      <c r="U60" s="329"/>
      <c r="V60" s="329"/>
      <c r="W60" s="329">
        <f t="shared" si="22"/>
        <v>0</v>
      </c>
      <c r="X60" s="329"/>
      <c r="Y60" s="329">
        <v>0</v>
      </c>
      <c r="Z60" s="330">
        <f t="shared" si="14"/>
        <v>100</v>
      </c>
      <c r="AA60" s="330"/>
      <c r="AB60" s="330">
        <f t="shared" si="16"/>
        <v>100</v>
      </c>
      <c r="AC60" s="330"/>
    </row>
    <row r="61" spans="1:29" s="48" customFormat="1">
      <c r="A61" s="745">
        <v>50</v>
      </c>
      <c r="B61" s="629" t="s">
        <v>2462</v>
      </c>
      <c r="C61" s="374">
        <f t="shared" si="18"/>
        <v>13063.429985999999</v>
      </c>
      <c r="D61" s="374">
        <v>128.40700000000001</v>
      </c>
      <c r="E61" s="374">
        <v>12935.022986</v>
      </c>
      <c r="F61" s="374">
        <v>12935.022986</v>
      </c>
      <c r="G61" s="374"/>
      <c r="H61" s="374"/>
      <c r="I61" s="374"/>
      <c r="J61" s="374">
        <f t="shared" si="19"/>
        <v>0</v>
      </c>
      <c r="K61" s="374"/>
      <c r="L61" s="374"/>
      <c r="M61" s="374">
        <f t="shared" si="20"/>
        <v>12927.304985999999</v>
      </c>
      <c r="N61" s="374">
        <v>205.952</v>
      </c>
      <c r="O61" s="375">
        <v>9512.8979859999999</v>
      </c>
      <c r="P61" s="374"/>
      <c r="Q61" s="374"/>
      <c r="R61" s="374"/>
      <c r="S61" s="374"/>
      <c r="T61" s="374">
        <f t="shared" si="23"/>
        <v>0</v>
      </c>
      <c r="U61" s="374"/>
      <c r="V61" s="374"/>
      <c r="W61" s="374">
        <f t="shared" si="22"/>
        <v>3208.4549999999999</v>
      </c>
      <c r="X61" s="374">
        <v>20.454999999999998</v>
      </c>
      <c r="Y61" s="374">
        <v>3188</v>
      </c>
      <c r="Z61" s="378">
        <f t="shared" si="14"/>
        <v>98.957968924349231</v>
      </c>
      <c r="AA61" s="378"/>
      <c r="AB61" s="378">
        <f t="shared" si="16"/>
        <v>73.543726951982393</v>
      </c>
      <c r="AC61" s="378"/>
    </row>
    <row r="62" spans="1:29" s="48" customFormat="1">
      <c r="A62" s="745">
        <v>51</v>
      </c>
      <c r="B62" s="629" t="s">
        <v>1645</v>
      </c>
      <c r="C62" s="374">
        <f t="shared" si="18"/>
        <v>1949.2</v>
      </c>
      <c r="D62" s="374"/>
      <c r="E62" s="374">
        <v>1949.2</v>
      </c>
      <c r="F62" s="374">
        <v>1949.2</v>
      </c>
      <c r="G62" s="374"/>
      <c r="H62" s="374"/>
      <c r="I62" s="374"/>
      <c r="J62" s="374">
        <f t="shared" si="19"/>
        <v>0</v>
      </c>
      <c r="K62" s="374"/>
      <c r="L62" s="374"/>
      <c r="M62" s="374">
        <f t="shared" si="20"/>
        <v>2271.2000000000003</v>
      </c>
      <c r="N62" s="374">
        <v>291.87700000000001</v>
      </c>
      <c r="O62" s="375">
        <v>1949.2</v>
      </c>
      <c r="P62" s="374"/>
      <c r="Q62" s="374"/>
      <c r="R62" s="374"/>
      <c r="S62" s="374"/>
      <c r="T62" s="374">
        <f t="shared" si="23"/>
        <v>0</v>
      </c>
      <c r="U62" s="374"/>
      <c r="V62" s="374"/>
      <c r="W62" s="374">
        <f t="shared" si="22"/>
        <v>30.12299999999999</v>
      </c>
      <c r="X62" s="374">
        <v>30.12299999999999</v>
      </c>
      <c r="Y62" s="374">
        <v>0</v>
      </c>
      <c r="Z62" s="378">
        <f t="shared" si="14"/>
        <v>116.51959778370615</v>
      </c>
      <c r="AA62" s="378"/>
      <c r="AB62" s="378">
        <f t="shared" si="16"/>
        <v>100</v>
      </c>
      <c r="AC62" s="378"/>
    </row>
    <row r="63" spans="1:29" s="47" customFormat="1">
      <c r="A63" s="452">
        <v>53</v>
      </c>
      <c r="B63" s="720" t="s">
        <v>2521</v>
      </c>
      <c r="C63" s="329">
        <f t="shared" si="18"/>
        <v>2300</v>
      </c>
      <c r="D63" s="329">
        <v>2300</v>
      </c>
      <c r="E63" s="329"/>
      <c r="F63" s="329"/>
      <c r="G63" s="329"/>
      <c r="H63" s="329"/>
      <c r="I63" s="329"/>
      <c r="J63" s="329">
        <f t="shared" si="19"/>
        <v>0</v>
      </c>
      <c r="K63" s="329"/>
      <c r="L63" s="329"/>
      <c r="M63" s="329">
        <f t="shared" si="20"/>
        <v>2685.2952540000001</v>
      </c>
      <c r="N63" s="329">
        <v>2642.0972540000002</v>
      </c>
      <c r="O63" s="329"/>
      <c r="P63" s="329"/>
      <c r="Q63" s="329"/>
      <c r="R63" s="329"/>
      <c r="S63" s="329"/>
      <c r="T63" s="329"/>
      <c r="U63" s="329"/>
      <c r="V63" s="329"/>
      <c r="W63" s="329">
        <f t="shared" si="22"/>
        <v>43.197999999999979</v>
      </c>
      <c r="X63" s="329">
        <v>43.197999999999979</v>
      </c>
      <c r="Y63" s="329"/>
      <c r="Z63" s="330">
        <f t="shared" si="14"/>
        <v>116.7519675652174</v>
      </c>
      <c r="AA63" s="330">
        <f t="shared" si="15"/>
        <v>114.87379365217393</v>
      </c>
      <c r="AB63" s="330"/>
      <c r="AC63" s="330"/>
    </row>
    <row r="64" spans="1:29" s="47" customFormat="1" ht="31.2">
      <c r="A64" s="452">
        <v>54</v>
      </c>
      <c r="B64" s="716" t="s">
        <v>2600</v>
      </c>
      <c r="C64" s="329">
        <f t="shared" si="18"/>
        <v>5153.1899999999996</v>
      </c>
      <c r="D64" s="329"/>
      <c r="E64" s="329">
        <v>5153.1899999999996</v>
      </c>
      <c r="F64" s="329">
        <v>5153.1899999999996</v>
      </c>
      <c r="G64" s="329"/>
      <c r="H64" s="329"/>
      <c r="I64" s="329"/>
      <c r="J64" s="329">
        <f t="shared" si="19"/>
        <v>0</v>
      </c>
      <c r="K64" s="329"/>
      <c r="L64" s="329"/>
      <c r="M64" s="329">
        <f t="shared" si="20"/>
        <v>4203.7799429999995</v>
      </c>
      <c r="N64" s="329"/>
      <c r="O64" s="398">
        <v>4203.7799429999995</v>
      </c>
      <c r="P64" s="329"/>
      <c r="Q64" s="329"/>
      <c r="R64" s="329"/>
      <c r="S64" s="329"/>
      <c r="T64" s="329">
        <f>U64+V64</f>
        <v>0</v>
      </c>
      <c r="U64" s="329"/>
      <c r="V64" s="329"/>
      <c r="W64" s="329">
        <f t="shared" si="22"/>
        <v>0</v>
      </c>
      <c r="X64" s="329"/>
      <c r="Y64" s="329">
        <v>0</v>
      </c>
      <c r="Z64" s="330">
        <f t="shared" si="14"/>
        <v>81.576265245411093</v>
      </c>
      <c r="AA64" s="330"/>
      <c r="AB64" s="330">
        <f t="shared" si="16"/>
        <v>81.576265245411093</v>
      </c>
      <c r="AC64" s="330"/>
    </row>
    <row r="65" spans="1:29" s="47" customFormat="1">
      <c r="A65" s="452">
        <v>55</v>
      </c>
      <c r="B65" s="717" t="s">
        <v>576</v>
      </c>
      <c r="C65" s="329">
        <f t="shared" si="18"/>
        <v>3720</v>
      </c>
      <c r="D65" s="329">
        <v>3720</v>
      </c>
      <c r="E65" s="329"/>
      <c r="F65" s="329"/>
      <c r="G65" s="329"/>
      <c r="H65" s="329"/>
      <c r="I65" s="329"/>
      <c r="J65" s="329">
        <f t="shared" si="19"/>
        <v>0</v>
      </c>
      <c r="K65" s="329"/>
      <c r="L65" s="329"/>
      <c r="M65" s="329">
        <f t="shared" si="20"/>
        <v>3720</v>
      </c>
      <c r="N65" s="329">
        <v>3720</v>
      </c>
      <c r="O65" s="329"/>
      <c r="P65" s="329"/>
      <c r="Q65" s="329"/>
      <c r="R65" s="329"/>
      <c r="S65" s="329"/>
      <c r="T65" s="329"/>
      <c r="U65" s="329"/>
      <c r="V65" s="329"/>
      <c r="W65" s="329">
        <f t="shared" si="22"/>
        <v>0</v>
      </c>
      <c r="X65" s="329">
        <v>0</v>
      </c>
      <c r="Y65" s="329"/>
      <c r="Z65" s="330">
        <f t="shared" si="14"/>
        <v>99.999999999999986</v>
      </c>
      <c r="AA65" s="330">
        <f t="shared" si="15"/>
        <v>99.999999999999986</v>
      </c>
      <c r="AB65" s="330"/>
      <c r="AC65" s="330"/>
    </row>
    <row r="66" spans="1:29" s="47" customFormat="1">
      <c r="A66" s="452">
        <v>56</v>
      </c>
      <c r="B66" s="716" t="s">
        <v>2601</v>
      </c>
      <c r="C66" s="329">
        <f t="shared" si="18"/>
        <v>2995.6779999999999</v>
      </c>
      <c r="D66" s="329"/>
      <c r="E66" s="329">
        <v>2995.6779999999999</v>
      </c>
      <c r="F66" s="329">
        <v>2995.6779999999999</v>
      </c>
      <c r="G66" s="329"/>
      <c r="H66" s="329"/>
      <c r="I66" s="329"/>
      <c r="J66" s="329">
        <f t="shared" si="19"/>
        <v>0</v>
      </c>
      <c r="K66" s="329"/>
      <c r="L66" s="329"/>
      <c r="M66" s="329">
        <f t="shared" si="20"/>
        <v>2981.7965800000002</v>
      </c>
      <c r="N66" s="329"/>
      <c r="O66" s="398">
        <v>2981.7965800000002</v>
      </c>
      <c r="P66" s="329"/>
      <c r="Q66" s="329"/>
      <c r="R66" s="329"/>
      <c r="S66" s="329"/>
      <c r="T66" s="329">
        <f>U66+V66</f>
        <v>0</v>
      </c>
      <c r="U66" s="329"/>
      <c r="V66" s="329"/>
      <c r="W66" s="329">
        <f t="shared" si="22"/>
        <v>0</v>
      </c>
      <c r="X66" s="329"/>
      <c r="Y66" s="329">
        <v>0</v>
      </c>
      <c r="Z66" s="330">
        <f t="shared" si="14"/>
        <v>99.536618421606065</v>
      </c>
      <c r="AA66" s="330"/>
      <c r="AB66" s="330">
        <f t="shared" si="16"/>
        <v>99.536618421606065</v>
      </c>
      <c r="AC66" s="330"/>
    </row>
    <row r="67" spans="1:29" s="47" customFormat="1">
      <c r="A67" s="452">
        <v>57</v>
      </c>
      <c r="B67" s="716" t="s">
        <v>2486</v>
      </c>
      <c r="C67" s="329">
        <f t="shared" si="18"/>
        <v>11</v>
      </c>
      <c r="D67" s="329"/>
      <c r="E67" s="329">
        <v>11</v>
      </c>
      <c r="F67" s="329"/>
      <c r="G67" s="329">
        <v>11</v>
      </c>
      <c r="H67" s="329"/>
      <c r="I67" s="329"/>
      <c r="J67" s="329">
        <f t="shared" si="19"/>
        <v>0</v>
      </c>
      <c r="K67" s="329"/>
      <c r="L67" s="329"/>
      <c r="M67" s="329">
        <f t="shared" si="20"/>
        <v>11</v>
      </c>
      <c r="N67" s="329"/>
      <c r="O67" s="329">
        <v>11</v>
      </c>
      <c r="P67" s="329"/>
      <c r="Q67" s="329"/>
      <c r="R67" s="329"/>
      <c r="S67" s="329"/>
      <c r="T67" s="329">
        <f>U67+V67</f>
        <v>0</v>
      </c>
      <c r="U67" s="329"/>
      <c r="V67" s="329"/>
      <c r="W67" s="329">
        <f t="shared" si="22"/>
        <v>0</v>
      </c>
      <c r="X67" s="329"/>
      <c r="Y67" s="329"/>
      <c r="Z67" s="330">
        <f t="shared" si="14"/>
        <v>100</v>
      </c>
      <c r="AA67" s="330"/>
      <c r="AB67" s="330">
        <f t="shared" si="16"/>
        <v>100</v>
      </c>
      <c r="AC67" s="330"/>
    </row>
    <row r="68" spans="1:29" s="47" customFormat="1">
      <c r="A68" s="452">
        <v>58</v>
      </c>
      <c r="B68" s="717" t="s">
        <v>2026</v>
      </c>
      <c r="C68" s="329">
        <f t="shared" si="18"/>
        <v>50</v>
      </c>
      <c r="D68" s="329">
        <v>50</v>
      </c>
      <c r="E68" s="329"/>
      <c r="F68" s="329"/>
      <c r="G68" s="329"/>
      <c r="H68" s="329"/>
      <c r="I68" s="329"/>
      <c r="J68" s="329">
        <f t="shared" si="19"/>
        <v>0</v>
      </c>
      <c r="K68" s="329"/>
      <c r="L68" s="329"/>
      <c r="M68" s="329">
        <f t="shared" si="20"/>
        <v>50</v>
      </c>
      <c r="N68" s="329">
        <v>0</v>
      </c>
      <c r="O68" s="329"/>
      <c r="P68" s="329"/>
      <c r="Q68" s="329"/>
      <c r="R68" s="329"/>
      <c r="S68" s="329"/>
      <c r="T68" s="329"/>
      <c r="U68" s="329"/>
      <c r="V68" s="329"/>
      <c r="W68" s="329">
        <f t="shared" si="22"/>
        <v>50</v>
      </c>
      <c r="X68" s="329">
        <v>50</v>
      </c>
      <c r="Y68" s="329"/>
      <c r="Z68" s="330">
        <f t="shared" si="14"/>
        <v>100</v>
      </c>
      <c r="AA68" s="330"/>
      <c r="AB68" s="330"/>
      <c r="AC68" s="330"/>
    </row>
    <row r="69" spans="1:29" s="47" customFormat="1">
      <c r="A69" s="452">
        <v>59</v>
      </c>
      <c r="B69" s="716" t="s">
        <v>2556</v>
      </c>
      <c r="C69" s="329">
        <f t="shared" si="18"/>
        <v>5401.2518680000003</v>
      </c>
      <c r="D69" s="329"/>
      <c r="E69" s="329">
        <v>5401.2518680000003</v>
      </c>
      <c r="F69" s="329">
        <v>5401.2518680000003</v>
      </c>
      <c r="G69" s="329"/>
      <c r="H69" s="329"/>
      <c r="I69" s="329"/>
      <c r="J69" s="329">
        <f t="shared" si="19"/>
        <v>0</v>
      </c>
      <c r="K69" s="329"/>
      <c r="L69" s="329"/>
      <c r="M69" s="329">
        <f t="shared" si="20"/>
        <v>5249.6487459999998</v>
      </c>
      <c r="N69" s="329"/>
      <c r="O69" s="398">
        <v>5249.6487459999998</v>
      </c>
      <c r="P69" s="329"/>
      <c r="Q69" s="329"/>
      <c r="R69" s="329"/>
      <c r="S69" s="329"/>
      <c r="T69" s="329">
        <f>U69+V69</f>
        <v>0</v>
      </c>
      <c r="U69" s="329"/>
      <c r="V69" s="329"/>
      <c r="W69" s="329">
        <f t="shared" si="22"/>
        <v>0</v>
      </c>
      <c r="X69" s="329"/>
      <c r="Y69" s="329">
        <v>0</v>
      </c>
      <c r="Z69" s="330">
        <f t="shared" si="14"/>
        <v>97.193185474312344</v>
      </c>
      <c r="AA69" s="330"/>
      <c r="AB69" s="330">
        <f t="shared" si="16"/>
        <v>97.193185474312344</v>
      </c>
      <c r="AC69" s="330"/>
    </row>
    <row r="70" spans="1:29" s="47" customFormat="1">
      <c r="A70" s="452">
        <v>60</v>
      </c>
      <c r="B70" s="716" t="s">
        <v>2418</v>
      </c>
      <c r="C70" s="329">
        <f t="shared" si="18"/>
        <v>6718</v>
      </c>
      <c r="D70" s="329"/>
      <c r="E70" s="329">
        <v>6718</v>
      </c>
      <c r="F70" s="329">
        <v>6718</v>
      </c>
      <c r="G70" s="329"/>
      <c r="H70" s="329"/>
      <c r="I70" s="329"/>
      <c r="J70" s="329">
        <f t="shared" si="19"/>
        <v>0</v>
      </c>
      <c r="K70" s="329"/>
      <c r="L70" s="329"/>
      <c r="M70" s="329">
        <f t="shared" si="20"/>
        <v>6682.4294099999997</v>
      </c>
      <c r="N70" s="329"/>
      <c r="O70" s="398">
        <v>6682.4294099999997</v>
      </c>
      <c r="P70" s="329"/>
      <c r="Q70" s="329"/>
      <c r="R70" s="329"/>
      <c r="S70" s="329"/>
      <c r="T70" s="329">
        <f>U70+V70</f>
        <v>0</v>
      </c>
      <c r="U70" s="329"/>
      <c r="V70" s="329"/>
      <c r="W70" s="329">
        <f t="shared" si="22"/>
        <v>0</v>
      </c>
      <c r="X70" s="329"/>
      <c r="Y70" s="329">
        <v>0</v>
      </c>
      <c r="Z70" s="330">
        <f t="shared" si="14"/>
        <v>99.470518160166705</v>
      </c>
      <c r="AA70" s="330"/>
      <c r="AB70" s="330">
        <f t="shared" si="16"/>
        <v>99.470518160166705</v>
      </c>
      <c r="AC70" s="330"/>
    </row>
    <row r="71" spans="1:29" s="47" customFormat="1">
      <c r="A71" s="452">
        <v>61</v>
      </c>
      <c r="B71" s="717" t="s">
        <v>578</v>
      </c>
      <c r="C71" s="329">
        <f t="shared" si="18"/>
        <v>10000</v>
      </c>
      <c r="D71" s="329">
        <v>10000</v>
      </c>
      <c r="E71" s="329"/>
      <c r="F71" s="329"/>
      <c r="G71" s="329"/>
      <c r="H71" s="329"/>
      <c r="I71" s="329"/>
      <c r="J71" s="329">
        <f t="shared" si="19"/>
        <v>0</v>
      </c>
      <c r="K71" s="329"/>
      <c r="L71" s="329"/>
      <c r="M71" s="329">
        <f t="shared" si="20"/>
        <v>13483</v>
      </c>
      <c r="N71" s="329">
        <v>8036.1949999999997</v>
      </c>
      <c r="O71" s="329"/>
      <c r="P71" s="329"/>
      <c r="Q71" s="329"/>
      <c r="R71" s="329"/>
      <c r="S71" s="329"/>
      <c r="T71" s="329"/>
      <c r="U71" s="329"/>
      <c r="V71" s="329"/>
      <c r="W71" s="329">
        <f t="shared" si="22"/>
        <v>5446.8050000000003</v>
      </c>
      <c r="X71" s="329">
        <v>5446.8050000000003</v>
      </c>
      <c r="Y71" s="329"/>
      <c r="Z71" s="330">
        <f t="shared" si="14"/>
        <v>134.83000000000001</v>
      </c>
      <c r="AA71" s="330">
        <f t="shared" si="15"/>
        <v>80.361949999999993</v>
      </c>
      <c r="AB71" s="330"/>
      <c r="AC71" s="330"/>
    </row>
    <row r="72" spans="1:29" s="47" customFormat="1">
      <c r="A72" s="452">
        <v>62</v>
      </c>
      <c r="B72" s="716" t="s">
        <v>2381</v>
      </c>
      <c r="C72" s="329">
        <f t="shared" si="18"/>
        <v>11942.856</v>
      </c>
      <c r="D72" s="329"/>
      <c r="E72" s="329">
        <v>11942.856</v>
      </c>
      <c r="F72" s="329">
        <v>11942.856</v>
      </c>
      <c r="G72" s="329"/>
      <c r="H72" s="329"/>
      <c r="I72" s="329"/>
      <c r="J72" s="329">
        <f t="shared" si="19"/>
        <v>0</v>
      </c>
      <c r="K72" s="329"/>
      <c r="L72" s="329"/>
      <c r="M72" s="329">
        <f t="shared" si="20"/>
        <v>11908.790668</v>
      </c>
      <c r="N72" s="329"/>
      <c r="O72" s="398">
        <v>11873.290668</v>
      </c>
      <c r="P72" s="329"/>
      <c r="Q72" s="329"/>
      <c r="R72" s="329"/>
      <c r="S72" s="329"/>
      <c r="T72" s="329">
        <f>U72+V72</f>
        <v>0</v>
      </c>
      <c r="U72" s="329"/>
      <c r="V72" s="329"/>
      <c r="W72" s="329">
        <f t="shared" si="22"/>
        <v>35.5</v>
      </c>
      <c r="X72" s="329"/>
      <c r="Y72" s="329">
        <v>35.5</v>
      </c>
      <c r="Z72" s="330">
        <f t="shared" si="14"/>
        <v>99.714763939211849</v>
      </c>
      <c r="AA72" s="330"/>
      <c r="AB72" s="330">
        <f t="shared" si="16"/>
        <v>99.417515106939234</v>
      </c>
      <c r="AC72" s="330"/>
    </row>
    <row r="73" spans="1:29" s="47" customFormat="1">
      <c r="A73" s="452">
        <v>63</v>
      </c>
      <c r="B73" s="716" t="s">
        <v>1491</v>
      </c>
      <c r="C73" s="329">
        <f t="shared" si="18"/>
        <v>6164.3991130000004</v>
      </c>
      <c r="D73" s="329"/>
      <c r="E73" s="329">
        <v>6164.3991130000004</v>
      </c>
      <c r="F73" s="329">
        <v>6164.3991130000004</v>
      </c>
      <c r="G73" s="329"/>
      <c r="H73" s="329"/>
      <c r="I73" s="329"/>
      <c r="J73" s="329">
        <f t="shared" si="19"/>
        <v>0</v>
      </c>
      <c r="K73" s="329"/>
      <c r="L73" s="329"/>
      <c r="M73" s="329">
        <f t="shared" si="20"/>
        <v>6164.3917279999996</v>
      </c>
      <c r="N73" s="329"/>
      <c r="O73" s="398">
        <v>6164.3917279999996</v>
      </c>
      <c r="P73" s="329"/>
      <c r="Q73" s="329"/>
      <c r="R73" s="329"/>
      <c r="S73" s="329"/>
      <c r="T73" s="329">
        <f>U73+V73</f>
        <v>0</v>
      </c>
      <c r="U73" s="329"/>
      <c r="V73" s="329"/>
      <c r="W73" s="329">
        <f t="shared" si="22"/>
        <v>0</v>
      </c>
      <c r="X73" s="329"/>
      <c r="Y73" s="329">
        <v>0</v>
      </c>
      <c r="Z73" s="330">
        <f t="shared" si="14"/>
        <v>99.999880199191111</v>
      </c>
      <c r="AA73" s="330"/>
      <c r="AB73" s="330">
        <f t="shared" si="16"/>
        <v>99.999880199191111</v>
      </c>
      <c r="AC73" s="330"/>
    </row>
    <row r="74" spans="1:29" s="47" customFormat="1">
      <c r="A74" s="452">
        <v>64</v>
      </c>
      <c r="B74" s="718" t="s">
        <v>2515</v>
      </c>
      <c r="C74" s="329">
        <f t="shared" si="18"/>
        <v>2867.7400000000002</v>
      </c>
      <c r="D74" s="329">
        <v>2867.7400000000002</v>
      </c>
      <c r="E74" s="329"/>
      <c r="F74" s="329"/>
      <c r="G74" s="329"/>
      <c r="H74" s="329"/>
      <c r="I74" s="329"/>
      <c r="J74" s="329">
        <f t="shared" si="19"/>
        <v>0</v>
      </c>
      <c r="K74" s="329"/>
      <c r="L74" s="329"/>
      <c r="M74" s="329">
        <f t="shared" si="20"/>
        <v>2867.7400000000002</v>
      </c>
      <c r="N74" s="329">
        <v>2730.346</v>
      </c>
      <c r="O74" s="329"/>
      <c r="P74" s="329"/>
      <c r="Q74" s="329"/>
      <c r="R74" s="329"/>
      <c r="S74" s="329"/>
      <c r="T74" s="329"/>
      <c r="U74" s="329"/>
      <c r="V74" s="329"/>
      <c r="W74" s="329">
        <f t="shared" si="22"/>
        <v>137.39400000000023</v>
      </c>
      <c r="X74" s="329">
        <v>137.39400000000023</v>
      </c>
      <c r="Y74" s="329"/>
      <c r="Z74" s="330">
        <f t="shared" si="14"/>
        <v>100</v>
      </c>
      <c r="AA74" s="330">
        <f t="shared" si="15"/>
        <v>95.208979893574721</v>
      </c>
      <c r="AB74" s="330"/>
      <c r="AC74" s="330"/>
    </row>
    <row r="75" spans="1:29" s="47" customFormat="1" ht="31.2">
      <c r="A75" s="452">
        <v>65</v>
      </c>
      <c r="B75" s="716" t="s">
        <v>2445</v>
      </c>
      <c r="C75" s="329">
        <f t="shared" si="18"/>
        <v>5547.0749999999998</v>
      </c>
      <c r="D75" s="329"/>
      <c r="E75" s="329">
        <v>5547.0749999999998</v>
      </c>
      <c r="F75" s="329">
        <v>5547.0749999999998</v>
      </c>
      <c r="G75" s="329"/>
      <c r="H75" s="329"/>
      <c r="I75" s="329"/>
      <c r="J75" s="329">
        <f t="shared" si="19"/>
        <v>0</v>
      </c>
      <c r="K75" s="329"/>
      <c r="L75" s="329"/>
      <c r="M75" s="329">
        <f t="shared" si="20"/>
        <v>4915.6915140000001</v>
      </c>
      <c r="N75" s="329"/>
      <c r="O75" s="398">
        <v>4915.6915140000001</v>
      </c>
      <c r="P75" s="329"/>
      <c r="Q75" s="329"/>
      <c r="R75" s="329"/>
      <c r="S75" s="329"/>
      <c r="T75" s="329">
        <f>U75+V75</f>
        <v>0</v>
      </c>
      <c r="U75" s="329"/>
      <c r="V75" s="329"/>
      <c r="W75" s="329">
        <f t="shared" si="22"/>
        <v>0</v>
      </c>
      <c r="X75" s="329"/>
      <c r="Y75" s="329">
        <v>0</v>
      </c>
      <c r="Z75" s="330">
        <f t="shared" si="14"/>
        <v>88.617722204945863</v>
      </c>
      <c r="AA75" s="330"/>
      <c r="AB75" s="330">
        <f t="shared" si="16"/>
        <v>88.617722204945863</v>
      </c>
      <c r="AC75" s="330"/>
    </row>
    <row r="76" spans="1:29" s="47" customFormat="1" ht="31.2">
      <c r="A76" s="452">
        <v>66</v>
      </c>
      <c r="B76" s="718" t="s">
        <v>2525</v>
      </c>
      <c r="C76" s="329">
        <f t="shared" si="18"/>
        <v>27659.776000000002</v>
      </c>
      <c r="D76" s="329">
        <v>27659.776000000002</v>
      </c>
      <c r="E76" s="329"/>
      <c r="F76" s="329"/>
      <c r="G76" s="329"/>
      <c r="H76" s="329"/>
      <c r="I76" s="329"/>
      <c r="J76" s="329">
        <f t="shared" si="19"/>
        <v>0</v>
      </c>
      <c r="K76" s="329"/>
      <c r="L76" s="329"/>
      <c r="M76" s="329">
        <f t="shared" si="20"/>
        <v>27727.549915</v>
      </c>
      <c r="N76" s="329">
        <v>27655.589264999999</v>
      </c>
      <c r="O76" s="329"/>
      <c r="P76" s="329"/>
      <c r="Q76" s="329"/>
      <c r="R76" s="329"/>
      <c r="S76" s="329"/>
      <c r="T76" s="329"/>
      <c r="U76" s="329"/>
      <c r="V76" s="329"/>
      <c r="W76" s="329">
        <f t="shared" si="22"/>
        <v>71.960650000000044</v>
      </c>
      <c r="X76" s="329">
        <v>71.960650000000044</v>
      </c>
      <c r="Y76" s="329"/>
      <c r="Z76" s="330">
        <f t="shared" ref="Z76:Z139" si="24">M76/C76%</f>
        <v>100.24502698431108</v>
      </c>
      <c r="AA76" s="330">
        <f t="shared" ref="AA76:AA115" si="25">N76/D76%</f>
        <v>99.984863452979511</v>
      </c>
      <c r="AB76" s="330"/>
      <c r="AC76" s="330"/>
    </row>
    <row r="77" spans="1:29" s="47" customFormat="1">
      <c r="A77" s="452">
        <v>67</v>
      </c>
      <c r="B77" s="717" t="s">
        <v>2526</v>
      </c>
      <c r="C77" s="329">
        <f t="shared" si="18"/>
        <v>20149.357212999999</v>
      </c>
      <c r="D77" s="329">
        <v>20149.357212999999</v>
      </c>
      <c r="E77" s="329"/>
      <c r="F77" s="329"/>
      <c r="G77" s="329"/>
      <c r="H77" s="329"/>
      <c r="I77" s="329"/>
      <c r="J77" s="329">
        <f t="shared" si="19"/>
        <v>0</v>
      </c>
      <c r="K77" s="329"/>
      <c r="L77" s="329"/>
      <c r="M77" s="329">
        <f t="shared" si="20"/>
        <v>20149.360213</v>
      </c>
      <c r="N77" s="329">
        <v>15666.050909</v>
      </c>
      <c r="O77" s="329"/>
      <c r="P77" s="329"/>
      <c r="Q77" s="329"/>
      <c r="R77" s="329"/>
      <c r="S77" s="329"/>
      <c r="T77" s="329"/>
      <c r="U77" s="329"/>
      <c r="V77" s="329"/>
      <c r="W77" s="329">
        <f t="shared" si="22"/>
        <v>4483.3093040000003</v>
      </c>
      <c r="X77" s="329">
        <v>4483.3093040000003</v>
      </c>
      <c r="Y77" s="329"/>
      <c r="Z77" s="330">
        <f t="shared" si="24"/>
        <v>100.00001488881243</v>
      </c>
      <c r="AA77" s="330">
        <f t="shared" si="25"/>
        <v>77.749631134101634</v>
      </c>
      <c r="AB77" s="330"/>
      <c r="AC77" s="330"/>
    </row>
    <row r="78" spans="1:29" s="47" customFormat="1" ht="31.2">
      <c r="A78" s="452">
        <v>68</v>
      </c>
      <c r="B78" s="717" t="s">
        <v>2527</v>
      </c>
      <c r="C78" s="329">
        <f t="shared" si="18"/>
        <v>20952.932000000001</v>
      </c>
      <c r="D78" s="329">
        <v>20952.932000000001</v>
      </c>
      <c r="E78" s="329"/>
      <c r="F78" s="329"/>
      <c r="G78" s="329"/>
      <c r="H78" s="329"/>
      <c r="I78" s="329"/>
      <c r="J78" s="329">
        <f t="shared" si="19"/>
        <v>0</v>
      </c>
      <c r="K78" s="329"/>
      <c r="L78" s="329"/>
      <c r="M78" s="329">
        <f t="shared" si="20"/>
        <v>19777.483248</v>
      </c>
      <c r="N78" s="329">
        <v>15096.971598000002</v>
      </c>
      <c r="O78" s="329"/>
      <c r="P78" s="329"/>
      <c r="Q78" s="329"/>
      <c r="R78" s="329"/>
      <c r="S78" s="329"/>
      <c r="T78" s="329"/>
      <c r="U78" s="329"/>
      <c r="V78" s="329"/>
      <c r="W78" s="329">
        <f t="shared" si="22"/>
        <v>4680.5116499999995</v>
      </c>
      <c r="X78" s="329">
        <v>4680.5116499999995</v>
      </c>
      <c r="Y78" s="329"/>
      <c r="Z78" s="330">
        <f t="shared" si="24"/>
        <v>94.390051225289142</v>
      </c>
      <c r="AA78" s="330">
        <f t="shared" si="25"/>
        <v>72.051833118152629</v>
      </c>
      <c r="AB78" s="330"/>
      <c r="AC78" s="330"/>
    </row>
    <row r="79" spans="1:29" s="47" customFormat="1" ht="31.2">
      <c r="A79" s="452">
        <v>69</v>
      </c>
      <c r="B79" s="717" t="s">
        <v>2528</v>
      </c>
      <c r="C79" s="329">
        <f t="shared" si="18"/>
        <v>25197.69</v>
      </c>
      <c r="D79" s="329">
        <v>25197.69</v>
      </c>
      <c r="E79" s="329"/>
      <c r="F79" s="329"/>
      <c r="G79" s="329"/>
      <c r="H79" s="329"/>
      <c r="I79" s="329"/>
      <c r="J79" s="329">
        <f t="shared" si="19"/>
        <v>0</v>
      </c>
      <c r="K79" s="329"/>
      <c r="L79" s="329"/>
      <c r="M79" s="329">
        <f t="shared" si="20"/>
        <v>25165.033984000002</v>
      </c>
      <c r="N79" s="329">
        <v>24571.013184000003</v>
      </c>
      <c r="O79" s="329"/>
      <c r="P79" s="329"/>
      <c r="Q79" s="329"/>
      <c r="R79" s="329"/>
      <c r="S79" s="329"/>
      <c r="T79" s="329"/>
      <c r="U79" s="329"/>
      <c r="V79" s="329"/>
      <c r="W79" s="329">
        <f t="shared" si="22"/>
        <v>594.02079999999978</v>
      </c>
      <c r="X79" s="329">
        <v>594.02079999999978</v>
      </c>
      <c r="Y79" s="329"/>
      <c r="Z79" s="330">
        <f t="shared" si="24"/>
        <v>99.870400754989845</v>
      </c>
      <c r="AA79" s="330">
        <f t="shared" si="25"/>
        <v>97.512959259360699</v>
      </c>
      <c r="AB79" s="330"/>
      <c r="AC79" s="330"/>
    </row>
    <row r="80" spans="1:29" s="47" customFormat="1">
      <c r="A80" s="452">
        <v>70</v>
      </c>
      <c r="B80" s="718" t="s">
        <v>2529</v>
      </c>
      <c r="C80" s="329">
        <f t="shared" si="18"/>
        <v>37240.46</v>
      </c>
      <c r="D80" s="329">
        <v>37240.46</v>
      </c>
      <c r="E80" s="329"/>
      <c r="F80" s="329"/>
      <c r="G80" s="329"/>
      <c r="H80" s="329"/>
      <c r="I80" s="329"/>
      <c r="J80" s="329">
        <f t="shared" si="19"/>
        <v>0</v>
      </c>
      <c r="K80" s="329"/>
      <c r="L80" s="329"/>
      <c r="M80" s="329">
        <f t="shared" si="20"/>
        <v>36960.778505000002</v>
      </c>
      <c r="N80" s="329">
        <v>30336.621559000003</v>
      </c>
      <c r="O80" s="329"/>
      <c r="P80" s="329"/>
      <c r="Q80" s="329"/>
      <c r="R80" s="329"/>
      <c r="S80" s="329"/>
      <c r="T80" s="329"/>
      <c r="U80" s="329"/>
      <c r="V80" s="329"/>
      <c r="W80" s="329">
        <f t="shared" si="22"/>
        <v>6624.1569459999992</v>
      </c>
      <c r="X80" s="329">
        <v>6624.1569459999992</v>
      </c>
      <c r="Y80" s="329"/>
      <c r="Z80" s="330">
        <f t="shared" si="24"/>
        <v>99.248984854107604</v>
      </c>
      <c r="AA80" s="330">
        <f t="shared" si="25"/>
        <v>81.461457669964332</v>
      </c>
      <c r="AB80" s="330"/>
      <c r="AC80" s="330"/>
    </row>
    <row r="81" spans="1:29" s="47" customFormat="1" ht="31.2">
      <c r="A81" s="452">
        <v>71</v>
      </c>
      <c r="B81" s="717" t="s">
        <v>2530</v>
      </c>
      <c r="C81" s="329">
        <f t="shared" si="18"/>
        <v>15688.857</v>
      </c>
      <c r="D81" s="329">
        <v>15688.857</v>
      </c>
      <c r="E81" s="329"/>
      <c r="F81" s="329"/>
      <c r="G81" s="329"/>
      <c r="H81" s="329"/>
      <c r="I81" s="329"/>
      <c r="J81" s="329">
        <f t="shared" si="19"/>
        <v>0</v>
      </c>
      <c r="K81" s="329"/>
      <c r="L81" s="329"/>
      <c r="M81" s="329">
        <f t="shared" si="20"/>
        <v>15420.260094000001</v>
      </c>
      <c r="N81" s="329">
        <v>14874.209316</v>
      </c>
      <c r="O81" s="329"/>
      <c r="P81" s="329"/>
      <c r="Q81" s="329"/>
      <c r="R81" s="329"/>
      <c r="S81" s="329"/>
      <c r="T81" s="329"/>
      <c r="U81" s="329"/>
      <c r="V81" s="329"/>
      <c r="W81" s="329">
        <f t="shared" si="22"/>
        <v>546.05077800000049</v>
      </c>
      <c r="X81" s="329">
        <v>546.05077800000049</v>
      </c>
      <c r="Y81" s="329"/>
      <c r="Z81" s="330">
        <f t="shared" si="24"/>
        <v>98.287976581085559</v>
      </c>
      <c r="AA81" s="330">
        <f t="shared" si="25"/>
        <v>94.807475879217975</v>
      </c>
      <c r="AB81" s="330"/>
      <c r="AC81" s="330"/>
    </row>
    <row r="82" spans="1:29" s="47" customFormat="1" ht="31.2">
      <c r="A82" s="452">
        <v>72</v>
      </c>
      <c r="B82" s="718" t="s">
        <v>2524</v>
      </c>
      <c r="C82" s="329">
        <f t="shared" si="18"/>
        <v>34997.603999999999</v>
      </c>
      <c r="D82" s="329">
        <v>34997.603999999999</v>
      </c>
      <c r="E82" s="329"/>
      <c r="F82" s="329"/>
      <c r="G82" s="329"/>
      <c r="H82" s="329"/>
      <c r="I82" s="329"/>
      <c r="J82" s="329">
        <f t="shared" si="19"/>
        <v>0</v>
      </c>
      <c r="K82" s="329"/>
      <c r="L82" s="329"/>
      <c r="M82" s="329">
        <f t="shared" si="20"/>
        <v>30280.019</v>
      </c>
      <c r="N82" s="329">
        <v>19233.140342999999</v>
      </c>
      <c r="O82" s="329"/>
      <c r="P82" s="329"/>
      <c r="Q82" s="329"/>
      <c r="R82" s="329"/>
      <c r="S82" s="329"/>
      <c r="T82" s="329"/>
      <c r="U82" s="329"/>
      <c r="V82" s="329"/>
      <c r="W82" s="329">
        <f t="shared" si="22"/>
        <v>11046.878657000001</v>
      </c>
      <c r="X82" s="329">
        <v>11046.878657000001</v>
      </c>
      <c r="Y82" s="329"/>
      <c r="Z82" s="330">
        <f t="shared" si="24"/>
        <v>86.520262929999433</v>
      </c>
      <c r="AA82" s="330">
        <f t="shared" si="25"/>
        <v>54.955591654217237</v>
      </c>
      <c r="AB82" s="330"/>
      <c r="AC82" s="330"/>
    </row>
    <row r="83" spans="1:29" s="47" customFormat="1">
      <c r="A83" s="452">
        <v>73</v>
      </c>
      <c r="B83" s="716" t="s">
        <v>2356</v>
      </c>
      <c r="C83" s="329">
        <f t="shared" si="18"/>
        <v>372</v>
      </c>
      <c r="D83" s="329"/>
      <c r="E83" s="329">
        <v>372</v>
      </c>
      <c r="F83" s="329">
        <v>372</v>
      </c>
      <c r="G83" s="329"/>
      <c r="H83" s="329"/>
      <c r="I83" s="329"/>
      <c r="J83" s="329">
        <f t="shared" si="19"/>
        <v>0</v>
      </c>
      <c r="K83" s="329"/>
      <c r="L83" s="329"/>
      <c r="M83" s="329">
        <f t="shared" si="20"/>
        <v>372</v>
      </c>
      <c r="N83" s="329"/>
      <c r="O83" s="398">
        <v>372</v>
      </c>
      <c r="P83" s="329"/>
      <c r="Q83" s="329"/>
      <c r="R83" s="329"/>
      <c r="S83" s="329"/>
      <c r="T83" s="329">
        <f t="shared" ref="T83:T111" si="26">U83+V83</f>
        <v>0</v>
      </c>
      <c r="U83" s="329"/>
      <c r="V83" s="329"/>
      <c r="W83" s="329">
        <f t="shared" si="22"/>
        <v>0</v>
      </c>
      <c r="X83" s="329"/>
      <c r="Y83" s="329">
        <v>0</v>
      </c>
      <c r="Z83" s="330">
        <f t="shared" si="24"/>
        <v>100</v>
      </c>
      <c r="AA83" s="330"/>
      <c r="AB83" s="330">
        <f t="shared" ref="AB83:AB139" si="27">O83/E83%</f>
        <v>100</v>
      </c>
      <c r="AC83" s="330"/>
    </row>
    <row r="84" spans="1:29" s="47" customFormat="1">
      <c r="A84" s="452">
        <v>74</v>
      </c>
      <c r="B84" s="716" t="s">
        <v>1476</v>
      </c>
      <c r="C84" s="329">
        <f t="shared" si="18"/>
        <v>11927.4</v>
      </c>
      <c r="D84" s="329"/>
      <c r="E84" s="329">
        <v>11927.4</v>
      </c>
      <c r="F84" s="329">
        <v>11927.4</v>
      </c>
      <c r="G84" s="329"/>
      <c r="H84" s="329"/>
      <c r="I84" s="329"/>
      <c r="J84" s="329">
        <f t="shared" si="19"/>
        <v>0</v>
      </c>
      <c r="K84" s="329"/>
      <c r="L84" s="329"/>
      <c r="M84" s="329">
        <f t="shared" si="20"/>
        <v>11860.238450999999</v>
      </c>
      <c r="N84" s="329"/>
      <c r="O84" s="398">
        <v>11860.238450999999</v>
      </c>
      <c r="P84" s="329"/>
      <c r="Q84" s="329"/>
      <c r="R84" s="329"/>
      <c r="S84" s="329"/>
      <c r="T84" s="329">
        <f t="shared" si="26"/>
        <v>0</v>
      </c>
      <c r="U84" s="329"/>
      <c r="V84" s="329"/>
      <c r="W84" s="329">
        <f t="shared" si="22"/>
        <v>0</v>
      </c>
      <c r="X84" s="329"/>
      <c r="Y84" s="329">
        <v>0</v>
      </c>
      <c r="Z84" s="330">
        <f t="shared" si="24"/>
        <v>99.436913753206895</v>
      </c>
      <c r="AA84" s="330"/>
      <c r="AB84" s="330">
        <f t="shared" si="27"/>
        <v>99.436913753206895</v>
      </c>
      <c r="AC84" s="330"/>
    </row>
    <row r="85" spans="1:29" s="47" customFormat="1">
      <c r="A85" s="452">
        <v>75</v>
      </c>
      <c r="B85" s="716" t="s">
        <v>1552</v>
      </c>
      <c r="C85" s="329">
        <f t="shared" si="18"/>
        <v>174</v>
      </c>
      <c r="D85" s="329"/>
      <c r="E85" s="329">
        <v>174</v>
      </c>
      <c r="F85" s="329">
        <v>174</v>
      </c>
      <c r="G85" s="329"/>
      <c r="H85" s="329"/>
      <c r="I85" s="329"/>
      <c r="J85" s="329">
        <f t="shared" si="19"/>
        <v>0</v>
      </c>
      <c r="K85" s="329"/>
      <c r="L85" s="329"/>
      <c r="M85" s="329">
        <f t="shared" si="20"/>
        <v>174</v>
      </c>
      <c r="N85" s="329"/>
      <c r="O85" s="398">
        <v>174</v>
      </c>
      <c r="P85" s="329"/>
      <c r="Q85" s="329"/>
      <c r="R85" s="329"/>
      <c r="S85" s="329"/>
      <c r="T85" s="329">
        <f t="shared" si="26"/>
        <v>0</v>
      </c>
      <c r="U85" s="329"/>
      <c r="V85" s="329"/>
      <c r="W85" s="329">
        <f t="shared" si="22"/>
        <v>0</v>
      </c>
      <c r="X85" s="329"/>
      <c r="Y85" s="329">
        <v>0</v>
      </c>
      <c r="Z85" s="330">
        <f t="shared" si="24"/>
        <v>100</v>
      </c>
      <c r="AA85" s="330"/>
      <c r="AB85" s="330">
        <f t="shared" si="27"/>
        <v>100</v>
      </c>
      <c r="AC85" s="330"/>
    </row>
    <row r="86" spans="1:29" s="47" customFormat="1">
      <c r="A86" s="452">
        <v>76</v>
      </c>
      <c r="B86" s="716" t="s">
        <v>2543</v>
      </c>
      <c r="C86" s="329">
        <f t="shared" si="18"/>
        <v>1879.3400140000001</v>
      </c>
      <c r="D86" s="329"/>
      <c r="E86" s="329">
        <v>1879.3400140000001</v>
      </c>
      <c r="F86" s="329">
        <v>1879.3400140000001</v>
      </c>
      <c r="G86" s="329"/>
      <c r="H86" s="329"/>
      <c r="I86" s="329"/>
      <c r="J86" s="329">
        <f t="shared" si="19"/>
        <v>0</v>
      </c>
      <c r="K86" s="329"/>
      <c r="L86" s="329"/>
      <c r="M86" s="329">
        <f t="shared" si="20"/>
        <v>1879.3400140000001</v>
      </c>
      <c r="N86" s="329"/>
      <c r="O86" s="398">
        <v>1879.3400140000001</v>
      </c>
      <c r="P86" s="329"/>
      <c r="Q86" s="329"/>
      <c r="R86" s="329"/>
      <c r="S86" s="329"/>
      <c r="T86" s="329">
        <f t="shared" si="26"/>
        <v>0</v>
      </c>
      <c r="U86" s="329"/>
      <c r="V86" s="329"/>
      <c r="W86" s="329">
        <f t="shared" si="22"/>
        <v>0</v>
      </c>
      <c r="X86" s="329"/>
      <c r="Y86" s="329">
        <v>0</v>
      </c>
      <c r="Z86" s="330">
        <f t="shared" si="24"/>
        <v>99.999999999999986</v>
      </c>
      <c r="AA86" s="330"/>
      <c r="AB86" s="330">
        <f t="shared" si="27"/>
        <v>99.999999999999986</v>
      </c>
      <c r="AC86" s="330"/>
    </row>
    <row r="87" spans="1:29" s="47" customFormat="1">
      <c r="A87" s="452">
        <v>77</v>
      </c>
      <c r="B87" s="716" t="s">
        <v>1500</v>
      </c>
      <c r="C87" s="329">
        <f t="shared" si="18"/>
        <v>3332</v>
      </c>
      <c r="D87" s="329"/>
      <c r="E87" s="329">
        <v>3332</v>
      </c>
      <c r="F87" s="329">
        <v>3332</v>
      </c>
      <c r="G87" s="329"/>
      <c r="H87" s="329"/>
      <c r="I87" s="329"/>
      <c r="J87" s="329">
        <f t="shared" si="19"/>
        <v>0</v>
      </c>
      <c r="K87" s="329"/>
      <c r="L87" s="329"/>
      <c r="M87" s="329">
        <f t="shared" si="20"/>
        <v>2353.419633</v>
      </c>
      <c r="N87" s="329"/>
      <c r="O87" s="398">
        <v>2353.419633</v>
      </c>
      <c r="P87" s="329"/>
      <c r="Q87" s="329"/>
      <c r="R87" s="329"/>
      <c r="S87" s="329"/>
      <c r="T87" s="329">
        <f t="shared" si="26"/>
        <v>0</v>
      </c>
      <c r="U87" s="329"/>
      <c r="V87" s="329"/>
      <c r="W87" s="329">
        <f t="shared" si="22"/>
        <v>0</v>
      </c>
      <c r="X87" s="329"/>
      <c r="Y87" s="329">
        <v>0</v>
      </c>
      <c r="Z87" s="330">
        <f t="shared" si="24"/>
        <v>70.630841326530614</v>
      </c>
      <c r="AA87" s="330"/>
      <c r="AB87" s="330">
        <f t="shared" si="27"/>
        <v>70.630841326530614</v>
      </c>
      <c r="AC87" s="330"/>
    </row>
    <row r="88" spans="1:29" s="47" customFormat="1">
      <c r="A88" s="452">
        <v>78</v>
      </c>
      <c r="B88" s="716" t="s">
        <v>494</v>
      </c>
      <c r="C88" s="329">
        <f t="shared" si="18"/>
        <v>1645.4190000000001</v>
      </c>
      <c r="D88" s="329"/>
      <c r="E88" s="329">
        <v>1645.4190000000001</v>
      </c>
      <c r="F88" s="329">
        <v>1645.4190000000001</v>
      </c>
      <c r="G88" s="329"/>
      <c r="H88" s="329"/>
      <c r="I88" s="329"/>
      <c r="J88" s="329">
        <f t="shared" si="19"/>
        <v>0</v>
      </c>
      <c r="K88" s="329"/>
      <c r="L88" s="329"/>
      <c r="M88" s="329">
        <f t="shared" si="20"/>
        <v>1645.4190000000001</v>
      </c>
      <c r="N88" s="329"/>
      <c r="O88" s="398">
        <v>1645.4190000000001</v>
      </c>
      <c r="P88" s="329"/>
      <c r="Q88" s="329"/>
      <c r="R88" s="329"/>
      <c r="S88" s="329"/>
      <c r="T88" s="329">
        <f t="shared" si="26"/>
        <v>0</v>
      </c>
      <c r="U88" s="329"/>
      <c r="V88" s="329"/>
      <c r="W88" s="329">
        <f t="shared" si="22"/>
        <v>0</v>
      </c>
      <c r="X88" s="329"/>
      <c r="Y88" s="329">
        <v>0</v>
      </c>
      <c r="Z88" s="330">
        <f t="shared" si="24"/>
        <v>100</v>
      </c>
      <c r="AA88" s="330"/>
      <c r="AB88" s="330">
        <f t="shared" si="27"/>
        <v>100</v>
      </c>
      <c r="AC88" s="330"/>
    </row>
    <row r="89" spans="1:29" s="47" customFormat="1">
      <c r="A89" s="452">
        <v>79</v>
      </c>
      <c r="B89" s="716" t="s">
        <v>1482</v>
      </c>
      <c r="C89" s="329">
        <f t="shared" si="18"/>
        <v>1916.1590000000001</v>
      </c>
      <c r="D89" s="329"/>
      <c r="E89" s="329">
        <v>1916.1590000000001</v>
      </c>
      <c r="F89" s="329">
        <v>1916.1590000000001</v>
      </c>
      <c r="G89" s="329"/>
      <c r="H89" s="329"/>
      <c r="I89" s="329"/>
      <c r="J89" s="329">
        <f t="shared" si="19"/>
        <v>0</v>
      </c>
      <c r="K89" s="329"/>
      <c r="L89" s="329"/>
      <c r="M89" s="329">
        <f t="shared" si="20"/>
        <v>1916.1590000000001</v>
      </c>
      <c r="N89" s="329"/>
      <c r="O89" s="398">
        <v>1916.1590000000001</v>
      </c>
      <c r="P89" s="329"/>
      <c r="Q89" s="329"/>
      <c r="R89" s="329"/>
      <c r="S89" s="329"/>
      <c r="T89" s="329">
        <f t="shared" si="26"/>
        <v>0</v>
      </c>
      <c r="U89" s="329"/>
      <c r="V89" s="329"/>
      <c r="W89" s="329">
        <f t="shared" si="22"/>
        <v>0</v>
      </c>
      <c r="X89" s="329"/>
      <c r="Y89" s="329">
        <v>0</v>
      </c>
      <c r="Z89" s="330">
        <f t="shared" si="24"/>
        <v>100</v>
      </c>
      <c r="AA89" s="330"/>
      <c r="AB89" s="330">
        <f t="shared" si="27"/>
        <v>100</v>
      </c>
      <c r="AC89" s="330"/>
    </row>
    <row r="90" spans="1:29" s="47" customFormat="1">
      <c r="A90" s="452">
        <v>80</v>
      </c>
      <c r="B90" s="716" t="s">
        <v>1958</v>
      </c>
      <c r="C90" s="329">
        <f t="shared" si="18"/>
        <v>15279.7</v>
      </c>
      <c r="D90" s="329"/>
      <c r="E90" s="329">
        <v>15279.7</v>
      </c>
      <c r="F90" s="329">
        <v>15279.7</v>
      </c>
      <c r="G90" s="329"/>
      <c r="H90" s="329"/>
      <c r="I90" s="329"/>
      <c r="J90" s="329">
        <f t="shared" si="19"/>
        <v>0</v>
      </c>
      <c r="K90" s="329"/>
      <c r="L90" s="329"/>
      <c r="M90" s="329">
        <f t="shared" si="20"/>
        <v>11565</v>
      </c>
      <c r="N90" s="329"/>
      <c r="O90" s="398">
        <v>11565</v>
      </c>
      <c r="P90" s="329"/>
      <c r="Q90" s="329"/>
      <c r="R90" s="329"/>
      <c r="S90" s="329"/>
      <c r="T90" s="329">
        <f t="shared" si="26"/>
        <v>0</v>
      </c>
      <c r="U90" s="329"/>
      <c r="V90" s="329"/>
      <c r="W90" s="329">
        <f t="shared" si="22"/>
        <v>0</v>
      </c>
      <c r="X90" s="329"/>
      <c r="Y90" s="329">
        <v>0</v>
      </c>
      <c r="Z90" s="330">
        <f t="shared" si="24"/>
        <v>75.68865880874624</v>
      </c>
      <c r="AA90" s="330"/>
      <c r="AB90" s="330">
        <f t="shared" si="27"/>
        <v>75.68865880874624</v>
      </c>
      <c r="AC90" s="330"/>
    </row>
    <row r="91" spans="1:29" s="47" customFormat="1">
      <c r="A91" s="452">
        <v>81</v>
      </c>
      <c r="B91" s="716" t="s">
        <v>2613</v>
      </c>
      <c r="C91" s="329">
        <f t="shared" si="18"/>
        <v>3507.6</v>
      </c>
      <c r="D91" s="329"/>
      <c r="E91" s="329">
        <v>3507.6</v>
      </c>
      <c r="F91" s="329">
        <v>3507.6</v>
      </c>
      <c r="G91" s="329"/>
      <c r="H91" s="329"/>
      <c r="I91" s="329"/>
      <c r="J91" s="329">
        <f t="shared" si="19"/>
        <v>0</v>
      </c>
      <c r="K91" s="329"/>
      <c r="L91" s="329"/>
      <c r="M91" s="329">
        <f t="shared" si="20"/>
        <v>2709.6</v>
      </c>
      <c r="N91" s="329"/>
      <c r="O91" s="398">
        <v>2709.6</v>
      </c>
      <c r="P91" s="329"/>
      <c r="Q91" s="329"/>
      <c r="R91" s="329"/>
      <c r="S91" s="329"/>
      <c r="T91" s="329">
        <f t="shared" si="26"/>
        <v>0</v>
      </c>
      <c r="U91" s="329"/>
      <c r="V91" s="329"/>
      <c r="W91" s="329">
        <f t="shared" si="22"/>
        <v>0</v>
      </c>
      <c r="X91" s="329"/>
      <c r="Y91" s="329">
        <v>0</v>
      </c>
      <c r="Z91" s="330">
        <f t="shared" si="24"/>
        <v>77.249401300034208</v>
      </c>
      <c r="AA91" s="330"/>
      <c r="AB91" s="330">
        <f t="shared" si="27"/>
        <v>77.249401300034208</v>
      </c>
      <c r="AC91" s="330"/>
    </row>
    <row r="92" spans="1:29" s="47" customFormat="1">
      <c r="A92" s="452">
        <v>82</v>
      </c>
      <c r="B92" s="716" t="s">
        <v>1578</v>
      </c>
      <c r="C92" s="329">
        <f t="shared" ref="C92:C155" si="28">D92+E92+H92+I92+J92</f>
        <v>24966.489615999999</v>
      </c>
      <c r="D92" s="329"/>
      <c r="E92" s="329">
        <v>24966.489615999999</v>
      </c>
      <c r="F92" s="329">
        <v>24966.489615999999</v>
      </c>
      <c r="G92" s="329"/>
      <c r="H92" s="329"/>
      <c r="I92" s="329"/>
      <c r="J92" s="329">
        <f t="shared" ref="J92:J155" si="29">K92+L92</f>
        <v>0</v>
      </c>
      <c r="K92" s="329"/>
      <c r="L92" s="329"/>
      <c r="M92" s="329">
        <f t="shared" ref="M92:M155" si="30">N92+O92+R92+S92+T92+W92</f>
        <v>24439.348537000002</v>
      </c>
      <c r="N92" s="329"/>
      <c r="O92" s="398">
        <v>24439.348537000002</v>
      </c>
      <c r="P92" s="329"/>
      <c r="Q92" s="329"/>
      <c r="R92" s="329"/>
      <c r="S92" s="329"/>
      <c r="T92" s="329">
        <f t="shared" si="26"/>
        <v>0</v>
      </c>
      <c r="U92" s="329"/>
      <c r="V92" s="329"/>
      <c r="W92" s="329">
        <f t="shared" ref="W92:W155" si="31">X92+Y92</f>
        <v>0</v>
      </c>
      <c r="X92" s="329"/>
      <c r="Y92" s="329">
        <v>0</v>
      </c>
      <c r="Z92" s="330">
        <f t="shared" si="24"/>
        <v>97.888605538432714</v>
      </c>
      <c r="AA92" s="330"/>
      <c r="AB92" s="330">
        <f t="shared" si="27"/>
        <v>97.888605538432714</v>
      </c>
      <c r="AC92" s="330"/>
    </row>
    <row r="93" spans="1:29" s="47" customFormat="1">
      <c r="A93" s="452">
        <v>83</v>
      </c>
      <c r="B93" s="307" t="s">
        <v>2610</v>
      </c>
      <c r="C93" s="329">
        <f t="shared" si="28"/>
        <v>20867.950700000001</v>
      </c>
      <c r="D93" s="329"/>
      <c r="E93" s="329">
        <v>20867.950700000001</v>
      </c>
      <c r="F93" s="329"/>
      <c r="G93" s="329">
        <v>20867.950700000001</v>
      </c>
      <c r="H93" s="329"/>
      <c r="I93" s="329"/>
      <c r="J93" s="329">
        <f t="shared" si="29"/>
        <v>0</v>
      </c>
      <c r="K93" s="329"/>
      <c r="L93" s="329"/>
      <c r="M93" s="329">
        <f t="shared" si="30"/>
        <v>20867.950700000001</v>
      </c>
      <c r="N93" s="329"/>
      <c r="O93" s="329">
        <v>20867.950700000001</v>
      </c>
      <c r="P93" s="329"/>
      <c r="Q93" s="329"/>
      <c r="R93" s="329"/>
      <c r="S93" s="329"/>
      <c r="T93" s="329">
        <f t="shared" si="26"/>
        <v>0</v>
      </c>
      <c r="U93" s="329"/>
      <c r="V93" s="329"/>
      <c r="W93" s="329">
        <f t="shared" si="31"/>
        <v>0</v>
      </c>
      <c r="X93" s="329"/>
      <c r="Y93" s="329"/>
      <c r="Z93" s="330">
        <f t="shared" si="24"/>
        <v>100</v>
      </c>
      <c r="AA93" s="330"/>
      <c r="AB93" s="330">
        <f t="shared" si="27"/>
        <v>100</v>
      </c>
      <c r="AC93" s="330"/>
    </row>
    <row r="94" spans="1:29" s="47" customFormat="1">
      <c r="A94" s="452">
        <v>84</v>
      </c>
      <c r="B94" s="307" t="s">
        <v>2614</v>
      </c>
      <c r="C94" s="329">
        <f t="shared" si="28"/>
        <v>18929.599999999999</v>
      </c>
      <c r="D94" s="329"/>
      <c r="E94" s="329">
        <v>18929.599999999999</v>
      </c>
      <c r="F94" s="329"/>
      <c r="G94" s="329">
        <v>18929.599999999999</v>
      </c>
      <c r="H94" s="329"/>
      <c r="I94" s="329"/>
      <c r="J94" s="329">
        <f t="shared" si="29"/>
        <v>0</v>
      </c>
      <c r="K94" s="329"/>
      <c r="L94" s="329"/>
      <c r="M94" s="329">
        <f t="shared" si="30"/>
        <v>18929.599999999999</v>
      </c>
      <c r="N94" s="329"/>
      <c r="O94" s="329">
        <v>18929.599999999999</v>
      </c>
      <c r="P94" s="329"/>
      <c r="Q94" s="329"/>
      <c r="R94" s="329"/>
      <c r="S94" s="329"/>
      <c r="T94" s="329">
        <f t="shared" si="26"/>
        <v>0</v>
      </c>
      <c r="U94" s="329"/>
      <c r="V94" s="329"/>
      <c r="W94" s="329">
        <f t="shared" si="31"/>
        <v>0</v>
      </c>
      <c r="X94" s="329"/>
      <c r="Y94" s="329"/>
      <c r="Z94" s="330">
        <f t="shared" si="24"/>
        <v>100</v>
      </c>
      <c r="AA94" s="330"/>
      <c r="AB94" s="330">
        <f t="shared" si="27"/>
        <v>100</v>
      </c>
      <c r="AC94" s="330"/>
    </row>
    <row r="95" spans="1:29" s="47" customFormat="1">
      <c r="A95" s="452">
        <v>85</v>
      </c>
      <c r="B95" s="716" t="s">
        <v>2589</v>
      </c>
      <c r="C95" s="329">
        <f t="shared" si="28"/>
        <v>3636</v>
      </c>
      <c r="D95" s="329"/>
      <c r="E95" s="329">
        <v>3636</v>
      </c>
      <c r="F95" s="329">
        <v>3636</v>
      </c>
      <c r="G95" s="329"/>
      <c r="H95" s="329"/>
      <c r="I95" s="329"/>
      <c r="J95" s="329">
        <f t="shared" si="29"/>
        <v>0</v>
      </c>
      <c r="K95" s="329"/>
      <c r="L95" s="329"/>
      <c r="M95" s="329">
        <f t="shared" si="30"/>
        <v>2512.0672100000002</v>
      </c>
      <c r="N95" s="329"/>
      <c r="O95" s="398">
        <v>2512.0672100000002</v>
      </c>
      <c r="P95" s="329"/>
      <c r="Q95" s="329"/>
      <c r="R95" s="329"/>
      <c r="S95" s="329"/>
      <c r="T95" s="329">
        <f t="shared" si="26"/>
        <v>0</v>
      </c>
      <c r="U95" s="329"/>
      <c r="V95" s="329"/>
      <c r="W95" s="329">
        <f t="shared" si="31"/>
        <v>0</v>
      </c>
      <c r="X95" s="329"/>
      <c r="Y95" s="329">
        <v>0</v>
      </c>
      <c r="Z95" s="330">
        <f t="shared" si="24"/>
        <v>69.088757150715082</v>
      </c>
      <c r="AA95" s="330"/>
      <c r="AB95" s="330">
        <f t="shared" si="27"/>
        <v>69.088757150715082</v>
      </c>
      <c r="AC95" s="330"/>
    </row>
    <row r="96" spans="1:29" s="47" customFormat="1">
      <c r="A96" s="452">
        <v>86</v>
      </c>
      <c r="B96" s="716" t="s">
        <v>2457</v>
      </c>
      <c r="C96" s="329">
        <f t="shared" si="28"/>
        <v>1165</v>
      </c>
      <c r="D96" s="329"/>
      <c r="E96" s="329">
        <v>1165</v>
      </c>
      <c r="F96" s="329">
        <v>1165</v>
      </c>
      <c r="G96" s="329"/>
      <c r="H96" s="329"/>
      <c r="I96" s="329"/>
      <c r="J96" s="329">
        <f t="shared" si="29"/>
        <v>0</v>
      </c>
      <c r="K96" s="329"/>
      <c r="L96" s="329"/>
      <c r="M96" s="329">
        <f t="shared" si="30"/>
        <v>1165</v>
      </c>
      <c r="N96" s="329"/>
      <c r="O96" s="398">
        <v>1165</v>
      </c>
      <c r="P96" s="329"/>
      <c r="Q96" s="329"/>
      <c r="R96" s="329"/>
      <c r="S96" s="329"/>
      <c r="T96" s="329">
        <f t="shared" si="26"/>
        <v>0</v>
      </c>
      <c r="U96" s="329"/>
      <c r="V96" s="329"/>
      <c r="W96" s="329">
        <f t="shared" si="31"/>
        <v>0</v>
      </c>
      <c r="X96" s="329"/>
      <c r="Y96" s="329">
        <v>0</v>
      </c>
      <c r="Z96" s="330">
        <f t="shared" si="24"/>
        <v>100</v>
      </c>
      <c r="AA96" s="330"/>
      <c r="AB96" s="330">
        <f t="shared" si="27"/>
        <v>100</v>
      </c>
      <c r="AC96" s="330"/>
    </row>
    <row r="97" spans="1:29" s="47" customFormat="1">
      <c r="A97" s="452">
        <v>87</v>
      </c>
      <c r="B97" s="716" t="s">
        <v>2538</v>
      </c>
      <c r="C97" s="329">
        <f t="shared" si="28"/>
        <v>20832.894293999998</v>
      </c>
      <c r="D97" s="329"/>
      <c r="E97" s="329">
        <v>16148.894294</v>
      </c>
      <c r="F97" s="329">
        <v>16148.894294</v>
      </c>
      <c r="G97" s="329"/>
      <c r="H97" s="329"/>
      <c r="I97" s="329"/>
      <c r="J97" s="329">
        <f t="shared" si="29"/>
        <v>4684</v>
      </c>
      <c r="K97" s="329"/>
      <c r="L97" s="329">
        <v>4684</v>
      </c>
      <c r="M97" s="329">
        <f t="shared" si="30"/>
        <v>15833.37528</v>
      </c>
      <c r="N97" s="329"/>
      <c r="O97" s="398">
        <f>15833.37528-T97</f>
        <v>14237.942279999999</v>
      </c>
      <c r="P97" s="329"/>
      <c r="Q97" s="329"/>
      <c r="R97" s="329"/>
      <c r="S97" s="329"/>
      <c r="T97" s="329">
        <f t="shared" si="26"/>
        <v>1595.433</v>
      </c>
      <c r="U97" s="329"/>
      <c r="V97" s="329">
        <v>1595.433</v>
      </c>
      <c r="W97" s="329">
        <f t="shared" si="31"/>
        <v>0</v>
      </c>
      <c r="X97" s="329"/>
      <c r="Y97" s="329">
        <v>0</v>
      </c>
      <c r="Z97" s="330">
        <f t="shared" si="24"/>
        <v>76.001802997484177</v>
      </c>
      <c r="AA97" s="330"/>
      <c r="AB97" s="330">
        <f t="shared" si="27"/>
        <v>88.166669623257121</v>
      </c>
      <c r="AC97" s="330">
        <f t="shared" ref="AC97:AC101" si="32">T97/J97%</f>
        <v>34.061336464560199</v>
      </c>
    </row>
    <row r="98" spans="1:29" s="47" customFormat="1">
      <c r="A98" s="452">
        <v>88</v>
      </c>
      <c r="B98" s="716" t="s">
        <v>2615</v>
      </c>
      <c r="C98" s="329">
        <f t="shared" si="28"/>
        <v>17771.947725999999</v>
      </c>
      <c r="D98" s="329"/>
      <c r="E98" s="329">
        <v>17771.947725999999</v>
      </c>
      <c r="F98" s="329">
        <v>17771.947725999999</v>
      </c>
      <c r="G98" s="329"/>
      <c r="H98" s="329"/>
      <c r="I98" s="329"/>
      <c r="J98" s="329">
        <f t="shared" si="29"/>
        <v>0</v>
      </c>
      <c r="K98" s="329"/>
      <c r="L98" s="329"/>
      <c r="M98" s="329">
        <f t="shared" si="30"/>
        <v>17017.656781000002</v>
      </c>
      <c r="N98" s="329"/>
      <c r="O98" s="398">
        <v>17017.656781000002</v>
      </c>
      <c r="P98" s="329"/>
      <c r="Q98" s="329"/>
      <c r="R98" s="329"/>
      <c r="S98" s="329"/>
      <c r="T98" s="329">
        <f t="shared" si="26"/>
        <v>0</v>
      </c>
      <c r="U98" s="329"/>
      <c r="V98" s="329"/>
      <c r="W98" s="329">
        <f t="shared" si="31"/>
        <v>0</v>
      </c>
      <c r="X98" s="329"/>
      <c r="Y98" s="329">
        <v>0</v>
      </c>
      <c r="Z98" s="330">
        <f t="shared" si="24"/>
        <v>95.755721563953927</v>
      </c>
      <c r="AA98" s="330"/>
      <c r="AB98" s="330">
        <f t="shared" si="27"/>
        <v>95.755721563953927</v>
      </c>
      <c r="AC98" s="330"/>
    </row>
    <row r="99" spans="1:29" s="47" customFormat="1">
      <c r="A99" s="452">
        <v>89</v>
      </c>
      <c r="B99" s="716" t="s">
        <v>2605</v>
      </c>
      <c r="C99" s="329">
        <f t="shared" si="28"/>
        <v>1009.296</v>
      </c>
      <c r="D99" s="329"/>
      <c r="E99" s="329">
        <v>1009.296</v>
      </c>
      <c r="F99" s="329">
        <v>1009.296</v>
      </c>
      <c r="G99" s="329"/>
      <c r="H99" s="329"/>
      <c r="I99" s="329"/>
      <c r="J99" s="329">
        <f t="shared" si="29"/>
        <v>0</v>
      </c>
      <c r="K99" s="329"/>
      <c r="L99" s="329"/>
      <c r="M99" s="329">
        <f t="shared" si="30"/>
        <v>979.91925800000001</v>
      </c>
      <c r="N99" s="329"/>
      <c r="O99" s="398">
        <v>979.91925800000001</v>
      </c>
      <c r="P99" s="329"/>
      <c r="Q99" s="329"/>
      <c r="R99" s="329"/>
      <c r="S99" s="329"/>
      <c r="T99" s="329">
        <f t="shared" si="26"/>
        <v>0</v>
      </c>
      <c r="U99" s="329"/>
      <c r="V99" s="329"/>
      <c r="W99" s="329">
        <f t="shared" si="31"/>
        <v>0</v>
      </c>
      <c r="X99" s="329"/>
      <c r="Y99" s="329">
        <v>0</v>
      </c>
      <c r="Z99" s="330">
        <f t="shared" si="24"/>
        <v>97.089382896593278</v>
      </c>
      <c r="AA99" s="330"/>
      <c r="AB99" s="330">
        <f t="shared" si="27"/>
        <v>97.089382896593278</v>
      </c>
      <c r="AC99" s="330"/>
    </row>
    <row r="100" spans="1:29" s="47" customFormat="1">
      <c r="A100" s="452">
        <v>90</v>
      </c>
      <c r="B100" s="716" t="s">
        <v>2616</v>
      </c>
      <c r="C100" s="329">
        <f t="shared" si="28"/>
        <v>9423.8727839999992</v>
      </c>
      <c r="D100" s="329"/>
      <c r="E100" s="329">
        <v>9423.8727839999992</v>
      </c>
      <c r="F100" s="329">
        <v>9423.8727839999992</v>
      </c>
      <c r="G100" s="329"/>
      <c r="H100" s="329"/>
      <c r="I100" s="329"/>
      <c r="J100" s="329">
        <f t="shared" si="29"/>
        <v>0</v>
      </c>
      <c r="K100" s="329"/>
      <c r="L100" s="329"/>
      <c r="M100" s="329">
        <f t="shared" si="30"/>
        <v>10871.706346000001</v>
      </c>
      <c r="N100" s="329">
        <v>1939.2860000000001</v>
      </c>
      <c r="O100" s="398">
        <v>7801.053766</v>
      </c>
      <c r="P100" s="329"/>
      <c r="Q100" s="329"/>
      <c r="R100" s="329"/>
      <c r="S100" s="329"/>
      <c r="T100" s="329">
        <f t="shared" si="26"/>
        <v>0</v>
      </c>
      <c r="U100" s="329"/>
      <c r="V100" s="329"/>
      <c r="W100" s="329">
        <f t="shared" si="31"/>
        <v>1131.3665800000001</v>
      </c>
      <c r="X100" s="329">
        <v>34.912000000000035</v>
      </c>
      <c r="Y100" s="329">
        <v>1096.4545800000001</v>
      </c>
      <c r="Z100" s="330">
        <f t="shared" si="24"/>
        <v>115.36346675284237</v>
      </c>
      <c r="AA100" s="330"/>
      <c r="AB100" s="330">
        <f t="shared" si="27"/>
        <v>82.779701560113935</v>
      </c>
      <c r="AC100" s="330"/>
    </row>
    <row r="101" spans="1:29" s="47" customFormat="1">
      <c r="A101" s="452">
        <v>91</v>
      </c>
      <c r="B101" s="716" t="s">
        <v>1493</v>
      </c>
      <c r="C101" s="329">
        <f t="shared" si="28"/>
        <v>8510.4830000000002</v>
      </c>
      <c r="D101" s="329"/>
      <c r="E101" s="329">
        <v>5150.4830000000002</v>
      </c>
      <c r="F101" s="329">
        <v>5150.4830000000002</v>
      </c>
      <c r="G101" s="329"/>
      <c r="H101" s="329"/>
      <c r="I101" s="329"/>
      <c r="J101" s="329">
        <f t="shared" si="29"/>
        <v>3360</v>
      </c>
      <c r="K101" s="329"/>
      <c r="L101" s="329">
        <f>3050+310</f>
        <v>3360</v>
      </c>
      <c r="M101" s="329">
        <f t="shared" si="30"/>
        <v>4998.4179999999997</v>
      </c>
      <c r="N101" s="329"/>
      <c r="O101" s="398">
        <f>4998.418-T101</f>
        <v>1762.7599999999998</v>
      </c>
      <c r="P101" s="329"/>
      <c r="Q101" s="329"/>
      <c r="R101" s="329"/>
      <c r="S101" s="329"/>
      <c r="T101" s="329">
        <f t="shared" si="26"/>
        <v>3235.6579999999999</v>
      </c>
      <c r="U101" s="329"/>
      <c r="V101" s="329">
        <v>3235.6579999999999</v>
      </c>
      <c r="W101" s="329">
        <f t="shared" si="31"/>
        <v>0</v>
      </c>
      <c r="X101" s="329"/>
      <c r="Y101" s="329">
        <v>0</v>
      </c>
      <c r="Z101" s="330">
        <f t="shared" si="24"/>
        <v>58.732483220987568</v>
      </c>
      <c r="AA101" s="330"/>
      <c r="AB101" s="330">
        <f t="shared" si="27"/>
        <v>34.225139661658915</v>
      </c>
      <c r="AC101" s="330">
        <f t="shared" si="32"/>
        <v>96.299345238095228</v>
      </c>
    </row>
    <row r="102" spans="1:29" s="47" customFormat="1" ht="31.2">
      <c r="A102" s="452">
        <v>92</v>
      </c>
      <c r="B102" s="716" t="s">
        <v>2591</v>
      </c>
      <c r="C102" s="329">
        <f t="shared" si="28"/>
        <v>3601.3</v>
      </c>
      <c r="D102" s="329"/>
      <c r="E102" s="329">
        <v>3101.3</v>
      </c>
      <c r="F102" s="329">
        <v>3101.3</v>
      </c>
      <c r="G102" s="329"/>
      <c r="H102" s="329"/>
      <c r="I102" s="329"/>
      <c r="J102" s="329">
        <f t="shared" si="29"/>
        <v>500</v>
      </c>
      <c r="K102" s="329"/>
      <c r="L102" s="329">
        <v>500</v>
      </c>
      <c r="M102" s="329">
        <f t="shared" si="30"/>
        <v>2446.1087499999999</v>
      </c>
      <c r="N102" s="329"/>
      <c r="O102" s="398">
        <v>2446.1087499999999</v>
      </c>
      <c r="P102" s="329"/>
      <c r="Q102" s="329"/>
      <c r="R102" s="329"/>
      <c r="S102" s="329"/>
      <c r="T102" s="329">
        <f t="shared" si="26"/>
        <v>0</v>
      </c>
      <c r="U102" s="329"/>
      <c r="V102" s="329">
        <v>0</v>
      </c>
      <c r="W102" s="329">
        <f t="shared" si="31"/>
        <v>0</v>
      </c>
      <c r="X102" s="329"/>
      <c r="Y102" s="329">
        <v>0</v>
      </c>
      <c r="Z102" s="330">
        <f t="shared" si="24"/>
        <v>67.922937550329038</v>
      </c>
      <c r="AA102" s="330"/>
      <c r="AB102" s="330">
        <f t="shared" si="27"/>
        <v>78.873657820913806</v>
      </c>
      <c r="AC102" s="330"/>
    </row>
    <row r="103" spans="1:29" s="47" customFormat="1">
      <c r="A103" s="452">
        <v>93</v>
      </c>
      <c r="B103" s="716" t="s">
        <v>2603</v>
      </c>
      <c r="C103" s="329">
        <f t="shared" si="28"/>
        <v>1355</v>
      </c>
      <c r="D103" s="329"/>
      <c r="E103" s="329">
        <v>1355</v>
      </c>
      <c r="F103" s="329">
        <v>1355</v>
      </c>
      <c r="G103" s="329"/>
      <c r="H103" s="329"/>
      <c r="I103" s="329"/>
      <c r="J103" s="329">
        <f t="shared" si="29"/>
        <v>0</v>
      </c>
      <c r="K103" s="329"/>
      <c r="L103" s="329"/>
      <c r="M103" s="329">
        <f t="shared" si="30"/>
        <v>1333</v>
      </c>
      <c r="N103" s="329"/>
      <c r="O103" s="398">
        <v>1333</v>
      </c>
      <c r="P103" s="329"/>
      <c r="Q103" s="329"/>
      <c r="R103" s="329"/>
      <c r="S103" s="329"/>
      <c r="T103" s="329">
        <f t="shared" si="26"/>
        <v>0</v>
      </c>
      <c r="U103" s="329"/>
      <c r="V103" s="329"/>
      <c r="W103" s="329">
        <f t="shared" si="31"/>
        <v>0</v>
      </c>
      <c r="X103" s="329"/>
      <c r="Y103" s="329">
        <v>0</v>
      </c>
      <c r="Z103" s="330">
        <f t="shared" si="24"/>
        <v>98.376383763837637</v>
      </c>
      <c r="AA103" s="330"/>
      <c r="AB103" s="330">
        <f t="shared" si="27"/>
        <v>98.376383763837637</v>
      </c>
      <c r="AC103" s="330"/>
    </row>
    <row r="104" spans="1:29" s="47" customFormat="1">
      <c r="A104" s="452">
        <v>94</v>
      </c>
      <c r="B104" s="716" t="s">
        <v>2537</v>
      </c>
      <c r="C104" s="329">
        <f t="shared" si="28"/>
        <v>1985</v>
      </c>
      <c r="D104" s="329"/>
      <c r="E104" s="329">
        <v>1985</v>
      </c>
      <c r="F104" s="329">
        <v>1985</v>
      </c>
      <c r="G104" s="329"/>
      <c r="H104" s="329"/>
      <c r="I104" s="329"/>
      <c r="J104" s="329">
        <f t="shared" si="29"/>
        <v>0</v>
      </c>
      <c r="K104" s="329"/>
      <c r="L104" s="329"/>
      <c r="M104" s="329">
        <f t="shared" si="30"/>
        <v>1952.11851</v>
      </c>
      <c r="N104" s="329"/>
      <c r="O104" s="398">
        <v>1952.11851</v>
      </c>
      <c r="P104" s="329"/>
      <c r="Q104" s="329"/>
      <c r="R104" s="329"/>
      <c r="S104" s="329"/>
      <c r="T104" s="329">
        <f t="shared" si="26"/>
        <v>0</v>
      </c>
      <c r="U104" s="329"/>
      <c r="V104" s="329"/>
      <c r="W104" s="329">
        <f t="shared" si="31"/>
        <v>0</v>
      </c>
      <c r="X104" s="329"/>
      <c r="Y104" s="329">
        <v>0</v>
      </c>
      <c r="Z104" s="330">
        <f t="shared" si="24"/>
        <v>98.343501763224168</v>
      </c>
      <c r="AA104" s="330"/>
      <c r="AB104" s="330">
        <f t="shared" si="27"/>
        <v>98.343501763224168</v>
      </c>
      <c r="AC104" s="330"/>
    </row>
    <row r="105" spans="1:29" s="47" customFormat="1">
      <c r="A105" s="452">
        <v>95</v>
      </c>
      <c r="B105" s="716" t="s">
        <v>2406</v>
      </c>
      <c r="C105" s="329">
        <f t="shared" si="28"/>
        <v>1735</v>
      </c>
      <c r="D105" s="329"/>
      <c r="E105" s="329">
        <v>1735</v>
      </c>
      <c r="F105" s="329">
        <v>1735</v>
      </c>
      <c r="G105" s="329"/>
      <c r="H105" s="329"/>
      <c r="I105" s="329"/>
      <c r="J105" s="329">
        <f t="shared" si="29"/>
        <v>0</v>
      </c>
      <c r="K105" s="329"/>
      <c r="L105" s="329"/>
      <c r="M105" s="329">
        <f t="shared" si="30"/>
        <v>1699.8887199999999</v>
      </c>
      <c r="N105" s="329"/>
      <c r="O105" s="398">
        <v>1699.8887199999999</v>
      </c>
      <c r="P105" s="329"/>
      <c r="Q105" s="329"/>
      <c r="R105" s="329"/>
      <c r="S105" s="329"/>
      <c r="T105" s="329">
        <f t="shared" si="26"/>
        <v>0</v>
      </c>
      <c r="U105" s="329"/>
      <c r="V105" s="329"/>
      <c r="W105" s="329">
        <f t="shared" si="31"/>
        <v>0</v>
      </c>
      <c r="X105" s="329"/>
      <c r="Y105" s="329">
        <v>0</v>
      </c>
      <c r="Z105" s="330">
        <f t="shared" si="24"/>
        <v>97.976295100864547</v>
      </c>
      <c r="AA105" s="330"/>
      <c r="AB105" s="330">
        <f t="shared" si="27"/>
        <v>97.976295100864547</v>
      </c>
      <c r="AC105" s="330"/>
    </row>
    <row r="106" spans="1:29" s="47" customFormat="1">
      <c r="A106" s="452">
        <v>96</v>
      </c>
      <c r="B106" s="716" t="s">
        <v>1970</v>
      </c>
      <c r="C106" s="329">
        <f t="shared" si="28"/>
        <v>5748.143</v>
      </c>
      <c r="D106" s="329"/>
      <c r="E106" s="329">
        <v>5748.143</v>
      </c>
      <c r="F106" s="329">
        <v>5748.143</v>
      </c>
      <c r="G106" s="329"/>
      <c r="H106" s="329"/>
      <c r="I106" s="329"/>
      <c r="J106" s="329">
        <f t="shared" si="29"/>
        <v>0</v>
      </c>
      <c r="K106" s="329"/>
      <c r="L106" s="329"/>
      <c r="M106" s="329">
        <f t="shared" si="30"/>
        <v>5737.6253999999999</v>
      </c>
      <c r="N106" s="329"/>
      <c r="O106" s="398">
        <v>5737.6253999999999</v>
      </c>
      <c r="P106" s="329"/>
      <c r="Q106" s="329"/>
      <c r="R106" s="329"/>
      <c r="S106" s="329"/>
      <c r="T106" s="329">
        <f t="shared" si="26"/>
        <v>0</v>
      </c>
      <c r="U106" s="329"/>
      <c r="V106" s="329"/>
      <c r="W106" s="329">
        <f t="shared" si="31"/>
        <v>0</v>
      </c>
      <c r="X106" s="329"/>
      <c r="Y106" s="329">
        <v>0</v>
      </c>
      <c r="Z106" s="330">
        <f t="shared" si="24"/>
        <v>99.817026124784988</v>
      </c>
      <c r="AA106" s="330"/>
      <c r="AB106" s="330">
        <f t="shared" si="27"/>
        <v>99.817026124784988</v>
      </c>
      <c r="AC106" s="330"/>
    </row>
    <row r="107" spans="1:29" s="47" customFormat="1">
      <c r="A107" s="452">
        <v>97</v>
      </c>
      <c r="B107" s="716" t="s">
        <v>2617</v>
      </c>
      <c r="C107" s="329">
        <f t="shared" si="28"/>
        <v>1593.5160000000001</v>
      </c>
      <c r="D107" s="329"/>
      <c r="E107" s="329">
        <v>1593.5160000000001</v>
      </c>
      <c r="F107" s="329">
        <v>1593.5160000000001</v>
      </c>
      <c r="G107" s="329"/>
      <c r="H107" s="329"/>
      <c r="I107" s="329"/>
      <c r="J107" s="329">
        <f t="shared" si="29"/>
        <v>0</v>
      </c>
      <c r="K107" s="329"/>
      <c r="L107" s="329"/>
      <c r="M107" s="329">
        <f t="shared" si="30"/>
        <v>1513.2113999999999</v>
      </c>
      <c r="N107" s="329"/>
      <c r="O107" s="398">
        <v>1513.2113999999999</v>
      </c>
      <c r="P107" s="329"/>
      <c r="Q107" s="329"/>
      <c r="R107" s="329"/>
      <c r="S107" s="329"/>
      <c r="T107" s="329">
        <f t="shared" si="26"/>
        <v>0</v>
      </c>
      <c r="U107" s="329"/>
      <c r="V107" s="329"/>
      <c r="W107" s="329">
        <f t="shared" si="31"/>
        <v>0</v>
      </c>
      <c r="X107" s="329"/>
      <c r="Y107" s="329">
        <v>0</v>
      </c>
      <c r="Z107" s="330">
        <f t="shared" si="24"/>
        <v>94.960540088709479</v>
      </c>
      <c r="AA107" s="330"/>
      <c r="AB107" s="330">
        <f t="shared" si="27"/>
        <v>94.960540088709479</v>
      </c>
      <c r="AC107" s="330"/>
    </row>
    <row r="108" spans="1:29" s="47" customFormat="1" ht="31.2">
      <c r="A108" s="452">
        <v>98</v>
      </c>
      <c r="B108" s="716" t="s">
        <v>2587</v>
      </c>
      <c r="C108" s="329">
        <f t="shared" si="28"/>
        <v>8882</v>
      </c>
      <c r="D108" s="329"/>
      <c r="E108" s="329">
        <v>8882</v>
      </c>
      <c r="F108" s="329"/>
      <c r="G108" s="329">
        <v>8882</v>
      </c>
      <c r="H108" s="329"/>
      <c r="I108" s="329"/>
      <c r="J108" s="329">
        <f t="shared" si="29"/>
        <v>0</v>
      </c>
      <c r="K108" s="329"/>
      <c r="L108" s="329"/>
      <c r="M108" s="329">
        <f t="shared" si="30"/>
        <v>8882</v>
      </c>
      <c r="N108" s="329"/>
      <c r="O108" s="329">
        <v>8882</v>
      </c>
      <c r="P108" s="329"/>
      <c r="Q108" s="329"/>
      <c r="R108" s="329"/>
      <c r="S108" s="329"/>
      <c r="T108" s="329">
        <f t="shared" si="26"/>
        <v>0</v>
      </c>
      <c r="U108" s="329"/>
      <c r="V108" s="329"/>
      <c r="W108" s="329">
        <f t="shared" si="31"/>
        <v>0</v>
      </c>
      <c r="X108" s="329"/>
      <c r="Y108" s="329"/>
      <c r="Z108" s="330">
        <f t="shared" si="24"/>
        <v>100.00000000000001</v>
      </c>
      <c r="AA108" s="330"/>
      <c r="AB108" s="330">
        <f t="shared" si="27"/>
        <v>100.00000000000001</v>
      </c>
      <c r="AC108" s="330"/>
    </row>
    <row r="109" spans="1:29" s="47" customFormat="1">
      <c r="A109" s="452">
        <v>99</v>
      </c>
      <c r="B109" s="716" t="s">
        <v>2489</v>
      </c>
      <c r="C109" s="329">
        <f t="shared" si="28"/>
        <v>18</v>
      </c>
      <c r="D109" s="329"/>
      <c r="E109" s="329">
        <v>18</v>
      </c>
      <c r="F109" s="329"/>
      <c r="G109" s="329">
        <v>18</v>
      </c>
      <c r="H109" s="329"/>
      <c r="I109" s="329"/>
      <c r="J109" s="329">
        <f t="shared" si="29"/>
        <v>0</v>
      </c>
      <c r="K109" s="329"/>
      <c r="L109" s="329"/>
      <c r="M109" s="329">
        <f t="shared" si="30"/>
        <v>18</v>
      </c>
      <c r="N109" s="329"/>
      <c r="O109" s="329">
        <v>18</v>
      </c>
      <c r="P109" s="329"/>
      <c r="Q109" s="329"/>
      <c r="R109" s="329"/>
      <c r="S109" s="329"/>
      <c r="T109" s="329">
        <f t="shared" si="26"/>
        <v>0</v>
      </c>
      <c r="U109" s="329"/>
      <c r="V109" s="329"/>
      <c r="W109" s="329">
        <f t="shared" si="31"/>
        <v>0</v>
      </c>
      <c r="X109" s="329"/>
      <c r="Y109" s="329"/>
      <c r="Z109" s="330">
        <f t="shared" si="24"/>
        <v>100</v>
      </c>
      <c r="AA109" s="330"/>
      <c r="AB109" s="330">
        <f t="shared" si="27"/>
        <v>100</v>
      </c>
      <c r="AC109" s="330"/>
    </row>
    <row r="110" spans="1:29" s="47" customFormat="1">
      <c r="A110" s="452">
        <v>100</v>
      </c>
      <c r="B110" s="716" t="s">
        <v>2618</v>
      </c>
      <c r="C110" s="329">
        <f t="shared" si="28"/>
        <v>50</v>
      </c>
      <c r="D110" s="329"/>
      <c r="E110" s="329">
        <v>50</v>
      </c>
      <c r="F110" s="329"/>
      <c r="G110" s="329">
        <v>50</v>
      </c>
      <c r="H110" s="329"/>
      <c r="I110" s="329"/>
      <c r="J110" s="329">
        <f t="shared" si="29"/>
        <v>0</v>
      </c>
      <c r="K110" s="329"/>
      <c r="L110" s="329"/>
      <c r="M110" s="329">
        <f t="shared" si="30"/>
        <v>50</v>
      </c>
      <c r="N110" s="329"/>
      <c r="O110" s="329">
        <v>50</v>
      </c>
      <c r="P110" s="329"/>
      <c r="Q110" s="329"/>
      <c r="R110" s="329"/>
      <c r="S110" s="329"/>
      <c r="T110" s="329">
        <f t="shared" si="26"/>
        <v>0</v>
      </c>
      <c r="U110" s="329"/>
      <c r="V110" s="329"/>
      <c r="W110" s="329">
        <f t="shared" si="31"/>
        <v>0</v>
      </c>
      <c r="X110" s="329"/>
      <c r="Y110" s="329"/>
      <c r="Z110" s="330">
        <f t="shared" si="24"/>
        <v>100</v>
      </c>
      <c r="AA110" s="330"/>
      <c r="AB110" s="330">
        <f t="shared" si="27"/>
        <v>100</v>
      </c>
      <c r="AC110" s="330"/>
    </row>
    <row r="111" spans="1:29" s="47" customFormat="1" ht="31.2">
      <c r="A111" s="452">
        <v>101</v>
      </c>
      <c r="B111" s="716" t="s">
        <v>2438</v>
      </c>
      <c r="C111" s="329">
        <f t="shared" si="28"/>
        <v>6389</v>
      </c>
      <c r="D111" s="329"/>
      <c r="E111" s="329">
        <v>6389</v>
      </c>
      <c r="F111" s="329">
        <v>6389</v>
      </c>
      <c r="G111" s="329"/>
      <c r="H111" s="329"/>
      <c r="I111" s="329"/>
      <c r="J111" s="329">
        <f t="shared" si="29"/>
        <v>0</v>
      </c>
      <c r="K111" s="329"/>
      <c r="L111" s="329"/>
      <c r="M111" s="329">
        <f t="shared" si="30"/>
        <v>6389</v>
      </c>
      <c r="N111" s="329"/>
      <c r="O111" s="398">
        <v>4083</v>
      </c>
      <c r="P111" s="329"/>
      <c r="Q111" s="329"/>
      <c r="R111" s="329"/>
      <c r="S111" s="329"/>
      <c r="T111" s="329">
        <f t="shared" si="26"/>
        <v>0</v>
      </c>
      <c r="U111" s="329"/>
      <c r="V111" s="329"/>
      <c r="W111" s="329">
        <f t="shared" si="31"/>
        <v>2306</v>
      </c>
      <c r="X111" s="329"/>
      <c r="Y111" s="329">
        <v>2306</v>
      </c>
      <c r="Z111" s="330">
        <f t="shared" si="24"/>
        <v>100</v>
      </c>
      <c r="AA111" s="330"/>
      <c r="AB111" s="330">
        <f t="shared" si="27"/>
        <v>63.906714665831899</v>
      </c>
      <c r="AC111" s="330"/>
    </row>
    <row r="112" spans="1:29" s="47" customFormat="1">
      <c r="A112" s="452">
        <v>102</v>
      </c>
      <c r="B112" s="718" t="s">
        <v>2611</v>
      </c>
      <c r="C112" s="329">
        <f t="shared" si="28"/>
        <v>0</v>
      </c>
      <c r="D112" s="329">
        <v>0</v>
      </c>
      <c r="E112" s="329"/>
      <c r="F112" s="329"/>
      <c r="G112" s="329"/>
      <c r="H112" s="329"/>
      <c r="I112" s="329"/>
      <c r="J112" s="329">
        <f t="shared" si="29"/>
        <v>0</v>
      </c>
      <c r="K112" s="329"/>
      <c r="L112" s="329"/>
      <c r="M112" s="329">
        <f t="shared" si="30"/>
        <v>204.07400000000001</v>
      </c>
      <c r="N112" s="329">
        <v>55.07</v>
      </c>
      <c r="O112" s="329"/>
      <c r="P112" s="329"/>
      <c r="Q112" s="329"/>
      <c r="R112" s="329"/>
      <c r="S112" s="329"/>
      <c r="T112" s="329"/>
      <c r="U112" s="329"/>
      <c r="V112" s="329"/>
      <c r="W112" s="329">
        <f t="shared" si="31"/>
        <v>149.00400000000002</v>
      </c>
      <c r="X112" s="329">
        <v>149.00400000000002</v>
      </c>
      <c r="Y112" s="329"/>
      <c r="Z112" s="330"/>
      <c r="AA112" s="330"/>
      <c r="AB112" s="330"/>
      <c r="AC112" s="330"/>
    </row>
    <row r="113" spans="1:29" s="47" customFormat="1">
      <c r="A113" s="452">
        <v>103</v>
      </c>
      <c r="B113" s="716" t="s">
        <v>2558</v>
      </c>
      <c r="C113" s="329">
        <f t="shared" si="28"/>
        <v>5213</v>
      </c>
      <c r="D113" s="329"/>
      <c r="E113" s="329">
        <v>5213</v>
      </c>
      <c r="F113" s="329">
        <v>5213</v>
      </c>
      <c r="G113" s="329"/>
      <c r="H113" s="329"/>
      <c r="I113" s="329"/>
      <c r="J113" s="329">
        <f t="shared" si="29"/>
        <v>0</v>
      </c>
      <c r="K113" s="329"/>
      <c r="L113" s="329"/>
      <c r="M113" s="329">
        <f t="shared" si="30"/>
        <v>5153.972874</v>
      </c>
      <c r="N113" s="329"/>
      <c r="O113" s="398">
        <v>5153.972874</v>
      </c>
      <c r="P113" s="329"/>
      <c r="Q113" s="329"/>
      <c r="R113" s="329"/>
      <c r="S113" s="329"/>
      <c r="T113" s="329">
        <f t="shared" ref="T113:T144" si="33">U113+V113</f>
        <v>0</v>
      </c>
      <c r="U113" s="329"/>
      <c r="V113" s="329"/>
      <c r="W113" s="329">
        <f t="shared" si="31"/>
        <v>0</v>
      </c>
      <c r="X113" s="329"/>
      <c r="Y113" s="329">
        <v>0</v>
      </c>
      <c r="Z113" s="330">
        <f t="shared" si="24"/>
        <v>98.867693727220413</v>
      </c>
      <c r="AA113" s="330"/>
      <c r="AB113" s="330">
        <f t="shared" si="27"/>
        <v>98.867693727220413</v>
      </c>
      <c r="AC113" s="330"/>
    </row>
    <row r="114" spans="1:29" s="47" customFormat="1">
      <c r="A114" s="452">
        <v>104</v>
      </c>
      <c r="B114" s="716" t="s">
        <v>2586</v>
      </c>
      <c r="C114" s="329">
        <f t="shared" si="28"/>
        <v>11</v>
      </c>
      <c r="D114" s="329"/>
      <c r="E114" s="329">
        <v>11</v>
      </c>
      <c r="F114" s="329"/>
      <c r="G114" s="329">
        <v>11</v>
      </c>
      <c r="H114" s="329"/>
      <c r="I114" s="329"/>
      <c r="J114" s="329">
        <f t="shared" si="29"/>
        <v>0</v>
      </c>
      <c r="K114" s="329"/>
      <c r="L114" s="329"/>
      <c r="M114" s="329">
        <f t="shared" si="30"/>
        <v>11</v>
      </c>
      <c r="N114" s="329"/>
      <c r="O114" s="329">
        <v>11</v>
      </c>
      <c r="P114" s="329"/>
      <c r="Q114" s="329"/>
      <c r="R114" s="329"/>
      <c r="S114" s="329"/>
      <c r="T114" s="329">
        <f t="shared" si="33"/>
        <v>0</v>
      </c>
      <c r="U114" s="329"/>
      <c r="V114" s="329"/>
      <c r="W114" s="329">
        <f t="shared" si="31"/>
        <v>0</v>
      </c>
      <c r="X114" s="329"/>
      <c r="Y114" s="329"/>
      <c r="Z114" s="330">
        <f t="shared" si="24"/>
        <v>100</v>
      </c>
      <c r="AA114" s="330"/>
      <c r="AB114" s="330">
        <f t="shared" si="27"/>
        <v>100</v>
      </c>
      <c r="AC114" s="330"/>
    </row>
    <row r="115" spans="1:29" s="47" customFormat="1">
      <c r="A115" s="452">
        <v>105</v>
      </c>
      <c r="B115" s="716" t="s">
        <v>1588</v>
      </c>
      <c r="C115" s="329">
        <f t="shared" si="28"/>
        <v>21760.297999999999</v>
      </c>
      <c r="D115" s="329">
        <v>9921.4979999999996</v>
      </c>
      <c r="E115" s="329">
        <v>11838.8</v>
      </c>
      <c r="F115" s="329">
        <v>11838.8</v>
      </c>
      <c r="G115" s="329"/>
      <c r="H115" s="329"/>
      <c r="I115" s="329"/>
      <c r="J115" s="329">
        <f t="shared" si="29"/>
        <v>0</v>
      </c>
      <c r="K115" s="329"/>
      <c r="L115" s="329"/>
      <c r="M115" s="329">
        <f t="shared" si="30"/>
        <v>30296.557868</v>
      </c>
      <c r="N115" s="329">
        <v>15566.535818</v>
      </c>
      <c r="O115" s="398">
        <v>11335.2</v>
      </c>
      <c r="P115" s="329"/>
      <c r="Q115" s="329"/>
      <c r="R115" s="329"/>
      <c r="S115" s="329"/>
      <c r="T115" s="329">
        <f t="shared" si="33"/>
        <v>0</v>
      </c>
      <c r="U115" s="329"/>
      <c r="V115" s="329"/>
      <c r="W115" s="329">
        <f t="shared" si="31"/>
        <v>3394.8220499999989</v>
      </c>
      <c r="X115" s="329">
        <v>2907.0220499999987</v>
      </c>
      <c r="Y115" s="329">
        <v>487.8</v>
      </c>
      <c r="Z115" s="330">
        <f t="shared" si="24"/>
        <v>139.22859819291077</v>
      </c>
      <c r="AA115" s="330">
        <f t="shared" si="25"/>
        <v>156.89703125475609</v>
      </c>
      <c r="AB115" s="330">
        <f t="shared" si="27"/>
        <v>95.746190492279638</v>
      </c>
      <c r="AC115" s="330"/>
    </row>
    <row r="116" spans="1:29" s="47" customFormat="1">
      <c r="A116" s="452">
        <v>106</v>
      </c>
      <c r="B116" s="716" t="s">
        <v>2533</v>
      </c>
      <c r="C116" s="329">
        <f t="shared" si="28"/>
        <v>270</v>
      </c>
      <c r="D116" s="329"/>
      <c r="E116" s="329">
        <v>270</v>
      </c>
      <c r="F116" s="329">
        <v>270</v>
      </c>
      <c r="G116" s="329"/>
      <c r="H116" s="329"/>
      <c r="I116" s="329"/>
      <c r="J116" s="329">
        <f t="shared" si="29"/>
        <v>0</v>
      </c>
      <c r="K116" s="329"/>
      <c r="L116" s="329"/>
      <c r="M116" s="329">
        <f t="shared" si="30"/>
        <v>270</v>
      </c>
      <c r="N116" s="329"/>
      <c r="O116" s="398">
        <v>270</v>
      </c>
      <c r="P116" s="329"/>
      <c r="Q116" s="329"/>
      <c r="R116" s="329"/>
      <c r="S116" s="329"/>
      <c r="T116" s="329">
        <f t="shared" si="33"/>
        <v>0</v>
      </c>
      <c r="U116" s="329"/>
      <c r="V116" s="329"/>
      <c r="W116" s="329">
        <f t="shared" si="31"/>
        <v>0</v>
      </c>
      <c r="X116" s="329"/>
      <c r="Y116" s="329">
        <v>0</v>
      </c>
      <c r="Z116" s="330">
        <f t="shared" si="24"/>
        <v>100</v>
      </c>
      <c r="AA116" s="330"/>
      <c r="AB116" s="330">
        <f t="shared" si="27"/>
        <v>100</v>
      </c>
      <c r="AC116" s="330"/>
    </row>
    <row r="117" spans="1:29" s="47" customFormat="1">
      <c r="A117" s="452">
        <v>107</v>
      </c>
      <c r="B117" s="716" t="s">
        <v>2578</v>
      </c>
      <c r="C117" s="329">
        <f t="shared" si="28"/>
        <v>90</v>
      </c>
      <c r="D117" s="329"/>
      <c r="E117" s="329">
        <v>90</v>
      </c>
      <c r="F117" s="329">
        <v>90</v>
      </c>
      <c r="G117" s="329"/>
      <c r="H117" s="329"/>
      <c r="I117" s="329"/>
      <c r="J117" s="329">
        <f t="shared" si="29"/>
        <v>0</v>
      </c>
      <c r="K117" s="329"/>
      <c r="L117" s="329"/>
      <c r="M117" s="329">
        <f t="shared" si="30"/>
        <v>90</v>
      </c>
      <c r="N117" s="329"/>
      <c r="O117" s="398">
        <v>90</v>
      </c>
      <c r="P117" s="329"/>
      <c r="Q117" s="329"/>
      <c r="R117" s="329"/>
      <c r="S117" s="329"/>
      <c r="T117" s="329">
        <f t="shared" si="33"/>
        <v>0</v>
      </c>
      <c r="U117" s="329"/>
      <c r="V117" s="329"/>
      <c r="W117" s="329">
        <f t="shared" si="31"/>
        <v>0</v>
      </c>
      <c r="X117" s="329"/>
      <c r="Y117" s="329">
        <v>0</v>
      </c>
      <c r="Z117" s="330">
        <f t="shared" si="24"/>
        <v>100</v>
      </c>
      <c r="AA117" s="330"/>
      <c r="AB117" s="330">
        <f t="shared" si="27"/>
        <v>100</v>
      </c>
      <c r="AC117" s="330"/>
    </row>
    <row r="118" spans="1:29" s="47" customFormat="1">
      <c r="A118" s="452">
        <v>108</v>
      </c>
      <c r="B118" s="716" t="s">
        <v>2423</v>
      </c>
      <c r="C118" s="329">
        <f t="shared" si="28"/>
        <v>2458</v>
      </c>
      <c r="D118" s="329"/>
      <c r="E118" s="329">
        <v>2458</v>
      </c>
      <c r="F118" s="329">
        <v>2458</v>
      </c>
      <c r="G118" s="329"/>
      <c r="H118" s="329"/>
      <c r="I118" s="329"/>
      <c r="J118" s="329">
        <f t="shared" si="29"/>
        <v>0</v>
      </c>
      <c r="K118" s="329"/>
      <c r="L118" s="329"/>
      <c r="M118" s="329">
        <f t="shared" si="30"/>
        <v>2458</v>
      </c>
      <c r="N118" s="329"/>
      <c r="O118" s="398">
        <v>2458</v>
      </c>
      <c r="P118" s="329"/>
      <c r="Q118" s="329"/>
      <c r="R118" s="329"/>
      <c r="S118" s="329"/>
      <c r="T118" s="329">
        <f t="shared" si="33"/>
        <v>0</v>
      </c>
      <c r="U118" s="329"/>
      <c r="V118" s="329"/>
      <c r="W118" s="329">
        <f t="shared" si="31"/>
        <v>0</v>
      </c>
      <c r="X118" s="329"/>
      <c r="Y118" s="329">
        <v>0</v>
      </c>
      <c r="Z118" s="330">
        <f t="shared" si="24"/>
        <v>100</v>
      </c>
      <c r="AA118" s="330"/>
      <c r="AB118" s="330">
        <f t="shared" si="27"/>
        <v>100</v>
      </c>
      <c r="AC118" s="330"/>
    </row>
    <row r="119" spans="1:29" s="47" customFormat="1">
      <c r="A119" s="452">
        <v>109</v>
      </c>
      <c r="B119" s="716" t="s">
        <v>2415</v>
      </c>
      <c r="C119" s="329">
        <f t="shared" si="28"/>
        <v>2989</v>
      </c>
      <c r="D119" s="329"/>
      <c r="E119" s="329">
        <v>2989</v>
      </c>
      <c r="F119" s="329">
        <v>2989</v>
      </c>
      <c r="G119" s="329"/>
      <c r="H119" s="329"/>
      <c r="I119" s="329"/>
      <c r="J119" s="329">
        <f t="shared" si="29"/>
        <v>0</v>
      </c>
      <c r="K119" s="329"/>
      <c r="L119" s="329"/>
      <c r="M119" s="329">
        <f t="shared" si="30"/>
        <v>2989</v>
      </c>
      <c r="N119" s="329"/>
      <c r="O119" s="398">
        <v>2989</v>
      </c>
      <c r="P119" s="329"/>
      <c r="Q119" s="329"/>
      <c r="R119" s="329"/>
      <c r="S119" s="329"/>
      <c r="T119" s="329">
        <f t="shared" si="33"/>
        <v>0</v>
      </c>
      <c r="U119" s="329"/>
      <c r="V119" s="329"/>
      <c r="W119" s="329">
        <f t="shared" si="31"/>
        <v>0</v>
      </c>
      <c r="X119" s="329"/>
      <c r="Y119" s="329">
        <v>0</v>
      </c>
      <c r="Z119" s="330">
        <f t="shared" si="24"/>
        <v>100</v>
      </c>
      <c r="AA119" s="330"/>
      <c r="AB119" s="330">
        <f t="shared" si="27"/>
        <v>100</v>
      </c>
      <c r="AC119" s="330"/>
    </row>
    <row r="120" spans="1:29" s="47" customFormat="1">
      <c r="A120" s="452">
        <v>110</v>
      </c>
      <c r="B120" s="716" t="s">
        <v>2416</v>
      </c>
      <c r="C120" s="329">
        <f t="shared" si="28"/>
        <v>2277</v>
      </c>
      <c r="D120" s="329"/>
      <c r="E120" s="329">
        <v>2277</v>
      </c>
      <c r="F120" s="329">
        <v>2277</v>
      </c>
      <c r="G120" s="329"/>
      <c r="H120" s="329"/>
      <c r="I120" s="329"/>
      <c r="J120" s="329">
        <f t="shared" si="29"/>
        <v>0</v>
      </c>
      <c r="K120" s="329"/>
      <c r="L120" s="329"/>
      <c r="M120" s="329">
        <f t="shared" si="30"/>
        <v>2277</v>
      </c>
      <c r="N120" s="329"/>
      <c r="O120" s="398">
        <v>2277</v>
      </c>
      <c r="P120" s="329"/>
      <c r="Q120" s="329"/>
      <c r="R120" s="329"/>
      <c r="S120" s="329"/>
      <c r="T120" s="329">
        <f t="shared" si="33"/>
        <v>0</v>
      </c>
      <c r="U120" s="329"/>
      <c r="V120" s="329"/>
      <c r="W120" s="329">
        <f t="shared" si="31"/>
        <v>0</v>
      </c>
      <c r="X120" s="329"/>
      <c r="Y120" s="329">
        <v>0</v>
      </c>
      <c r="Z120" s="330">
        <f t="shared" si="24"/>
        <v>100</v>
      </c>
      <c r="AA120" s="330"/>
      <c r="AB120" s="330">
        <f t="shared" si="27"/>
        <v>100</v>
      </c>
      <c r="AC120" s="330"/>
    </row>
    <row r="121" spans="1:29" s="47" customFormat="1">
      <c r="A121" s="452">
        <v>111</v>
      </c>
      <c r="B121" s="716" t="s">
        <v>1566</v>
      </c>
      <c r="C121" s="329">
        <f t="shared" si="28"/>
        <v>3854.0050000000001</v>
      </c>
      <c r="D121" s="329"/>
      <c r="E121" s="329">
        <v>3854.0050000000001</v>
      </c>
      <c r="F121" s="329">
        <v>3854.0050000000001</v>
      </c>
      <c r="G121" s="329"/>
      <c r="H121" s="329"/>
      <c r="I121" s="329"/>
      <c r="J121" s="329">
        <f t="shared" si="29"/>
        <v>0</v>
      </c>
      <c r="K121" s="329"/>
      <c r="L121" s="329"/>
      <c r="M121" s="329">
        <f t="shared" si="30"/>
        <v>3854.0050000000001</v>
      </c>
      <c r="N121" s="329"/>
      <c r="O121" s="398">
        <v>3854.0050000000001</v>
      </c>
      <c r="P121" s="329"/>
      <c r="Q121" s="329"/>
      <c r="R121" s="329"/>
      <c r="S121" s="329"/>
      <c r="T121" s="329">
        <f t="shared" si="33"/>
        <v>0</v>
      </c>
      <c r="U121" s="329"/>
      <c r="V121" s="329"/>
      <c r="W121" s="329">
        <f t="shared" si="31"/>
        <v>0</v>
      </c>
      <c r="X121" s="329"/>
      <c r="Y121" s="329">
        <v>0</v>
      </c>
      <c r="Z121" s="330">
        <f t="shared" si="24"/>
        <v>100</v>
      </c>
      <c r="AA121" s="330"/>
      <c r="AB121" s="330">
        <f t="shared" si="27"/>
        <v>100</v>
      </c>
      <c r="AC121" s="330"/>
    </row>
    <row r="122" spans="1:29" s="47" customFormat="1">
      <c r="A122" s="452">
        <v>112</v>
      </c>
      <c r="B122" s="716" t="s">
        <v>2545</v>
      </c>
      <c r="C122" s="329">
        <f t="shared" si="28"/>
        <v>3131</v>
      </c>
      <c r="D122" s="329"/>
      <c r="E122" s="329">
        <v>3131</v>
      </c>
      <c r="F122" s="329">
        <v>3131</v>
      </c>
      <c r="G122" s="329"/>
      <c r="H122" s="329"/>
      <c r="I122" s="329"/>
      <c r="J122" s="329">
        <f t="shared" si="29"/>
        <v>0</v>
      </c>
      <c r="K122" s="329"/>
      <c r="L122" s="329"/>
      <c r="M122" s="329">
        <f t="shared" si="30"/>
        <v>3131</v>
      </c>
      <c r="N122" s="329"/>
      <c r="O122" s="398">
        <v>3131</v>
      </c>
      <c r="P122" s="329"/>
      <c r="Q122" s="329"/>
      <c r="R122" s="329"/>
      <c r="S122" s="329"/>
      <c r="T122" s="329">
        <f t="shared" si="33"/>
        <v>0</v>
      </c>
      <c r="U122" s="329"/>
      <c r="V122" s="329"/>
      <c r="W122" s="329">
        <f t="shared" si="31"/>
        <v>0</v>
      </c>
      <c r="X122" s="329"/>
      <c r="Y122" s="329">
        <v>0</v>
      </c>
      <c r="Z122" s="330">
        <f t="shared" si="24"/>
        <v>100</v>
      </c>
      <c r="AA122" s="330"/>
      <c r="AB122" s="330">
        <f t="shared" si="27"/>
        <v>100</v>
      </c>
      <c r="AC122" s="330"/>
    </row>
    <row r="123" spans="1:29" s="47" customFormat="1">
      <c r="A123" s="452">
        <v>113</v>
      </c>
      <c r="B123" s="716" t="s">
        <v>2544</v>
      </c>
      <c r="C123" s="329">
        <f t="shared" si="28"/>
        <v>2768.2779999999998</v>
      </c>
      <c r="D123" s="329"/>
      <c r="E123" s="329">
        <v>2768.2779999999998</v>
      </c>
      <c r="F123" s="329">
        <v>2768.2779999999998</v>
      </c>
      <c r="G123" s="329"/>
      <c r="H123" s="329"/>
      <c r="I123" s="329"/>
      <c r="J123" s="329">
        <f t="shared" si="29"/>
        <v>0</v>
      </c>
      <c r="K123" s="329"/>
      <c r="L123" s="329"/>
      <c r="M123" s="329">
        <f t="shared" si="30"/>
        <v>2768.2779999999998</v>
      </c>
      <c r="N123" s="329"/>
      <c r="O123" s="398">
        <v>2768.2779999999998</v>
      </c>
      <c r="P123" s="329"/>
      <c r="Q123" s="329"/>
      <c r="R123" s="329"/>
      <c r="S123" s="329"/>
      <c r="T123" s="329">
        <f t="shared" si="33"/>
        <v>0</v>
      </c>
      <c r="U123" s="329"/>
      <c r="V123" s="329"/>
      <c r="W123" s="329">
        <f t="shared" si="31"/>
        <v>0</v>
      </c>
      <c r="X123" s="329"/>
      <c r="Y123" s="329">
        <v>0</v>
      </c>
      <c r="Z123" s="330">
        <f t="shared" si="24"/>
        <v>100</v>
      </c>
      <c r="AA123" s="330"/>
      <c r="AB123" s="330">
        <f t="shared" si="27"/>
        <v>100</v>
      </c>
      <c r="AC123" s="330"/>
    </row>
    <row r="124" spans="1:29" s="47" customFormat="1">
      <c r="A124" s="452">
        <v>114</v>
      </c>
      <c r="B124" s="716" t="s">
        <v>2451</v>
      </c>
      <c r="C124" s="329">
        <f t="shared" si="28"/>
        <v>3169.2</v>
      </c>
      <c r="D124" s="329"/>
      <c r="E124" s="329">
        <v>3169.2</v>
      </c>
      <c r="F124" s="329">
        <v>3169.2</v>
      </c>
      <c r="G124" s="329"/>
      <c r="H124" s="329"/>
      <c r="I124" s="329"/>
      <c r="J124" s="329">
        <f t="shared" si="29"/>
        <v>0</v>
      </c>
      <c r="K124" s="329"/>
      <c r="L124" s="329"/>
      <c r="M124" s="329">
        <f t="shared" si="30"/>
        <v>3169.2</v>
      </c>
      <c r="N124" s="329"/>
      <c r="O124" s="398">
        <v>3169.2</v>
      </c>
      <c r="P124" s="329"/>
      <c r="Q124" s="329"/>
      <c r="R124" s="329"/>
      <c r="S124" s="329"/>
      <c r="T124" s="329">
        <f t="shared" si="33"/>
        <v>0</v>
      </c>
      <c r="U124" s="329"/>
      <c r="V124" s="329"/>
      <c r="W124" s="329">
        <f t="shared" si="31"/>
        <v>0</v>
      </c>
      <c r="X124" s="329"/>
      <c r="Y124" s="329">
        <v>0</v>
      </c>
      <c r="Z124" s="330">
        <f t="shared" si="24"/>
        <v>100</v>
      </c>
      <c r="AA124" s="330"/>
      <c r="AB124" s="330">
        <f t="shared" si="27"/>
        <v>100</v>
      </c>
      <c r="AC124" s="330"/>
    </row>
    <row r="125" spans="1:29" s="47" customFormat="1">
      <c r="A125" s="452">
        <v>115</v>
      </c>
      <c r="B125" s="716" t="s">
        <v>1573</v>
      </c>
      <c r="C125" s="329">
        <f t="shared" si="28"/>
        <v>4482.4052920000004</v>
      </c>
      <c r="D125" s="329"/>
      <c r="E125" s="329">
        <v>4482.4052920000004</v>
      </c>
      <c r="F125" s="329">
        <v>4482.4052920000004</v>
      </c>
      <c r="G125" s="329"/>
      <c r="H125" s="329"/>
      <c r="I125" s="329"/>
      <c r="J125" s="329">
        <f t="shared" si="29"/>
        <v>0</v>
      </c>
      <c r="K125" s="329"/>
      <c r="L125" s="329"/>
      <c r="M125" s="329">
        <f t="shared" si="30"/>
        <v>4482.4052919999995</v>
      </c>
      <c r="N125" s="329"/>
      <c r="O125" s="398">
        <v>4234.5924059999998</v>
      </c>
      <c r="P125" s="329"/>
      <c r="Q125" s="329"/>
      <c r="R125" s="329"/>
      <c r="S125" s="329"/>
      <c r="T125" s="329">
        <f t="shared" si="33"/>
        <v>0</v>
      </c>
      <c r="U125" s="329"/>
      <c r="V125" s="329"/>
      <c r="W125" s="329">
        <f t="shared" si="31"/>
        <v>247.81288599999999</v>
      </c>
      <c r="X125" s="329"/>
      <c r="Y125" s="329">
        <v>247.81288599999999</v>
      </c>
      <c r="Z125" s="330">
        <f t="shared" si="24"/>
        <v>99.999999999999972</v>
      </c>
      <c r="AA125" s="330"/>
      <c r="AB125" s="330">
        <f t="shared" si="27"/>
        <v>94.4714306302849</v>
      </c>
      <c r="AC125" s="330"/>
    </row>
    <row r="126" spans="1:29" s="47" customFormat="1">
      <c r="A126" s="452">
        <v>116</v>
      </c>
      <c r="B126" s="716" t="s">
        <v>2398</v>
      </c>
      <c r="C126" s="329">
        <f t="shared" si="28"/>
        <v>2799</v>
      </c>
      <c r="D126" s="329"/>
      <c r="E126" s="329">
        <v>2799</v>
      </c>
      <c r="F126" s="329">
        <v>2799</v>
      </c>
      <c r="G126" s="329"/>
      <c r="H126" s="329"/>
      <c r="I126" s="329"/>
      <c r="J126" s="329">
        <f t="shared" si="29"/>
        <v>0</v>
      </c>
      <c r="K126" s="329"/>
      <c r="L126" s="329"/>
      <c r="M126" s="329">
        <f t="shared" si="30"/>
        <v>2799</v>
      </c>
      <c r="N126" s="329"/>
      <c r="O126" s="398">
        <v>2799</v>
      </c>
      <c r="P126" s="329"/>
      <c r="Q126" s="329"/>
      <c r="R126" s="329"/>
      <c r="S126" s="329"/>
      <c r="T126" s="329">
        <f t="shared" si="33"/>
        <v>0</v>
      </c>
      <c r="U126" s="329"/>
      <c r="V126" s="329"/>
      <c r="W126" s="329">
        <f t="shared" si="31"/>
        <v>0</v>
      </c>
      <c r="X126" s="329"/>
      <c r="Y126" s="329">
        <v>0</v>
      </c>
      <c r="Z126" s="330">
        <f t="shared" si="24"/>
        <v>100</v>
      </c>
      <c r="AA126" s="330"/>
      <c r="AB126" s="330">
        <f t="shared" si="27"/>
        <v>100</v>
      </c>
      <c r="AC126" s="330"/>
    </row>
    <row r="127" spans="1:29" s="47" customFormat="1">
      <c r="A127" s="452">
        <v>117</v>
      </c>
      <c r="B127" s="716" t="s">
        <v>1583</v>
      </c>
      <c r="C127" s="329">
        <f t="shared" si="28"/>
        <v>2561</v>
      </c>
      <c r="D127" s="329"/>
      <c r="E127" s="329">
        <v>2561</v>
      </c>
      <c r="F127" s="329">
        <v>2561</v>
      </c>
      <c r="G127" s="329"/>
      <c r="H127" s="329"/>
      <c r="I127" s="329"/>
      <c r="J127" s="329">
        <f t="shared" si="29"/>
        <v>0</v>
      </c>
      <c r="K127" s="329"/>
      <c r="L127" s="329"/>
      <c r="M127" s="329">
        <f t="shared" si="30"/>
        <v>2561</v>
      </c>
      <c r="N127" s="329"/>
      <c r="O127" s="398">
        <v>2561</v>
      </c>
      <c r="P127" s="329"/>
      <c r="Q127" s="329"/>
      <c r="R127" s="329"/>
      <c r="S127" s="329"/>
      <c r="T127" s="329">
        <f t="shared" si="33"/>
        <v>0</v>
      </c>
      <c r="U127" s="329"/>
      <c r="V127" s="329"/>
      <c r="W127" s="329">
        <f t="shared" si="31"/>
        <v>0</v>
      </c>
      <c r="X127" s="329"/>
      <c r="Y127" s="329">
        <v>0</v>
      </c>
      <c r="Z127" s="330">
        <f t="shared" si="24"/>
        <v>100</v>
      </c>
      <c r="AA127" s="330"/>
      <c r="AB127" s="330">
        <f t="shared" si="27"/>
        <v>100</v>
      </c>
      <c r="AC127" s="330"/>
    </row>
    <row r="128" spans="1:29" s="47" customFormat="1">
      <c r="A128" s="452">
        <v>118</v>
      </c>
      <c r="B128" s="716" t="s">
        <v>2553</v>
      </c>
      <c r="C128" s="329">
        <f t="shared" si="28"/>
        <v>6203.2</v>
      </c>
      <c r="D128" s="329"/>
      <c r="E128" s="329">
        <v>6203.2</v>
      </c>
      <c r="F128" s="329">
        <v>6203.2</v>
      </c>
      <c r="G128" s="329"/>
      <c r="H128" s="329"/>
      <c r="I128" s="329"/>
      <c r="J128" s="329">
        <f t="shared" si="29"/>
        <v>0</v>
      </c>
      <c r="K128" s="329"/>
      <c r="L128" s="329"/>
      <c r="M128" s="329">
        <f t="shared" si="30"/>
        <v>6019.4917999999998</v>
      </c>
      <c r="N128" s="329"/>
      <c r="O128" s="398">
        <v>6019.4917999999998</v>
      </c>
      <c r="P128" s="329"/>
      <c r="Q128" s="329"/>
      <c r="R128" s="329"/>
      <c r="S128" s="329"/>
      <c r="T128" s="329">
        <f t="shared" si="33"/>
        <v>0</v>
      </c>
      <c r="U128" s="329"/>
      <c r="V128" s="329"/>
      <c r="W128" s="329">
        <f t="shared" si="31"/>
        <v>0</v>
      </c>
      <c r="X128" s="329"/>
      <c r="Y128" s="329">
        <v>0</v>
      </c>
      <c r="Z128" s="330">
        <f t="shared" si="24"/>
        <v>97.038493035852468</v>
      </c>
      <c r="AA128" s="330"/>
      <c r="AB128" s="330">
        <f t="shared" si="27"/>
        <v>97.038493035852468</v>
      </c>
      <c r="AC128" s="330"/>
    </row>
    <row r="129" spans="1:29" s="47" customFormat="1">
      <c r="A129" s="452">
        <v>119</v>
      </c>
      <c r="B129" s="716" t="s">
        <v>1497</v>
      </c>
      <c r="C129" s="329">
        <f t="shared" si="28"/>
        <v>2991</v>
      </c>
      <c r="D129" s="329"/>
      <c r="E129" s="329">
        <v>2991</v>
      </c>
      <c r="F129" s="329">
        <v>2991</v>
      </c>
      <c r="G129" s="329"/>
      <c r="H129" s="329"/>
      <c r="I129" s="329"/>
      <c r="J129" s="329">
        <f t="shared" si="29"/>
        <v>0</v>
      </c>
      <c r="K129" s="329"/>
      <c r="L129" s="329"/>
      <c r="M129" s="329">
        <f t="shared" si="30"/>
        <v>2990.3</v>
      </c>
      <c r="N129" s="329"/>
      <c r="O129" s="398">
        <v>2990.3</v>
      </c>
      <c r="P129" s="329"/>
      <c r="Q129" s="329"/>
      <c r="R129" s="329"/>
      <c r="S129" s="329"/>
      <c r="T129" s="329">
        <f t="shared" si="33"/>
        <v>0</v>
      </c>
      <c r="U129" s="329"/>
      <c r="V129" s="329"/>
      <c r="W129" s="329">
        <f t="shared" si="31"/>
        <v>0</v>
      </c>
      <c r="X129" s="329"/>
      <c r="Y129" s="329">
        <v>0</v>
      </c>
      <c r="Z129" s="330">
        <f t="shared" si="24"/>
        <v>99.97659645603477</v>
      </c>
      <c r="AA129" s="330"/>
      <c r="AB129" s="330">
        <f t="shared" si="27"/>
        <v>99.97659645603477</v>
      </c>
      <c r="AC129" s="330"/>
    </row>
    <row r="130" spans="1:29" s="47" customFormat="1">
      <c r="A130" s="452">
        <v>120</v>
      </c>
      <c r="B130" s="716" t="s">
        <v>1572</v>
      </c>
      <c r="C130" s="329">
        <f t="shared" si="28"/>
        <v>710</v>
      </c>
      <c r="D130" s="329"/>
      <c r="E130" s="329">
        <v>710</v>
      </c>
      <c r="F130" s="329">
        <v>710</v>
      </c>
      <c r="G130" s="329"/>
      <c r="H130" s="329"/>
      <c r="I130" s="329"/>
      <c r="J130" s="329">
        <f t="shared" si="29"/>
        <v>0</v>
      </c>
      <c r="K130" s="329"/>
      <c r="L130" s="329"/>
      <c r="M130" s="329">
        <f t="shared" si="30"/>
        <v>710</v>
      </c>
      <c r="N130" s="329"/>
      <c r="O130" s="398">
        <v>710</v>
      </c>
      <c r="P130" s="329"/>
      <c r="Q130" s="329"/>
      <c r="R130" s="329"/>
      <c r="S130" s="329"/>
      <c r="T130" s="329">
        <f t="shared" si="33"/>
        <v>0</v>
      </c>
      <c r="U130" s="329"/>
      <c r="V130" s="329"/>
      <c r="W130" s="329">
        <f t="shared" si="31"/>
        <v>0</v>
      </c>
      <c r="X130" s="329"/>
      <c r="Y130" s="329">
        <v>0</v>
      </c>
      <c r="Z130" s="330">
        <f t="shared" si="24"/>
        <v>100</v>
      </c>
      <c r="AA130" s="330"/>
      <c r="AB130" s="330">
        <f t="shared" si="27"/>
        <v>100</v>
      </c>
      <c r="AC130" s="330"/>
    </row>
    <row r="131" spans="1:29" s="47" customFormat="1">
      <c r="A131" s="452">
        <v>121</v>
      </c>
      <c r="B131" s="716" t="s">
        <v>1904</v>
      </c>
      <c r="C131" s="329">
        <f t="shared" si="28"/>
        <v>2222</v>
      </c>
      <c r="D131" s="329"/>
      <c r="E131" s="329">
        <v>2222</v>
      </c>
      <c r="F131" s="329">
        <v>2222</v>
      </c>
      <c r="G131" s="329"/>
      <c r="H131" s="329"/>
      <c r="I131" s="329"/>
      <c r="J131" s="329">
        <f t="shared" si="29"/>
        <v>0</v>
      </c>
      <c r="K131" s="329"/>
      <c r="L131" s="329"/>
      <c r="M131" s="329">
        <f t="shared" si="30"/>
        <v>2222</v>
      </c>
      <c r="N131" s="329"/>
      <c r="O131" s="398">
        <v>2222</v>
      </c>
      <c r="P131" s="329"/>
      <c r="Q131" s="329"/>
      <c r="R131" s="329"/>
      <c r="S131" s="329"/>
      <c r="T131" s="329">
        <f t="shared" si="33"/>
        <v>0</v>
      </c>
      <c r="U131" s="329"/>
      <c r="V131" s="329"/>
      <c r="W131" s="329">
        <f t="shared" si="31"/>
        <v>0</v>
      </c>
      <c r="X131" s="329"/>
      <c r="Y131" s="329">
        <v>0</v>
      </c>
      <c r="Z131" s="330">
        <f t="shared" si="24"/>
        <v>100</v>
      </c>
      <c r="AA131" s="330"/>
      <c r="AB131" s="330">
        <f t="shared" si="27"/>
        <v>100</v>
      </c>
      <c r="AC131" s="330"/>
    </row>
    <row r="132" spans="1:29" s="47" customFormat="1">
      <c r="A132" s="452">
        <v>122</v>
      </c>
      <c r="B132" s="716" t="s">
        <v>2609</v>
      </c>
      <c r="C132" s="329">
        <f t="shared" si="28"/>
        <v>557</v>
      </c>
      <c r="D132" s="329"/>
      <c r="E132" s="329">
        <v>557</v>
      </c>
      <c r="F132" s="329"/>
      <c r="G132" s="329">
        <v>557</v>
      </c>
      <c r="H132" s="329"/>
      <c r="I132" s="329"/>
      <c r="J132" s="329">
        <f t="shared" si="29"/>
        <v>0</v>
      </c>
      <c r="K132" s="329"/>
      <c r="L132" s="329"/>
      <c r="M132" s="329">
        <f t="shared" si="30"/>
        <v>557</v>
      </c>
      <c r="N132" s="329"/>
      <c r="O132" s="329">
        <v>557</v>
      </c>
      <c r="P132" s="329"/>
      <c r="Q132" s="329"/>
      <c r="R132" s="329"/>
      <c r="S132" s="329"/>
      <c r="T132" s="329">
        <f t="shared" si="33"/>
        <v>0</v>
      </c>
      <c r="U132" s="329"/>
      <c r="V132" s="329"/>
      <c r="W132" s="329">
        <f t="shared" si="31"/>
        <v>0</v>
      </c>
      <c r="X132" s="329"/>
      <c r="Y132" s="329"/>
      <c r="Z132" s="330">
        <f t="shared" si="24"/>
        <v>100</v>
      </c>
      <c r="AA132" s="330"/>
      <c r="AB132" s="330">
        <f t="shared" si="27"/>
        <v>100</v>
      </c>
      <c r="AC132" s="330"/>
    </row>
    <row r="133" spans="1:29" s="47" customFormat="1" ht="31.2">
      <c r="A133" s="452">
        <v>123</v>
      </c>
      <c r="B133" s="716" t="s">
        <v>2425</v>
      </c>
      <c r="C133" s="329">
        <f t="shared" si="28"/>
        <v>466</v>
      </c>
      <c r="D133" s="329"/>
      <c r="E133" s="329">
        <v>466</v>
      </c>
      <c r="F133" s="329">
        <v>466</v>
      </c>
      <c r="G133" s="329"/>
      <c r="H133" s="329"/>
      <c r="I133" s="329"/>
      <c r="J133" s="329">
        <f t="shared" si="29"/>
        <v>0</v>
      </c>
      <c r="K133" s="329"/>
      <c r="L133" s="329"/>
      <c r="M133" s="329">
        <f t="shared" si="30"/>
        <v>466</v>
      </c>
      <c r="N133" s="329"/>
      <c r="O133" s="398">
        <v>466</v>
      </c>
      <c r="P133" s="329"/>
      <c r="Q133" s="329"/>
      <c r="R133" s="329"/>
      <c r="S133" s="329"/>
      <c r="T133" s="329">
        <f t="shared" si="33"/>
        <v>0</v>
      </c>
      <c r="U133" s="329"/>
      <c r="V133" s="329"/>
      <c r="W133" s="329">
        <f t="shared" si="31"/>
        <v>0</v>
      </c>
      <c r="X133" s="329"/>
      <c r="Y133" s="329">
        <v>0</v>
      </c>
      <c r="Z133" s="330">
        <f t="shared" si="24"/>
        <v>100</v>
      </c>
      <c r="AA133" s="330"/>
      <c r="AB133" s="330">
        <f t="shared" si="27"/>
        <v>100</v>
      </c>
      <c r="AC133" s="330"/>
    </row>
    <row r="134" spans="1:29" s="47" customFormat="1">
      <c r="A134" s="452">
        <v>124</v>
      </c>
      <c r="B134" s="716" t="s">
        <v>2464</v>
      </c>
      <c r="C134" s="329">
        <f t="shared" si="28"/>
        <v>30</v>
      </c>
      <c r="D134" s="329"/>
      <c r="E134" s="329">
        <v>30</v>
      </c>
      <c r="F134" s="329">
        <v>30</v>
      </c>
      <c r="G134" s="329"/>
      <c r="H134" s="329"/>
      <c r="I134" s="329"/>
      <c r="J134" s="329">
        <f t="shared" si="29"/>
        <v>0</v>
      </c>
      <c r="K134" s="329"/>
      <c r="L134" s="329"/>
      <c r="M134" s="329">
        <f t="shared" si="30"/>
        <v>30</v>
      </c>
      <c r="N134" s="329"/>
      <c r="O134" s="398">
        <v>30</v>
      </c>
      <c r="P134" s="329"/>
      <c r="Q134" s="329"/>
      <c r="R134" s="329"/>
      <c r="S134" s="329"/>
      <c r="T134" s="329">
        <f t="shared" si="33"/>
        <v>0</v>
      </c>
      <c r="U134" s="329"/>
      <c r="V134" s="329"/>
      <c r="W134" s="329">
        <f t="shared" si="31"/>
        <v>0</v>
      </c>
      <c r="X134" s="329"/>
      <c r="Y134" s="329">
        <v>0</v>
      </c>
      <c r="Z134" s="330">
        <f t="shared" si="24"/>
        <v>100</v>
      </c>
      <c r="AA134" s="330"/>
      <c r="AB134" s="330">
        <f t="shared" si="27"/>
        <v>100</v>
      </c>
      <c r="AC134" s="330"/>
    </row>
    <row r="135" spans="1:29" s="47" customFormat="1">
      <c r="A135" s="452">
        <v>125</v>
      </c>
      <c r="B135" s="716" t="s">
        <v>2555</v>
      </c>
      <c r="C135" s="329">
        <f t="shared" si="28"/>
        <v>1691.1070649999999</v>
      </c>
      <c r="D135" s="329"/>
      <c r="E135" s="329">
        <v>1691.1070649999999</v>
      </c>
      <c r="F135" s="329">
        <v>1691.1070649999999</v>
      </c>
      <c r="G135" s="329"/>
      <c r="H135" s="329"/>
      <c r="I135" s="329"/>
      <c r="J135" s="329">
        <f t="shared" si="29"/>
        <v>0</v>
      </c>
      <c r="K135" s="329"/>
      <c r="L135" s="329"/>
      <c r="M135" s="329">
        <f t="shared" si="30"/>
        <v>1691.1070649999999</v>
      </c>
      <c r="N135" s="329"/>
      <c r="O135" s="398">
        <v>1691.1070649999999</v>
      </c>
      <c r="P135" s="329"/>
      <c r="Q135" s="329"/>
      <c r="R135" s="329"/>
      <c r="S135" s="329"/>
      <c r="T135" s="329">
        <f t="shared" si="33"/>
        <v>0</v>
      </c>
      <c r="U135" s="329"/>
      <c r="V135" s="329"/>
      <c r="W135" s="329">
        <f t="shared" si="31"/>
        <v>0</v>
      </c>
      <c r="X135" s="329"/>
      <c r="Y135" s="329">
        <v>0</v>
      </c>
      <c r="Z135" s="330">
        <f t="shared" si="24"/>
        <v>100</v>
      </c>
      <c r="AA135" s="330"/>
      <c r="AB135" s="330">
        <f t="shared" si="27"/>
        <v>100</v>
      </c>
      <c r="AC135" s="330"/>
    </row>
    <row r="136" spans="1:29" s="47" customFormat="1">
      <c r="A136" s="452">
        <v>126</v>
      </c>
      <c r="B136" s="716" t="s">
        <v>2546</v>
      </c>
      <c r="C136" s="329">
        <f t="shared" si="28"/>
        <v>2599.8739999999998</v>
      </c>
      <c r="D136" s="329"/>
      <c r="E136" s="329">
        <v>2599.8739999999998</v>
      </c>
      <c r="F136" s="329">
        <v>2599.8739999999998</v>
      </c>
      <c r="G136" s="329"/>
      <c r="H136" s="329"/>
      <c r="I136" s="329"/>
      <c r="J136" s="329">
        <f t="shared" si="29"/>
        <v>0</v>
      </c>
      <c r="K136" s="329"/>
      <c r="L136" s="329"/>
      <c r="M136" s="329">
        <f t="shared" si="30"/>
        <v>2558.817</v>
      </c>
      <c r="N136" s="329"/>
      <c r="O136" s="398">
        <v>2558.817</v>
      </c>
      <c r="P136" s="329"/>
      <c r="Q136" s="329"/>
      <c r="R136" s="329"/>
      <c r="S136" s="329"/>
      <c r="T136" s="329">
        <f t="shared" si="33"/>
        <v>0</v>
      </c>
      <c r="U136" s="329"/>
      <c r="V136" s="329"/>
      <c r="W136" s="329">
        <f t="shared" si="31"/>
        <v>0</v>
      </c>
      <c r="X136" s="329"/>
      <c r="Y136" s="329">
        <v>0</v>
      </c>
      <c r="Z136" s="330">
        <f t="shared" si="24"/>
        <v>98.420808085314917</v>
      </c>
      <c r="AA136" s="330"/>
      <c r="AB136" s="330">
        <f t="shared" si="27"/>
        <v>98.420808085314917</v>
      </c>
      <c r="AC136" s="330"/>
    </row>
    <row r="137" spans="1:29" s="47" customFormat="1">
      <c r="A137" s="452">
        <v>127</v>
      </c>
      <c r="B137" s="716" t="s">
        <v>2574</v>
      </c>
      <c r="C137" s="329">
        <f t="shared" si="28"/>
        <v>25.2</v>
      </c>
      <c r="D137" s="329"/>
      <c r="E137" s="329">
        <v>25.2</v>
      </c>
      <c r="F137" s="329">
        <v>25.2</v>
      </c>
      <c r="G137" s="329"/>
      <c r="H137" s="329"/>
      <c r="I137" s="329"/>
      <c r="J137" s="329">
        <f t="shared" si="29"/>
        <v>0</v>
      </c>
      <c r="K137" s="329"/>
      <c r="L137" s="329"/>
      <c r="M137" s="329">
        <f t="shared" si="30"/>
        <v>25.2</v>
      </c>
      <c r="N137" s="329"/>
      <c r="O137" s="398">
        <v>25.2</v>
      </c>
      <c r="P137" s="329"/>
      <c r="Q137" s="329"/>
      <c r="R137" s="329"/>
      <c r="S137" s="329"/>
      <c r="T137" s="329">
        <f t="shared" si="33"/>
        <v>0</v>
      </c>
      <c r="U137" s="329"/>
      <c r="V137" s="329"/>
      <c r="W137" s="329">
        <f t="shared" si="31"/>
        <v>0</v>
      </c>
      <c r="X137" s="329"/>
      <c r="Y137" s="329">
        <v>0</v>
      </c>
      <c r="Z137" s="330">
        <f t="shared" si="24"/>
        <v>100</v>
      </c>
      <c r="AA137" s="330"/>
      <c r="AB137" s="330">
        <f t="shared" si="27"/>
        <v>100</v>
      </c>
      <c r="AC137" s="330"/>
    </row>
    <row r="138" spans="1:29" s="47" customFormat="1">
      <c r="A138" s="452">
        <v>128</v>
      </c>
      <c r="B138" s="716" t="s">
        <v>2426</v>
      </c>
      <c r="C138" s="329">
        <f t="shared" si="28"/>
        <v>355</v>
      </c>
      <c r="D138" s="329"/>
      <c r="E138" s="329">
        <v>355</v>
      </c>
      <c r="F138" s="329">
        <v>355</v>
      </c>
      <c r="G138" s="329"/>
      <c r="H138" s="329"/>
      <c r="I138" s="329"/>
      <c r="J138" s="329">
        <f t="shared" si="29"/>
        <v>0</v>
      </c>
      <c r="K138" s="329"/>
      <c r="L138" s="329"/>
      <c r="M138" s="329">
        <f t="shared" si="30"/>
        <v>355</v>
      </c>
      <c r="N138" s="329"/>
      <c r="O138" s="398">
        <v>355</v>
      </c>
      <c r="P138" s="329"/>
      <c r="Q138" s="329"/>
      <c r="R138" s="329"/>
      <c r="S138" s="329"/>
      <c r="T138" s="329">
        <f t="shared" si="33"/>
        <v>0</v>
      </c>
      <c r="U138" s="329"/>
      <c r="V138" s="329"/>
      <c r="W138" s="329">
        <f t="shared" si="31"/>
        <v>0</v>
      </c>
      <c r="X138" s="329"/>
      <c r="Y138" s="329">
        <v>0</v>
      </c>
      <c r="Z138" s="330">
        <f t="shared" si="24"/>
        <v>100</v>
      </c>
      <c r="AA138" s="330"/>
      <c r="AB138" s="330">
        <f t="shared" si="27"/>
        <v>100</v>
      </c>
      <c r="AC138" s="330"/>
    </row>
    <row r="139" spans="1:29" s="47" customFormat="1">
      <c r="A139" s="452">
        <v>129</v>
      </c>
      <c r="B139" s="716" t="s">
        <v>2576</v>
      </c>
      <c r="C139" s="329">
        <f t="shared" si="28"/>
        <v>4825</v>
      </c>
      <c r="D139" s="329"/>
      <c r="E139" s="329">
        <v>4825</v>
      </c>
      <c r="F139" s="329">
        <v>4825</v>
      </c>
      <c r="G139" s="329"/>
      <c r="H139" s="329"/>
      <c r="I139" s="329"/>
      <c r="J139" s="329">
        <f t="shared" si="29"/>
        <v>0</v>
      </c>
      <c r="K139" s="329"/>
      <c r="L139" s="329"/>
      <c r="M139" s="329">
        <f t="shared" si="30"/>
        <v>4821.7601999999997</v>
      </c>
      <c r="N139" s="329"/>
      <c r="O139" s="398">
        <v>4821.7601999999997</v>
      </c>
      <c r="P139" s="329"/>
      <c r="Q139" s="329"/>
      <c r="R139" s="329"/>
      <c r="S139" s="329"/>
      <c r="T139" s="329">
        <f t="shared" si="33"/>
        <v>0</v>
      </c>
      <c r="U139" s="329"/>
      <c r="V139" s="329"/>
      <c r="W139" s="329">
        <f t="shared" si="31"/>
        <v>0</v>
      </c>
      <c r="X139" s="329"/>
      <c r="Y139" s="329">
        <v>0</v>
      </c>
      <c r="Z139" s="330">
        <f t="shared" si="24"/>
        <v>99.932853886010363</v>
      </c>
      <c r="AA139" s="330"/>
      <c r="AB139" s="330">
        <f t="shared" si="27"/>
        <v>99.932853886010363</v>
      </c>
      <c r="AC139" s="330"/>
    </row>
    <row r="140" spans="1:29" s="47" customFormat="1" ht="31.2">
      <c r="A140" s="452">
        <v>130</v>
      </c>
      <c r="B140" s="716" t="s">
        <v>2581</v>
      </c>
      <c r="C140" s="329">
        <f t="shared" si="28"/>
        <v>20</v>
      </c>
      <c r="D140" s="329"/>
      <c r="E140" s="329">
        <v>20</v>
      </c>
      <c r="F140" s="329">
        <v>20</v>
      </c>
      <c r="G140" s="329"/>
      <c r="H140" s="329"/>
      <c r="I140" s="329"/>
      <c r="J140" s="329">
        <f t="shared" si="29"/>
        <v>0</v>
      </c>
      <c r="K140" s="329"/>
      <c r="L140" s="329"/>
      <c r="M140" s="329">
        <f t="shared" si="30"/>
        <v>20</v>
      </c>
      <c r="N140" s="329"/>
      <c r="O140" s="398">
        <v>20</v>
      </c>
      <c r="P140" s="329"/>
      <c r="Q140" s="329"/>
      <c r="R140" s="329"/>
      <c r="S140" s="329"/>
      <c r="T140" s="329">
        <f t="shared" si="33"/>
        <v>0</v>
      </c>
      <c r="U140" s="329"/>
      <c r="V140" s="329"/>
      <c r="W140" s="329">
        <f t="shared" si="31"/>
        <v>0</v>
      </c>
      <c r="X140" s="329"/>
      <c r="Y140" s="329">
        <v>0</v>
      </c>
      <c r="Z140" s="330">
        <f t="shared" ref="Z140:Z203" si="34">M140/C140%</f>
        <v>100</v>
      </c>
      <c r="AA140" s="330"/>
      <c r="AB140" s="330">
        <f t="shared" ref="AB140:AB203" si="35">O140/E140%</f>
        <v>100</v>
      </c>
      <c r="AC140" s="330"/>
    </row>
    <row r="141" spans="1:29" s="47" customFormat="1" ht="31.2">
      <c r="A141" s="452">
        <v>131</v>
      </c>
      <c r="B141" s="716" t="s">
        <v>2442</v>
      </c>
      <c r="C141" s="329">
        <f t="shared" si="28"/>
        <v>252</v>
      </c>
      <c r="D141" s="329"/>
      <c r="E141" s="329">
        <v>252</v>
      </c>
      <c r="F141" s="329">
        <v>252</v>
      </c>
      <c r="G141" s="329"/>
      <c r="H141" s="329"/>
      <c r="I141" s="329"/>
      <c r="J141" s="329">
        <f t="shared" si="29"/>
        <v>0</v>
      </c>
      <c r="K141" s="329"/>
      <c r="L141" s="329"/>
      <c r="M141" s="329">
        <f t="shared" si="30"/>
        <v>179.37970000000001</v>
      </c>
      <c r="N141" s="329"/>
      <c r="O141" s="398">
        <v>179.37970000000001</v>
      </c>
      <c r="P141" s="329"/>
      <c r="Q141" s="329"/>
      <c r="R141" s="329"/>
      <c r="S141" s="329"/>
      <c r="T141" s="329">
        <f t="shared" si="33"/>
        <v>0</v>
      </c>
      <c r="U141" s="329"/>
      <c r="V141" s="329"/>
      <c r="W141" s="329">
        <f t="shared" si="31"/>
        <v>0</v>
      </c>
      <c r="X141" s="329"/>
      <c r="Y141" s="329">
        <v>0</v>
      </c>
      <c r="Z141" s="330">
        <f t="shared" si="34"/>
        <v>71.182420634920646</v>
      </c>
      <c r="AA141" s="330"/>
      <c r="AB141" s="330">
        <f t="shared" si="35"/>
        <v>71.182420634920646</v>
      </c>
      <c r="AC141" s="330"/>
    </row>
    <row r="142" spans="1:29" s="47" customFormat="1">
      <c r="A142" s="452">
        <v>132</v>
      </c>
      <c r="B142" s="716" t="s">
        <v>2575</v>
      </c>
      <c r="C142" s="329">
        <f t="shared" si="28"/>
        <v>283</v>
      </c>
      <c r="D142" s="329"/>
      <c r="E142" s="329">
        <v>283</v>
      </c>
      <c r="F142" s="329">
        <v>283</v>
      </c>
      <c r="G142" s="329"/>
      <c r="H142" s="329"/>
      <c r="I142" s="329"/>
      <c r="J142" s="329">
        <f t="shared" si="29"/>
        <v>0</v>
      </c>
      <c r="K142" s="329"/>
      <c r="L142" s="329"/>
      <c r="M142" s="329">
        <f t="shared" si="30"/>
        <v>283</v>
      </c>
      <c r="N142" s="329"/>
      <c r="O142" s="398">
        <v>283</v>
      </c>
      <c r="P142" s="329"/>
      <c r="Q142" s="329"/>
      <c r="R142" s="329"/>
      <c r="S142" s="329"/>
      <c r="T142" s="329">
        <f t="shared" si="33"/>
        <v>0</v>
      </c>
      <c r="U142" s="329"/>
      <c r="V142" s="329"/>
      <c r="W142" s="329">
        <f t="shared" si="31"/>
        <v>0</v>
      </c>
      <c r="X142" s="329"/>
      <c r="Y142" s="329">
        <v>0</v>
      </c>
      <c r="Z142" s="330">
        <f t="shared" si="34"/>
        <v>100</v>
      </c>
      <c r="AA142" s="330"/>
      <c r="AB142" s="330">
        <f t="shared" si="35"/>
        <v>100</v>
      </c>
      <c r="AC142" s="330"/>
    </row>
    <row r="143" spans="1:29" s="47" customFormat="1">
      <c r="A143" s="452">
        <v>133</v>
      </c>
      <c r="B143" s="716" t="s">
        <v>2564</v>
      </c>
      <c r="C143" s="329">
        <f t="shared" si="28"/>
        <v>5736.19</v>
      </c>
      <c r="D143" s="329"/>
      <c r="E143" s="329">
        <v>5636.19</v>
      </c>
      <c r="F143" s="329">
        <v>5636.19</v>
      </c>
      <c r="G143" s="329"/>
      <c r="H143" s="329"/>
      <c r="I143" s="329"/>
      <c r="J143" s="329">
        <f t="shared" si="29"/>
        <v>100</v>
      </c>
      <c r="K143" s="329"/>
      <c r="L143" s="329">
        <v>100</v>
      </c>
      <c r="M143" s="329">
        <f t="shared" si="30"/>
        <v>5636.19</v>
      </c>
      <c r="N143" s="329"/>
      <c r="O143" s="398">
        <f>5636.19-T143</f>
        <v>5536.19</v>
      </c>
      <c r="P143" s="329"/>
      <c r="Q143" s="329"/>
      <c r="R143" s="329"/>
      <c r="S143" s="329"/>
      <c r="T143" s="329">
        <f t="shared" si="33"/>
        <v>100</v>
      </c>
      <c r="U143" s="329"/>
      <c r="V143" s="329">
        <v>100</v>
      </c>
      <c r="W143" s="329">
        <f t="shared" si="31"/>
        <v>0</v>
      </c>
      <c r="X143" s="329"/>
      <c r="Y143" s="329">
        <v>0</v>
      </c>
      <c r="Z143" s="330">
        <f t="shared" si="34"/>
        <v>98.256682571532664</v>
      </c>
      <c r="AA143" s="330"/>
      <c r="AB143" s="330">
        <f t="shared" si="35"/>
        <v>98.225751793321365</v>
      </c>
      <c r="AC143" s="330">
        <f t="shared" ref="AC143:AC154" si="36">T143/J143%</f>
        <v>100</v>
      </c>
    </row>
    <row r="144" spans="1:29" s="47" customFormat="1" ht="31.2">
      <c r="A144" s="452">
        <v>134</v>
      </c>
      <c r="B144" s="716" t="s">
        <v>2580</v>
      </c>
      <c r="C144" s="329">
        <f t="shared" si="28"/>
        <v>96</v>
      </c>
      <c r="D144" s="329"/>
      <c r="E144" s="329">
        <v>96</v>
      </c>
      <c r="F144" s="329">
        <v>96</v>
      </c>
      <c r="G144" s="329"/>
      <c r="H144" s="329"/>
      <c r="I144" s="329"/>
      <c r="J144" s="329">
        <f t="shared" si="29"/>
        <v>0</v>
      </c>
      <c r="K144" s="329"/>
      <c r="L144" s="329"/>
      <c r="M144" s="329">
        <f t="shared" si="30"/>
        <v>96</v>
      </c>
      <c r="N144" s="329"/>
      <c r="O144" s="398">
        <v>96</v>
      </c>
      <c r="P144" s="329"/>
      <c r="Q144" s="329"/>
      <c r="R144" s="329"/>
      <c r="S144" s="329"/>
      <c r="T144" s="329">
        <f t="shared" si="33"/>
        <v>0</v>
      </c>
      <c r="U144" s="329"/>
      <c r="V144" s="329"/>
      <c r="W144" s="329">
        <f t="shared" si="31"/>
        <v>0</v>
      </c>
      <c r="X144" s="329"/>
      <c r="Y144" s="329">
        <v>0</v>
      </c>
      <c r="Z144" s="330">
        <f t="shared" si="34"/>
        <v>100</v>
      </c>
      <c r="AA144" s="330"/>
      <c r="AB144" s="330">
        <f t="shared" si="35"/>
        <v>100</v>
      </c>
      <c r="AC144" s="330"/>
    </row>
    <row r="145" spans="1:29" s="47" customFormat="1">
      <c r="A145" s="452">
        <v>135</v>
      </c>
      <c r="B145" s="716" t="s">
        <v>2584</v>
      </c>
      <c r="C145" s="329">
        <f t="shared" si="28"/>
        <v>425.7</v>
      </c>
      <c r="D145" s="329"/>
      <c r="E145" s="329">
        <v>425.7</v>
      </c>
      <c r="F145" s="329">
        <v>425.7</v>
      </c>
      <c r="G145" s="329"/>
      <c r="H145" s="329"/>
      <c r="I145" s="329"/>
      <c r="J145" s="329">
        <f t="shared" si="29"/>
        <v>0</v>
      </c>
      <c r="K145" s="329"/>
      <c r="L145" s="329"/>
      <c r="M145" s="329">
        <f t="shared" si="30"/>
        <v>425.7</v>
      </c>
      <c r="N145" s="329"/>
      <c r="O145" s="398">
        <v>425.7</v>
      </c>
      <c r="P145" s="329"/>
      <c r="Q145" s="329"/>
      <c r="R145" s="329"/>
      <c r="S145" s="329"/>
      <c r="T145" s="329">
        <f t="shared" ref="T145:T176" si="37">U145+V145</f>
        <v>0</v>
      </c>
      <c r="U145" s="329"/>
      <c r="V145" s="329"/>
      <c r="W145" s="329">
        <f t="shared" si="31"/>
        <v>0</v>
      </c>
      <c r="X145" s="329"/>
      <c r="Y145" s="329">
        <v>0</v>
      </c>
      <c r="Z145" s="330">
        <f t="shared" si="34"/>
        <v>100</v>
      </c>
      <c r="AA145" s="330"/>
      <c r="AB145" s="330">
        <f t="shared" si="35"/>
        <v>100</v>
      </c>
      <c r="AC145" s="330"/>
    </row>
    <row r="146" spans="1:29" s="47" customFormat="1">
      <c r="A146" s="452">
        <v>136</v>
      </c>
      <c r="B146" s="716" t="s">
        <v>2572</v>
      </c>
      <c r="C146" s="329">
        <f t="shared" si="28"/>
        <v>426</v>
      </c>
      <c r="D146" s="329"/>
      <c r="E146" s="329">
        <v>426</v>
      </c>
      <c r="F146" s="329">
        <v>426</v>
      </c>
      <c r="G146" s="329"/>
      <c r="H146" s="329"/>
      <c r="I146" s="329"/>
      <c r="J146" s="329">
        <f t="shared" si="29"/>
        <v>0</v>
      </c>
      <c r="K146" s="329"/>
      <c r="L146" s="329"/>
      <c r="M146" s="329">
        <f t="shared" si="30"/>
        <v>426</v>
      </c>
      <c r="N146" s="329"/>
      <c r="O146" s="398">
        <v>426</v>
      </c>
      <c r="P146" s="329"/>
      <c r="Q146" s="329"/>
      <c r="R146" s="329"/>
      <c r="S146" s="329"/>
      <c r="T146" s="329">
        <f t="shared" si="37"/>
        <v>0</v>
      </c>
      <c r="U146" s="329"/>
      <c r="V146" s="329"/>
      <c r="W146" s="329">
        <f t="shared" si="31"/>
        <v>0</v>
      </c>
      <c r="X146" s="329"/>
      <c r="Y146" s="329">
        <v>0</v>
      </c>
      <c r="Z146" s="330">
        <f t="shared" si="34"/>
        <v>100</v>
      </c>
      <c r="AA146" s="330"/>
      <c r="AB146" s="330">
        <f t="shared" si="35"/>
        <v>100</v>
      </c>
      <c r="AC146" s="330"/>
    </row>
    <row r="147" spans="1:29" s="47" customFormat="1">
      <c r="A147" s="452">
        <v>137</v>
      </c>
      <c r="B147" s="716" t="s">
        <v>2619</v>
      </c>
      <c r="C147" s="329">
        <f t="shared" si="28"/>
        <v>1027</v>
      </c>
      <c r="D147" s="329"/>
      <c r="E147" s="329">
        <v>1027</v>
      </c>
      <c r="F147" s="329">
        <v>1027</v>
      </c>
      <c r="G147" s="329"/>
      <c r="H147" s="329"/>
      <c r="I147" s="329"/>
      <c r="J147" s="329">
        <f t="shared" si="29"/>
        <v>0</v>
      </c>
      <c r="K147" s="329"/>
      <c r="L147" s="329"/>
      <c r="M147" s="329">
        <f t="shared" si="30"/>
        <v>932.86883399999999</v>
      </c>
      <c r="N147" s="329"/>
      <c r="O147" s="398">
        <v>932.86883399999999</v>
      </c>
      <c r="P147" s="329"/>
      <c r="Q147" s="329"/>
      <c r="R147" s="329"/>
      <c r="S147" s="329"/>
      <c r="T147" s="329">
        <f t="shared" si="37"/>
        <v>0</v>
      </c>
      <c r="U147" s="329"/>
      <c r="V147" s="329"/>
      <c r="W147" s="329">
        <f t="shared" si="31"/>
        <v>0</v>
      </c>
      <c r="X147" s="329"/>
      <c r="Y147" s="329">
        <v>0</v>
      </c>
      <c r="Z147" s="330">
        <f t="shared" si="34"/>
        <v>90.834355793573522</v>
      </c>
      <c r="AA147" s="330"/>
      <c r="AB147" s="330">
        <f t="shared" si="35"/>
        <v>90.834355793573522</v>
      </c>
      <c r="AC147" s="330"/>
    </row>
    <row r="148" spans="1:29" s="47" customFormat="1">
      <c r="A148" s="452">
        <v>138</v>
      </c>
      <c r="B148" s="716" t="s">
        <v>2549</v>
      </c>
      <c r="C148" s="329">
        <f t="shared" si="28"/>
        <v>6137.2660000000005</v>
      </c>
      <c r="D148" s="329"/>
      <c r="E148" s="329">
        <f>4943.461+1093.805</f>
        <v>6037.2660000000005</v>
      </c>
      <c r="F148" s="329">
        <v>4943.4610000000002</v>
      </c>
      <c r="G148" s="329"/>
      <c r="H148" s="329"/>
      <c r="I148" s="329"/>
      <c r="J148" s="329">
        <f t="shared" si="29"/>
        <v>100</v>
      </c>
      <c r="K148" s="329"/>
      <c r="L148" s="329">
        <v>100</v>
      </c>
      <c r="M148" s="329">
        <f t="shared" si="30"/>
        <v>5794.1457790000004</v>
      </c>
      <c r="N148" s="329"/>
      <c r="O148" s="398">
        <f>4700.340779-T148+1093.805</f>
        <v>5694.1457790000004</v>
      </c>
      <c r="P148" s="329"/>
      <c r="Q148" s="329"/>
      <c r="R148" s="329"/>
      <c r="S148" s="329"/>
      <c r="T148" s="329">
        <f t="shared" si="37"/>
        <v>100</v>
      </c>
      <c r="U148" s="329"/>
      <c r="V148" s="329">
        <v>100</v>
      </c>
      <c r="W148" s="329">
        <f t="shared" si="31"/>
        <v>0</v>
      </c>
      <c r="X148" s="329"/>
      <c r="Y148" s="329">
        <v>0</v>
      </c>
      <c r="Z148" s="330">
        <f t="shared" si="34"/>
        <v>94.409233345923084</v>
      </c>
      <c r="AA148" s="330"/>
      <c r="AB148" s="330">
        <f t="shared" si="35"/>
        <v>94.316629066865701</v>
      </c>
      <c r="AC148" s="330">
        <f t="shared" si="36"/>
        <v>100</v>
      </c>
    </row>
    <row r="149" spans="1:29" s="47" customFormat="1" ht="31.2">
      <c r="A149" s="452">
        <v>139</v>
      </c>
      <c r="B149" s="716" t="s">
        <v>2468</v>
      </c>
      <c r="C149" s="329">
        <f t="shared" si="28"/>
        <v>20</v>
      </c>
      <c r="D149" s="329"/>
      <c r="E149" s="329">
        <v>20</v>
      </c>
      <c r="F149" s="329">
        <v>20</v>
      </c>
      <c r="G149" s="329"/>
      <c r="H149" s="329"/>
      <c r="I149" s="329"/>
      <c r="J149" s="329">
        <f t="shared" si="29"/>
        <v>0</v>
      </c>
      <c r="K149" s="329"/>
      <c r="L149" s="329"/>
      <c r="M149" s="329">
        <f t="shared" si="30"/>
        <v>20</v>
      </c>
      <c r="N149" s="329"/>
      <c r="O149" s="398">
        <v>20</v>
      </c>
      <c r="P149" s="329"/>
      <c r="Q149" s="329"/>
      <c r="R149" s="329"/>
      <c r="S149" s="329"/>
      <c r="T149" s="329">
        <f t="shared" si="37"/>
        <v>0</v>
      </c>
      <c r="U149" s="329"/>
      <c r="V149" s="329"/>
      <c r="W149" s="329">
        <f t="shared" si="31"/>
        <v>0</v>
      </c>
      <c r="X149" s="329"/>
      <c r="Y149" s="329">
        <v>0</v>
      </c>
      <c r="Z149" s="330">
        <f t="shared" si="34"/>
        <v>100</v>
      </c>
      <c r="AA149" s="330"/>
      <c r="AB149" s="330">
        <f t="shared" si="35"/>
        <v>100</v>
      </c>
      <c r="AC149" s="330"/>
    </row>
    <row r="150" spans="1:29" s="47" customFormat="1">
      <c r="A150" s="452">
        <v>140</v>
      </c>
      <c r="B150" s="716" t="s">
        <v>1487</v>
      </c>
      <c r="C150" s="329">
        <f t="shared" si="28"/>
        <v>1383.0716970000001</v>
      </c>
      <c r="D150" s="329"/>
      <c r="E150" s="329">
        <v>1383.0716970000001</v>
      </c>
      <c r="F150" s="329">
        <v>1383.0716970000001</v>
      </c>
      <c r="G150" s="329"/>
      <c r="H150" s="329"/>
      <c r="I150" s="329"/>
      <c r="J150" s="329">
        <f t="shared" si="29"/>
        <v>0</v>
      </c>
      <c r="K150" s="329"/>
      <c r="L150" s="329"/>
      <c r="M150" s="329">
        <f t="shared" si="30"/>
        <v>1161.7524969999999</v>
      </c>
      <c r="N150" s="329"/>
      <c r="O150" s="398">
        <v>1161.7524969999999</v>
      </c>
      <c r="P150" s="329"/>
      <c r="Q150" s="329"/>
      <c r="R150" s="329"/>
      <c r="S150" s="329"/>
      <c r="T150" s="329">
        <f t="shared" si="37"/>
        <v>0</v>
      </c>
      <c r="U150" s="329"/>
      <c r="V150" s="329"/>
      <c r="W150" s="329">
        <f t="shared" si="31"/>
        <v>0</v>
      </c>
      <c r="X150" s="329"/>
      <c r="Y150" s="329">
        <v>0</v>
      </c>
      <c r="Z150" s="330">
        <f t="shared" si="34"/>
        <v>83.99799515238</v>
      </c>
      <c r="AA150" s="330"/>
      <c r="AB150" s="330">
        <f t="shared" si="35"/>
        <v>83.99799515238</v>
      </c>
      <c r="AC150" s="330"/>
    </row>
    <row r="151" spans="1:29" s="47" customFormat="1">
      <c r="A151" s="452">
        <v>141</v>
      </c>
      <c r="B151" s="716" t="s">
        <v>2481</v>
      </c>
      <c r="C151" s="329">
        <f t="shared" si="28"/>
        <v>13</v>
      </c>
      <c r="D151" s="329"/>
      <c r="E151" s="329">
        <v>13</v>
      </c>
      <c r="F151" s="329"/>
      <c r="G151" s="329">
        <v>13</v>
      </c>
      <c r="H151" s="329"/>
      <c r="I151" s="329"/>
      <c r="J151" s="329">
        <f t="shared" si="29"/>
        <v>0</v>
      </c>
      <c r="K151" s="329"/>
      <c r="L151" s="329"/>
      <c r="M151" s="329">
        <f t="shared" si="30"/>
        <v>13</v>
      </c>
      <c r="N151" s="329"/>
      <c r="O151" s="329">
        <v>13</v>
      </c>
      <c r="P151" s="329"/>
      <c r="Q151" s="329"/>
      <c r="R151" s="329"/>
      <c r="S151" s="329"/>
      <c r="T151" s="329">
        <f t="shared" si="37"/>
        <v>0</v>
      </c>
      <c r="U151" s="329"/>
      <c r="V151" s="329"/>
      <c r="W151" s="329">
        <f t="shared" si="31"/>
        <v>0</v>
      </c>
      <c r="X151" s="329"/>
      <c r="Y151" s="329"/>
      <c r="Z151" s="330">
        <f t="shared" si="34"/>
        <v>100</v>
      </c>
      <c r="AA151" s="330"/>
      <c r="AB151" s="330">
        <f t="shared" si="35"/>
        <v>100</v>
      </c>
      <c r="AC151" s="330"/>
    </row>
    <row r="152" spans="1:29" s="47" customFormat="1">
      <c r="A152" s="452">
        <v>142</v>
      </c>
      <c r="B152" s="716" t="s">
        <v>2034</v>
      </c>
      <c r="C152" s="329">
        <f t="shared" si="28"/>
        <v>30</v>
      </c>
      <c r="D152" s="329"/>
      <c r="E152" s="329">
        <v>30</v>
      </c>
      <c r="F152" s="329">
        <v>30</v>
      </c>
      <c r="G152" s="329"/>
      <c r="H152" s="329"/>
      <c r="I152" s="329"/>
      <c r="J152" s="329">
        <f t="shared" si="29"/>
        <v>0</v>
      </c>
      <c r="K152" s="329"/>
      <c r="L152" s="329"/>
      <c r="M152" s="329">
        <f t="shared" si="30"/>
        <v>30</v>
      </c>
      <c r="N152" s="329"/>
      <c r="O152" s="398">
        <v>30</v>
      </c>
      <c r="P152" s="329"/>
      <c r="Q152" s="329"/>
      <c r="R152" s="329"/>
      <c r="S152" s="329"/>
      <c r="T152" s="329">
        <f t="shared" si="37"/>
        <v>0</v>
      </c>
      <c r="U152" s="329"/>
      <c r="V152" s="329"/>
      <c r="W152" s="329">
        <f t="shared" si="31"/>
        <v>0</v>
      </c>
      <c r="X152" s="329"/>
      <c r="Y152" s="329">
        <v>0</v>
      </c>
      <c r="Z152" s="330">
        <f t="shared" si="34"/>
        <v>100</v>
      </c>
      <c r="AA152" s="330"/>
      <c r="AB152" s="330">
        <f t="shared" si="35"/>
        <v>100</v>
      </c>
      <c r="AC152" s="330"/>
    </row>
    <row r="153" spans="1:29" s="47" customFormat="1">
      <c r="A153" s="452">
        <v>143</v>
      </c>
      <c r="B153" s="716" t="s">
        <v>2541</v>
      </c>
      <c r="C153" s="329">
        <f t="shared" si="28"/>
        <v>1608.8</v>
      </c>
      <c r="D153" s="329"/>
      <c r="E153" s="329">
        <v>1608.8</v>
      </c>
      <c r="F153" s="329">
        <v>1608.8</v>
      </c>
      <c r="G153" s="329"/>
      <c r="H153" s="329"/>
      <c r="I153" s="329"/>
      <c r="J153" s="329">
        <f t="shared" si="29"/>
        <v>0</v>
      </c>
      <c r="K153" s="329"/>
      <c r="L153" s="329"/>
      <c r="M153" s="329">
        <f t="shared" si="30"/>
        <v>1608.6966179999999</v>
      </c>
      <c r="N153" s="329"/>
      <c r="O153" s="398">
        <v>1608.6966179999999</v>
      </c>
      <c r="P153" s="329"/>
      <c r="Q153" s="329"/>
      <c r="R153" s="329"/>
      <c r="S153" s="329"/>
      <c r="T153" s="329">
        <f t="shared" si="37"/>
        <v>0</v>
      </c>
      <c r="U153" s="329"/>
      <c r="V153" s="329"/>
      <c r="W153" s="329">
        <f t="shared" si="31"/>
        <v>0</v>
      </c>
      <c r="X153" s="329"/>
      <c r="Y153" s="329">
        <v>0</v>
      </c>
      <c r="Z153" s="330">
        <f t="shared" si="34"/>
        <v>99.993573968175028</v>
      </c>
      <c r="AA153" s="330"/>
      <c r="AB153" s="330">
        <f t="shared" si="35"/>
        <v>99.993573968175028</v>
      </c>
      <c r="AC153" s="330"/>
    </row>
    <row r="154" spans="1:29" s="47" customFormat="1">
      <c r="A154" s="452">
        <v>144</v>
      </c>
      <c r="B154" s="716" t="s">
        <v>2392</v>
      </c>
      <c r="C154" s="329">
        <f t="shared" si="28"/>
        <v>2649.45</v>
      </c>
      <c r="D154" s="329"/>
      <c r="E154" s="329">
        <v>2339.4499999999998</v>
      </c>
      <c r="F154" s="329">
        <v>2339.4499999999998</v>
      </c>
      <c r="G154" s="329"/>
      <c r="H154" s="329"/>
      <c r="I154" s="329"/>
      <c r="J154" s="329">
        <f t="shared" si="29"/>
        <v>310</v>
      </c>
      <c r="K154" s="329"/>
      <c r="L154" s="329">
        <v>310</v>
      </c>
      <c r="M154" s="329">
        <f t="shared" si="30"/>
        <v>1857.376096</v>
      </c>
      <c r="N154" s="329"/>
      <c r="O154" s="398">
        <f>1857.376096-T154</f>
        <v>1554.731096</v>
      </c>
      <c r="P154" s="329"/>
      <c r="Q154" s="329"/>
      <c r="R154" s="329"/>
      <c r="S154" s="329"/>
      <c r="T154" s="329">
        <f t="shared" si="37"/>
        <v>302.64499999999998</v>
      </c>
      <c r="U154" s="329"/>
      <c r="V154" s="329">
        <v>302.64499999999998</v>
      </c>
      <c r="W154" s="329">
        <f t="shared" si="31"/>
        <v>0</v>
      </c>
      <c r="X154" s="329"/>
      <c r="Y154" s="329">
        <v>0</v>
      </c>
      <c r="Z154" s="330">
        <f t="shared" si="34"/>
        <v>70.104213931193271</v>
      </c>
      <c r="AA154" s="330"/>
      <c r="AB154" s="330">
        <f t="shared" si="35"/>
        <v>66.457120092329404</v>
      </c>
      <c r="AC154" s="330">
        <f t="shared" si="36"/>
        <v>97.627419354838707</v>
      </c>
    </row>
    <row r="155" spans="1:29" s="47" customFormat="1">
      <c r="A155" s="452">
        <v>145</v>
      </c>
      <c r="B155" s="716" t="s">
        <v>2583</v>
      </c>
      <c r="C155" s="329">
        <f t="shared" si="28"/>
        <v>230</v>
      </c>
      <c r="D155" s="329"/>
      <c r="E155" s="329">
        <v>230</v>
      </c>
      <c r="F155" s="329">
        <v>230</v>
      </c>
      <c r="G155" s="329"/>
      <c r="H155" s="329"/>
      <c r="I155" s="329"/>
      <c r="J155" s="329">
        <f t="shared" si="29"/>
        <v>0</v>
      </c>
      <c r="K155" s="329"/>
      <c r="L155" s="329"/>
      <c r="M155" s="329">
        <f t="shared" si="30"/>
        <v>230</v>
      </c>
      <c r="N155" s="329"/>
      <c r="O155" s="398">
        <v>230</v>
      </c>
      <c r="P155" s="329"/>
      <c r="Q155" s="329"/>
      <c r="R155" s="329"/>
      <c r="S155" s="329"/>
      <c r="T155" s="329">
        <f t="shared" si="37"/>
        <v>0</v>
      </c>
      <c r="U155" s="329"/>
      <c r="V155" s="329"/>
      <c r="W155" s="329">
        <f t="shared" si="31"/>
        <v>0</v>
      </c>
      <c r="X155" s="329"/>
      <c r="Y155" s="329">
        <v>0</v>
      </c>
      <c r="Z155" s="330">
        <f t="shared" si="34"/>
        <v>100.00000000000001</v>
      </c>
      <c r="AA155" s="330"/>
      <c r="AB155" s="330">
        <f t="shared" si="35"/>
        <v>100.00000000000001</v>
      </c>
      <c r="AC155" s="330"/>
    </row>
    <row r="156" spans="1:29" s="47" customFormat="1" ht="31.2">
      <c r="A156" s="452">
        <v>146</v>
      </c>
      <c r="B156" s="716" t="s">
        <v>2597</v>
      </c>
      <c r="C156" s="329">
        <f t="shared" ref="C156:C219" si="38">D156+E156+H156+I156+J156</f>
        <v>4103.2330000000002</v>
      </c>
      <c r="D156" s="329"/>
      <c r="E156" s="329">
        <v>4103.2330000000002</v>
      </c>
      <c r="F156" s="329">
        <v>4103.2330000000002</v>
      </c>
      <c r="G156" s="329"/>
      <c r="H156" s="329"/>
      <c r="I156" s="329"/>
      <c r="J156" s="329">
        <f t="shared" ref="J156:J219" si="39">K156+L156</f>
        <v>0</v>
      </c>
      <c r="K156" s="329"/>
      <c r="L156" s="329"/>
      <c r="M156" s="329">
        <f t="shared" ref="M156:M219" si="40">N156+O156+R156+S156+T156+W156</f>
        <v>4065.2269999999999</v>
      </c>
      <c r="N156" s="329"/>
      <c r="O156" s="398">
        <v>4048.9944999999998</v>
      </c>
      <c r="P156" s="329"/>
      <c r="Q156" s="329"/>
      <c r="R156" s="329"/>
      <c r="S156" s="329"/>
      <c r="T156" s="329">
        <f t="shared" si="37"/>
        <v>0</v>
      </c>
      <c r="U156" s="329"/>
      <c r="V156" s="329"/>
      <c r="W156" s="329">
        <f t="shared" ref="W156:W219" si="41">X156+Y156</f>
        <v>16.232500000000002</v>
      </c>
      <c r="X156" s="329"/>
      <c r="Y156" s="329">
        <v>16.232500000000002</v>
      </c>
      <c r="Z156" s="330">
        <f t="shared" si="34"/>
        <v>99.073754768495959</v>
      </c>
      <c r="AA156" s="330"/>
      <c r="AB156" s="330">
        <f t="shared" si="35"/>
        <v>98.67815208154154</v>
      </c>
      <c r="AC156" s="330"/>
    </row>
    <row r="157" spans="1:29" s="47" customFormat="1" ht="31.2">
      <c r="A157" s="452">
        <v>147</v>
      </c>
      <c r="B157" s="716" t="s">
        <v>2461</v>
      </c>
      <c r="C157" s="329">
        <f t="shared" si="38"/>
        <v>2549.826</v>
      </c>
      <c r="D157" s="329"/>
      <c r="E157" s="329">
        <v>2549.826</v>
      </c>
      <c r="F157" s="329">
        <v>2549.826</v>
      </c>
      <c r="G157" s="329"/>
      <c r="H157" s="329"/>
      <c r="I157" s="329"/>
      <c r="J157" s="329">
        <f t="shared" si="39"/>
        <v>0</v>
      </c>
      <c r="K157" s="329"/>
      <c r="L157" s="329"/>
      <c r="M157" s="329">
        <f t="shared" si="40"/>
        <v>2544.8339999999998</v>
      </c>
      <c r="N157" s="329"/>
      <c r="O157" s="398">
        <v>2502.8139999999999</v>
      </c>
      <c r="P157" s="329"/>
      <c r="Q157" s="329"/>
      <c r="R157" s="329"/>
      <c r="S157" s="329"/>
      <c r="T157" s="329">
        <f t="shared" si="37"/>
        <v>0</v>
      </c>
      <c r="U157" s="329"/>
      <c r="V157" s="329"/>
      <c r="W157" s="329">
        <f t="shared" si="41"/>
        <v>42.02</v>
      </c>
      <c r="X157" s="329"/>
      <c r="Y157" s="329">
        <v>42.02</v>
      </c>
      <c r="Z157" s="330">
        <f t="shared" si="34"/>
        <v>99.804221935143801</v>
      </c>
      <c r="AA157" s="330"/>
      <c r="AB157" s="330">
        <f t="shared" si="35"/>
        <v>98.156266349154791</v>
      </c>
      <c r="AC157" s="330"/>
    </row>
    <row r="158" spans="1:29" s="47" customFormat="1" ht="31.2">
      <c r="A158" s="452">
        <v>148</v>
      </c>
      <c r="B158" s="716" t="s">
        <v>2598</v>
      </c>
      <c r="C158" s="329">
        <f t="shared" si="38"/>
        <v>3474.2</v>
      </c>
      <c r="D158" s="329"/>
      <c r="E158" s="329">
        <v>3474.2</v>
      </c>
      <c r="F158" s="329">
        <v>3474.2</v>
      </c>
      <c r="G158" s="329"/>
      <c r="H158" s="329"/>
      <c r="I158" s="329"/>
      <c r="J158" s="329">
        <f t="shared" si="39"/>
        <v>0</v>
      </c>
      <c r="K158" s="329"/>
      <c r="L158" s="329"/>
      <c r="M158" s="329">
        <f t="shared" si="40"/>
        <v>3451.5944999999997</v>
      </c>
      <c r="N158" s="329"/>
      <c r="O158" s="398">
        <v>3440.4958849999998</v>
      </c>
      <c r="P158" s="329"/>
      <c r="Q158" s="329"/>
      <c r="R158" s="329"/>
      <c r="S158" s="329"/>
      <c r="T158" s="329">
        <f t="shared" si="37"/>
        <v>0</v>
      </c>
      <c r="U158" s="329"/>
      <c r="V158" s="329"/>
      <c r="W158" s="329">
        <f t="shared" si="41"/>
        <v>11.098615000000001</v>
      </c>
      <c r="X158" s="329"/>
      <c r="Y158" s="329">
        <v>11.098615000000001</v>
      </c>
      <c r="Z158" s="330">
        <f t="shared" si="34"/>
        <v>99.349332220367273</v>
      </c>
      <c r="AA158" s="330"/>
      <c r="AB158" s="330">
        <f t="shared" si="35"/>
        <v>99.029874071728742</v>
      </c>
      <c r="AC158" s="330"/>
    </row>
    <row r="159" spans="1:29" s="47" customFormat="1">
      <c r="A159" s="452">
        <v>149</v>
      </c>
      <c r="B159" s="716" t="s">
        <v>2620</v>
      </c>
      <c r="C159" s="329">
        <f t="shared" si="38"/>
        <v>477</v>
      </c>
      <c r="D159" s="329"/>
      <c r="E159" s="329">
        <v>477</v>
      </c>
      <c r="F159" s="329">
        <v>477</v>
      </c>
      <c r="G159" s="329"/>
      <c r="H159" s="329"/>
      <c r="I159" s="329"/>
      <c r="J159" s="329">
        <f t="shared" si="39"/>
        <v>0</v>
      </c>
      <c r="K159" s="329"/>
      <c r="L159" s="329"/>
      <c r="M159" s="329">
        <f t="shared" si="40"/>
        <v>417</v>
      </c>
      <c r="N159" s="329"/>
      <c r="O159" s="398">
        <v>417</v>
      </c>
      <c r="P159" s="329"/>
      <c r="Q159" s="329"/>
      <c r="R159" s="329"/>
      <c r="S159" s="329"/>
      <c r="T159" s="329">
        <f t="shared" si="37"/>
        <v>0</v>
      </c>
      <c r="U159" s="329"/>
      <c r="V159" s="329"/>
      <c r="W159" s="329">
        <f t="shared" si="41"/>
        <v>0</v>
      </c>
      <c r="X159" s="329"/>
      <c r="Y159" s="329">
        <v>0</v>
      </c>
      <c r="Z159" s="330">
        <f t="shared" si="34"/>
        <v>87.421383647798748</v>
      </c>
      <c r="AA159" s="330"/>
      <c r="AB159" s="330">
        <f t="shared" si="35"/>
        <v>87.421383647798748</v>
      </c>
      <c r="AC159" s="330"/>
    </row>
    <row r="160" spans="1:29" s="47" customFormat="1">
      <c r="A160" s="452">
        <v>150</v>
      </c>
      <c r="B160" s="716" t="s">
        <v>2496</v>
      </c>
      <c r="C160" s="329">
        <f t="shared" si="38"/>
        <v>36981</v>
      </c>
      <c r="D160" s="329"/>
      <c r="E160" s="329">
        <v>36981</v>
      </c>
      <c r="F160" s="329"/>
      <c r="G160" s="329">
        <v>36981</v>
      </c>
      <c r="H160" s="329"/>
      <c r="I160" s="329"/>
      <c r="J160" s="329">
        <f t="shared" si="39"/>
        <v>0</v>
      </c>
      <c r="K160" s="329"/>
      <c r="L160" s="329"/>
      <c r="M160" s="329">
        <f t="shared" si="40"/>
        <v>17884</v>
      </c>
      <c r="N160" s="329"/>
      <c r="O160" s="329">
        <v>17884</v>
      </c>
      <c r="P160" s="329"/>
      <c r="Q160" s="329"/>
      <c r="R160" s="329"/>
      <c r="S160" s="329"/>
      <c r="T160" s="329">
        <f t="shared" si="37"/>
        <v>0</v>
      </c>
      <c r="U160" s="329"/>
      <c r="V160" s="329"/>
      <c r="W160" s="329">
        <f t="shared" si="41"/>
        <v>0</v>
      </c>
      <c r="X160" s="329"/>
      <c r="Y160" s="329"/>
      <c r="Z160" s="330">
        <f t="shared" si="34"/>
        <v>48.359968632541033</v>
      </c>
      <c r="AA160" s="330"/>
      <c r="AB160" s="330">
        <f t="shared" si="35"/>
        <v>48.359968632541033</v>
      </c>
      <c r="AC160" s="330"/>
    </row>
    <row r="161" spans="1:29" s="47" customFormat="1">
      <c r="A161" s="452">
        <v>151</v>
      </c>
      <c r="B161" s="722" t="s">
        <v>2531</v>
      </c>
      <c r="C161" s="329">
        <f t="shared" si="38"/>
        <v>1000</v>
      </c>
      <c r="D161" s="329"/>
      <c r="E161" s="329">
        <v>1000</v>
      </c>
      <c r="F161" s="329"/>
      <c r="G161" s="329">
        <v>1000</v>
      </c>
      <c r="H161" s="329"/>
      <c r="I161" s="329"/>
      <c r="J161" s="329">
        <f t="shared" si="39"/>
        <v>0</v>
      </c>
      <c r="K161" s="329"/>
      <c r="L161" s="329"/>
      <c r="M161" s="329">
        <f t="shared" si="40"/>
        <v>1000</v>
      </c>
      <c r="N161" s="329"/>
      <c r="O161" s="329">
        <v>1000</v>
      </c>
      <c r="P161" s="329"/>
      <c r="Q161" s="329"/>
      <c r="R161" s="329"/>
      <c r="S161" s="329"/>
      <c r="T161" s="329">
        <f t="shared" si="37"/>
        <v>0</v>
      </c>
      <c r="U161" s="329"/>
      <c r="V161" s="329"/>
      <c r="W161" s="329">
        <f t="shared" si="41"/>
        <v>0</v>
      </c>
      <c r="X161" s="329"/>
      <c r="Y161" s="329"/>
      <c r="Z161" s="330">
        <f t="shared" si="34"/>
        <v>100</v>
      </c>
      <c r="AA161" s="330"/>
      <c r="AB161" s="330">
        <f t="shared" si="35"/>
        <v>100</v>
      </c>
      <c r="AC161" s="330"/>
    </row>
    <row r="162" spans="1:29" s="47" customFormat="1">
      <c r="A162" s="452">
        <v>152</v>
      </c>
      <c r="B162" s="716" t="s">
        <v>2560</v>
      </c>
      <c r="C162" s="329">
        <f t="shared" si="38"/>
        <v>4707.6000000000004</v>
      </c>
      <c r="D162" s="329"/>
      <c r="E162" s="329">
        <v>4707.6000000000004</v>
      </c>
      <c r="F162" s="329">
        <v>4707.6000000000004</v>
      </c>
      <c r="G162" s="329"/>
      <c r="H162" s="329"/>
      <c r="I162" s="329"/>
      <c r="J162" s="329">
        <f t="shared" si="39"/>
        <v>0</v>
      </c>
      <c r="K162" s="329"/>
      <c r="L162" s="329"/>
      <c r="M162" s="329">
        <f t="shared" si="40"/>
        <v>4637.93</v>
      </c>
      <c r="N162" s="329"/>
      <c r="O162" s="398">
        <v>4387.93</v>
      </c>
      <c r="P162" s="329"/>
      <c r="Q162" s="329"/>
      <c r="R162" s="329"/>
      <c r="S162" s="329"/>
      <c r="T162" s="329">
        <f t="shared" si="37"/>
        <v>0</v>
      </c>
      <c r="U162" s="329"/>
      <c r="V162" s="329"/>
      <c r="W162" s="329">
        <f t="shared" si="41"/>
        <v>250</v>
      </c>
      <c r="X162" s="329"/>
      <c r="Y162" s="329">
        <v>250</v>
      </c>
      <c r="Z162" s="330">
        <f t="shared" si="34"/>
        <v>98.520052680771528</v>
      </c>
      <c r="AA162" s="330"/>
      <c r="AB162" s="330">
        <f t="shared" si="35"/>
        <v>93.209491035771947</v>
      </c>
      <c r="AC162" s="330"/>
    </row>
    <row r="163" spans="1:29" s="47" customFormat="1">
      <c r="A163" s="452">
        <v>153</v>
      </c>
      <c r="B163" s="716" t="s">
        <v>476</v>
      </c>
      <c r="C163" s="329">
        <f t="shared" si="38"/>
        <v>7235</v>
      </c>
      <c r="D163" s="329"/>
      <c r="E163" s="329">
        <v>7235</v>
      </c>
      <c r="F163" s="329">
        <v>7235</v>
      </c>
      <c r="G163" s="329"/>
      <c r="H163" s="329"/>
      <c r="I163" s="329"/>
      <c r="J163" s="329">
        <f t="shared" si="39"/>
        <v>0</v>
      </c>
      <c r="K163" s="329"/>
      <c r="L163" s="329"/>
      <c r="M163" s="329">
        <f t="shared" si="40"/>
        <v>7208.94877</v>
      </c>
      <c r="N163" s="329"/>
      <c r="O163" s="398">
        <v>7102.6887699999997</v>
      </c>
      <c r="P163" s="329"/>
      <c r="Q163" s="329"/>
      <c r="R163" s="329"/>
      <c r="S163" s="329"/>
      <c r="T163" s="329">
        <f t="shared" si="37"/>
        <v>0</v>
      </c>
      <c r="U163" s="329"/>
      <c r="V163" s="329"/>
      <c r="W163" s="329">
        <f t="shared" si="41"/>
        <v>106.26</v>
      </c>
      <c r="X163" s="329"/>
      <c r="Y163" s="329">
        <v>106.26</v>
      </c>
      <c r="Z163" s="330">
        <f t="shared" si="34"/>
        <v>99.639927712508651</v>
      </c>
      <c r="AA163" s="330"/>
      <c r="AB163" s="330">
        <f t="shared" si="35"/>
        <v>98.17123386316517</v>
      </c>
      <c r="AC163" s="330"/>
    </row>
    <row r="164" spans="1:29" s="47" customFormat="1">
      <c r="A164" s="452">
        <v>154</v>
      </c>
      <c r="B164" s="716" t="s">
        <v>2367</v>
      </c>
      <c r="C164" s="329">
        <f t="shared" si="38"/>
        <v>1274.45856</v>
      </c>
      <c r="D164" s="329"/>
      <c r="E164" s="329">
        <v>1274.45856</v>
      </c>
      <c r="F164" s="329">
        <v>1274.45856</v>
      </c>
      <c r="G164" s="329"/>
      <c r="H164" s="329"/>
      <c r="I164" s="329"/>
      <c r="J164" s="329">
        <f t="shared" si="39"/>
        <v>0</v>
      </c>
      <c r="K164" s="329"/>
      <c r="L164" s="329"/>
      <c r="M164" s="329">
        <f t="shared" si="40"/>
        <v>1274.45856</v>
      </c>
      <c r="N164" s="329"/>
      <c r="O164" s="398">
        <v>1274.45856</v>
      </c>
      <c r="P164" s="329"/>
      <c r="Q164" s="329"/>
      <c r="R164" s="329"/>
      <c r="S164" s="329"/>
      <c r="T164" s="329">
        <f t="shared" si="37"/>
        <v>0</v>
      </c>
      <c r="U164" s="329"/>
      <c r="V164" s="329"/>
      <c r="W164" s="329">
        <f t="shared" si="41"/>
        <v>0</v>
      </c>
      <c r="X164" s="329"/>
      <c r="Y164" s="329">
        <v>0</v>
      </c>
      <c r="Z164" s="330">
        <f t="shared" si="34"/>
        <v>100</v>
      </c>
      <c r="AA164" s="330"/>
      <c r="AB164" s="330">
        <f t="shared" si="35"/>
        <v>100</v>
      </c>
      <c r="AC164" s="330"/>
    </row>
    <row r="165" spans="1:29" s="47" customFormat="1">
      <c r="A165" s="452">
        <v>155</v>
      </c>
      <c r="B165" s="716" t="s">
        <v>2551</v>
      </c>
      <c r="C165" s="329">
        <f t="shared" si="38"/>
        <v>5388.4970000000003</v>
      </c>
      <c r="D165" s="329"/>
      <c r="E165" s="329">
        <v>5388.4970000000003</v>
      </c>
      <c r="F165" s="329">
        <v>5388.4970000000003</v>
      </c>
      <c r="G165" s="329"/>
      <c r="H165" s="329"/>
      <c r="I165" s="329"/>
      <c r="J165" s="329">
        <f t="shared" si="39"/>
        <v>0</v>
      </c>
      <c r="K165" s="329"/>
      <c r="L165" s="329"/>
      <c r="M165" s="329">
        <f t="shared" si="40"/>
        <v>5388.4970000000003</v>
      </c>
      <c r="N165" s="329"/>
      <c r="O165" s="398">
        <v>5388.4970000000003</v>
      </c>
      <c r="P165" s="329"/>
      <c r="Q165" s="329"/>
      <c r="R165" s="329"/>
      <c r="S165" s="329"/>
      <c r="T165" s="329">
        <f t="shared" si="37"/>
        <v>0</v>
      </c>
      <c r="U165" s="329"/>
      <c r="V165" s="329"/>
      <c r="W165" s="329">
        <f t="shared" si="41"/>
        <v>0</v>
      </c>
      <c r="X165" s="329"/>
      <c r="Y165" s="329">
        <v>0</v>
      </c>
      <c r="Z165" s="330">
        <f t="shared" si="34"/>
        <v>100</v>
      </c>
      <c r="AA165" s="330"/>
      <c r="AB165" s="330">
        <f t="shared" si="35"/>
        <v>100</v>
      </c>
      <c r="AC165" s="330"/>
    </row>
    <row r="166" spans="1:29" s="47" customFormat="1">
      <c r="A166" s="452">
        <v>156</v>
      </c>
      <c r="B166" s="716" t="s">
        <v>2430</v>
      </c>
      <c r="C166" s="329">
        <f t="shared" si="38"/>
        <v>225</v>
      </c>
      <c r="D166" s="329"/>
      <c r="E166" s="329">
        <v>225</v>
      </c>
      <c r="F166" s="329">
        <v>225</v>
      </c>
      <c r="G166" s="329"/>
      <c r="H166" s="329"/>
      <c r="I166" s="329"/>
      <c r="J166" s="329">
        <f t="shared" si="39"/>
        <v>0</v>
      </c>
      <c r="K166" s="329"/>
      <c r="L166" s="329"/>
      <c r="M166" s="329">
        <f t="shared" si="40"/>
        <v>225</v>
      </c>
      <c r="N166" s="329"/>
      <c r="O166" s="398">
        <v>225</v>
      </c>
      <c r="P166" s="329"/>
      <c r="Q166" s="329"/>
      <c r="R166" s="329"/>
      <c r="S166" s="329"/>
      <c r="T166" s="329">
        <f t="shared" si="37"/>
        <v>0</v>
      </c>
      <c r="U166" s="329"/>
      <c r="V166" s="329"/>
      <c r="W166" s="329">
        <f t="shared" si="41"/>
        <v>0</v>
      </c>
      <c r="X166" s="329"/>
      <c r="Y166" s="329">
        <v>0</v>
      </c>
      <c r="Z166" s="330">
        <f t="shared" si="34"/>
        <v>100</v>
      </c>
      <c r="AA166" s="330"/>
      <c r="AB166" s="330">
        <f t="shared" si="35"/>
        <v>100</v>
      </c>
      <c r="AC166" s="330"/>
    </row>
    <row r="167" spans="1:29" s="47" customFormat="1">
      <c r="A167" s="452">
        <v>157</v>
      </c>
      <c r="B167" s="716" t="s">
        <v>2403</v>
      </c>
      <c r="C167" s="329">
        <f t="shared" si="38"/>
        <v>17328.416256</v>
      </c>
      <c r="D167" s="329"/>
      <c r="E167" s="329">
        <v>17328.416256</v>
      </c>
      <c r="F167" s="329">
        <v>17328.416256</v>
      </c>
      <c r="G167" s="329"/>
      <c r="H167" s="329"/>
      <c r="I167" s="329"/>
      <c r="J167" s="329">
        <f t="shared" si="39"/>
        <v>0</v>
      </c>
      <c r="K167" s="329"/>
      <c r="L167" s="329"/>
      <c r="M167" s="329">
        <f t="shared" si="40"/>
        <v>16787.459067</v>
      </c>
      <c r="N167" s="329"/>
      <c r="O167" s="398">
        <v>15787.459067</v>
      </c>
      <c r="P167" s="329"/>
      <c r="Q167" s="329"/>
      <c r="R167" s="329"/>
      <c r="S167" s="329"/>
      <c r="T167" s="329">
        <f t="shared" si="37"/>
        <v>0</v>
      </c>
      <c r="U167" s="329"/>
      <c r="V167" s="329"/>
      <c r="W167" s="329">
        <f t="shared" si="41"/>
        <v>1000</v>
      </c>
      <c r="X167" s="329"/>
      <c r="Y167" s="329">
        <v>1000</v>
      </c>
      <c r="Z167" s="330">
        <f t="shared" si="34"/>
        <v>96.878207557989072</v>
      </c>
      <c r="AA167" s="330"/>
      <c r="AB167" s="330">
        <f t="shared" si="35"/>
        <v>91.107339723176139</v>
      </c>
      <c r="AC167" s="330"/>
    </row>
    <row r="168" spans="1:29" s="47" customFormat="1" ht="31.2">
      <c r="A168" s="452">
        <v>158</v>
      </c>
      <c r="B168" s="716" t="s">
        <v>2405</v>
      </c>
      <c r="C168" s="329">
        <f t="shared" si="38"/>
        <v>767.18320000000006</v>
      </c>
      <c r="D168" s="329"/>
      <c r="E168" s="329">
        <v>767.18320000000006</v>
      </c>
      <c r="F168" s="329">
        <v>767.18320000000006</v>
      </c>
      <c r="G168" s="329"/>
      <c r="H168" s="329"/>
      <c r="I168" s="329"/>
      <c r="J168" s="329">
        <f t="shared" si="39"/>
        <v>0</v>
      </c>
      <c r="K168" s="329"/>
      <c r="L168" s="329"/>
      <c r="M168" s="329">
        <f t="shared" si="40"/>
        <v>767.18320000000006</v>
      </c>
      <c r="N168" s="329"/>
      <c r="O168" s="398">
        <v>767.18320000000006</v>
      </c>
      <c r="P168" s="329"/>
      <c r="Q168" s="329"/>
      <c r="R168" s="329"/>
      <c r="S168" s="329"/>
      <c r="T168" s="329">
        <f t="shared" si="37"/>
        <v>0</v>
      </c>
      <c r="U168" s="329"/>
      <c r="V168" s="329"/>
      <c r="W168" s="329">
        <f t="shared" si="41"/>
        <v>0</v>
      </c>
      <c r="X168" s="329"/>
      <c r="Y168" s="329">
        <v>0</v>
      </c>
      <c r="Z168" s="330">
        <f t="shared" si="34"/>
        <v>100</v>
      </c>
      <c r="AA168" s="330"/>
      <c r="AB168" s="330">
        <f t="shared" si="35"/>
        <v>100</v>
      </c>
      <c r="AC168" s="330"/>
    </row>
    <row r="169" spans="1:29" s="47" customFormat="1">
      <c r="A169" s="452">
        <v>159</v>
      </c>
      <c r="B169" s="716" t="s">
        <v>2559</v>
      </c>
      <c r="C169" s="329">
        <f t="shared" si="38"/>
        <v>10062.678</v>
      </c>
      <c r="D169" s="329"/>
      <c r="E169" s="329">
        <v>10062.678</v>
      </c>
      <c r="F169" s="329">
        <v>10062.678</v>
      </c>
      <c r="G169" s="329"/>
      <c r="H169" s="329"/>
      <c r="I169" s="329"/>
      <c r="J169" s="329">
        <f t="shared" si="39"/>
        <v>0</v>
      </c>
      <c r="K169" s="329"/>
      <c r="L169" s="329"/>
      <c r="M169" s="329">
        <f t="shared" si="40"/>
        <v>9963.1113340000011</v>
      </c>
      <c r="N169" s="329"/>
      <c r="O169" s="398">
        <v>9841.4483340000006</v>
      </c>
      <c r="P169" s="329"/>
      <c r="Q169" s="329"/>
      <c r="R169" s="329"/>
      <c r="S169" s="329"/>
      <c r="T169" s="329">
        <f t="shared" si="37"/>
        <v>0</v>
      </c>
      <c r="U169" s="329"/>
      <c r="V169" s="329"/>
      <c r="W169" s="329">
        <f t="shared" si="41"/>
        <v>121.663</v>
      </c>
      <c r="X169" s="329"/>
      <c r="Y169" s="329">
        <v>121.663</v>
      </c>
      <c r="Z169" s="330">
        <f t="shared" si="34"/>
        <v>99.01053510804978</v>
      </c>
      <c r="AA169" s="330"/>
      <c r="AB169" s="330">
        <f t="shared" si="35"/>
        <v>97.801483203576637</v>
      </c>
      <c r="AC169" s="330"/>
    </row>
    <row r="170" spans="1:29" s="47" customFormat="1" ht="31.2">
      <c r="A170" s="452">
        <v>160</v>
      </c>
      <c r="B170" s="716" t="s">
        <v>1488</v>
      </c>
      <c r="C170" s="329">
        <f t="shared" si="38"/>
        <v>1246.8579999999999</v>
      </c>
      <c r="D170" s="329"/>
      <c r="E170" s="329">
        <v>1246.8579999999999</v>
      </c>
      <c r="F170" s="329">
        <v>1246.8579999999999</v>
      </c>
      <c r="G170" s="329"/>
      <c r="H170" s="329"/>
      <c r="I170" s="329"/>
      <c r="J170" s="329">
        <f t="shared" si="39"/>
        <v>0</v>
      </c>
      <c r="K170" s="329"/>
      <c r="L170" s="329"/>
      <c r="M170" s="329">
        <f t="shared" si="40"/>
        <v>1229.2322119999999</v>
      </c>
      <c r="N170" s="329"/>
      <c r="O170" s="398">
        <v>1229.2322119999999</v>
      </c>
      <c r="P170" s="329"/>
      <c r="Q170" s="329"/>
      <c r="R170" s="329"/>
      <c r="S170" s="329"/>
      <c r="T170" s="329">
        <f t="shared" si="37"/>
        <v>0</v>
      </c>
      <c r="U170" s="329"/>
      <c r="V170" s="329"/>
      <c r="W170" s="329">
        <f t="shared" si="41"/>
        <v>0</v>
      </c>
      <c r="X170" s="329"/>
      <c r="Y170" s="329">
        <v>0</v>
      </c>
      <c r="Z170" s="330">
        <f t="shared" si="34"/>
        <v>98.586383694053367</v>
      </c>
      <c r="AA170" s="330"/>
      <c r="AB170" s="330">
        <f t="shared" si="35"/>
        <v>98.586383694053367</v>
      </c>
      <c r="AC170" s="330"/>
    </row>
    <row r="171" spans="1:29" s="47" customFormat="1">
      <c r="A171" s="452">
        <v>161</v>
      </c>
      <c r="B171" s="716" t="s">
        <v>2419</v>
      </c>
      <c r="C171" s="329">
        <f t="shared" si="38"/>
        <v>1556</v>
      </c>
      <c r="D171" s="329"/>
      <c r="E171" s="329">
        <v>1556</v>
      </c>
      <c r="F171" s="329">
        <v>1556</v>
      </c>
      <c r="G171" s="329"/>
      <c r="H171" s="329"/>
      <c r="I171" s="329"/>
      <c r="J171" s="329">
        <f t="shared" si="39"/>
        <v>0</v>
      </c>
      <c r="K171" s="329"/>
      <c r="L171" s="329"/>
      <c r="M171" s="329">
        <f t="shared" si="40"/>
        <v>1469.115765</v>
      </c>
      <c r="N171" s="329"/>
      <c r="O171" s="398">
        <v>469.11576500000001</v>
      </c>
      <c r="P171" s="329"/>
      <c r="Q171" s="329"/>
      <c r="R171" s="329"/>
      <c r="S171" s="329"/>
      <c r="T171" s="329">
        <f t="shared" si="37"/>
        <v>0</v>
      </c>
      <c r="U171" s="329"/>
      <c r="V171" s="329"/>
      <c r="W171" s="329">
        <f t="shared" si="41"/>
        <v>1000</v>
      </c>
      <c r="X171" s="329"/>
      <c r="Y171" s="329">
        <v>1000</v>
      </c>
      <c r="Z171" s="330">
        <f t="shared" si="34"/>
        <v>94.416180269922876</v>
      </c>
      <c r="AA171" s="330"/>
      <c r="AB171" s="330">
        <f t="shared" si="35"/>
        <v>30.148828084832903</v>
      </c>
      <c r="AC171" s="330"/>
    </row>
    <row r="172" spans="1:29" s="47" customFormat="1" ht="31.2">
      <c r="A172" s="452">
        <v>162</v>
      </c>
      <c r="B172" s="716" t="s">
        <v>2456</v>
      </c>
      <c r="C172" s="329">
        <f t="shared" si="38"/>
        <v>446</v>
      </c>
      <c r="D172" s="329"/>
      <c r="E172" s="329">
        <v>446</v>
      </c>
      <c r="F172" s="329">
        <v>446</v>
      </c>
      <c r="G172" s="329"/>
      <c r="H172" s="329"/>
      <c r="I172" s="329"/>
      <c r="J172" s="329">
        <f t="shared" si="39"/>
        <v>0</v>
      </c>
      <c r="K172" s="329"/>
      <c r="L172" s="329"/>
      <c r="M172" s="329">
        <f t="shared" si="40"/>
        <v>445.99990100000002</v>
      </c>
      <c r="N172" s="329"/>
      <c r="O172" s="398">
        <v>445.80630100000002</v>
      </c>
      <c r="P172" s="329"/>
      <c r="Q172" s="329"/>
      <c r="R172" s="329"/>
      <c r="S172" s="329"/>
      <c r="T172" s="329">
        <f t="shared" si="37"/>
        <v>0</v>
      </c>
      <c r="U172" s="329"/>
      <c r="V172" s="329"/>
      <c r="W172" s="329">
        <f t="shared" si="41"/>
        <v>0.19359999999999999</v>
      </c>
      <c r="X172" s="329"/>
      <c r="Y172" s="329">
        <v>0.19359999999999999</v>
      </c>
      <c r="Z172" s="330">
        <f t="shared" si="34"/>
        <v>99.999977802690594</v>
      </c>
      <c r="AA172" s="330"/>
      <c r="AB172" s="330">
        <f t="shared" si="35"/>
        <v>99.956569730941709</v>
      </c>
      <c r="AC172" s="330"/>
    </row>
    <row r="173" spans="1:29" s="47" customFormat="1">
      <c r="A173" s="452">
        <v>163</v>
      </c>
      <c r="B173" s="716" t="s">
        <v>2378</v>
      </c>
      <c r="C173" s="329">
        <f t="shared" si="38"/>
        <v>180.9</v>
      </c>
      <c r="D173" s="329"/>
      <c r="E173" s="329">
        <v>180.9</v>
      </c>
      <c r="F173" s="329">
        <v>180.9</v>
      </c>
      <c r="G173" s="329"/>
      <c r="H173" s="329"/>
      <c r="I173" s="329"/>
      <c r="J173" s="329">
        <f t="shared" si="39"/>
        <v>0</v>
      </c>
      <c r="K173" s="329"/>
      <c r="L173" s="329"/>
      <c r="M173" s="329">
        <f t="shared" si="40"/>
        <v>180.9</v>
      </c>
      <c r="N173" s="329"/>
      <c r="O173" s="398">
        <v>104</v>
      </c>
      <c r="P173" s="329"/>
      <c r="Q173" s="329"/>
      <c r="R173" s="329"/>
      <c r="S173" s="329"/>
      <c r="T173" s="329">
        <f t="shared" si="37"/>
        <v>0</v>
      </c>
      <c r="U173" s="329"/>
      <c r="V173" s="329"/>
      <c r="W173" s="329">
        <f t="shared" si="41"/>
        <v>76.900000000000006</v>
      </c>
      <c r="X173" s="329"/>
      <c r="Y173" s="329">
        <v>76.900000000000006</v>
      </c>
      <c r="Z173" s="330">
        <f t="shared" si="34"/>
        <v>100</v>
      </c>
      <c r="AA173" s="330"/>
      <c r="AB173" s="330">
        <f t="shared" si="35"/>
        <v>57.490326147042559</v>
      </c>
      <c r="AC173" s="330"/>
    </row>
    <row r="174" spans="1:29" s="47" customFormat="1">
      <c r="A174" s="452">
        <v>164</v>
      </c>
      <c r="B174" s="716" t="s">
        <v>1907</v>
      </c>
      <c r="C174" s="329">
        <f t="shared" si="38"/>
        <v>96</v>
      </c>
      <c r="D174" s="329"/>
      <c r="E174" s="329">
        <v>96</v>
      </c>
      <c r="F174" s="329">
        <v>96</v>
      </c>
      <c r="G174" s="329"/>
      <c r="H174" s="329"/>
      <c r="I174" s="329"/>
      <c r="J174" s="329">
        <f t="shared" si="39"/>
        <v>0</v>
      </c>
      <c r="K174" s="329"/>
      <c r="L174" s="329"/>
      <c r="M174" s="329">
        <f t="shared" si="40"/>
        <v>88.109945999999994</v>
      </c>
      <c r="N174" s="329"/>
      <c r="O174" s="398">
        <v>88.109945999999994</v>
      </c>
      <c r="P174" s="329"/>
      <c r="Q174" s="329"/>
      <c r="R174" s="329"/>
      <c r="S174" s="329"/>
      <c r="T174" s="329">
        <f t="shared" si="37"/>
        <v>0</v>
      </c>
      <c r="U174" s="329"/>
      <c r="V174" s="329"/>
      <c r="W174" s="329">
        <f t="shared" si="41"/>
        <v>0</v>
      </c>
      <c r="X174" s="329"/>
      <c r="Y174" s="329">
        <v>0</v>
      </c>
      <c r="Z174" s="330">
        <f t="shared" si="34"/>
        <v>91.78119375</v>
      </c>
      <c r="AA174" s="330"/>
      <c r="AB174" s="330">
        <f t="shared" si="35"/>
        <v>91.78119375</v>
      </c>
      <c r="AC174" s="330"/>
    </row>
    <row r="175" spans="1:29" s="47" customFormat="1">
      <c r="A175" s="452">
        <v>165</v>
      </c>
      <c r="B175" s="716" t="s">
        <v>2420</v>
      </c>
      <c r="C175" s="329">
        <f t="shared" si="38"/>
        <v>442</v>
      </c>
      <c r="D175" s="329"/>
      <c r="E175" s="329">
        <v>442</v>
      </c>
      <c r="F175" s="329">
        <v>442</v>
      </c>
      <c r="G175" s="329"/>
      <c r="H175" s="329"/>
      <c r="I175" s="329"/>
      <c r="J175" s="329">
        <f t="shared" si="39"/>
        <v>0</v>
      </c>
      <c r="K175" s="329"/>
      <c r="L175" s="329"/>
      <c r="M175" s="329">
        <f t="shared" si="40"/>
        <v>442</v>
      </c>
      <c r="N175" s="329"/>
      <c r="O175" s="398">
        <v>442</v>
      </c>
      <c r="P175" s="329"/>
      <c r="Q175" s="329"/>
      <c r="R175" s="329"/>
      <c r="S175" s="329"/>
      <c r="T175" s="329">
        <f t="shared" si="37"/>
        <v>0</v>
      </c>
      <c r="U175" s="329"/>
      <c r="V175" s="329"/>
      <c r="W175" s="329">
        <f t="shared" si="41"/>
        <v>0</v>
      </c>
      <c r="X175" s="329"/>
      <c r="Y175" s="329">
        <v>0</v>
      </c>
      <c r="Z175" s="330">
        <f t="shared" si="34"/>
        <v>100</v>
      </c>
      <c r="AA175" s="330"/>
      <c r="AB175" s="330">
        <f t="shared" si="35"/>
        <v>100</v>
      </c>
      <c r="AC175" s="330"/>
    </row>
    <row r="176" spans="1:29" s="47" customFormat="1">
      <c r="A176" s="452">
        <v>166</v>
      </c>
      <c r="B176" s="716" t="s">
        <v>2350</v>
      </c>
      <c r="C176" s="329">
        <f t="shared" si="38"/>
        <v>1977</v>
      </c>
      <c r="D176" s="329"/>
      <c r="E176" s="329">
        <v>1977</v>
      </c>
      <c r="F176" s="329">
        <v>1977</v>
      </c>
      <c r="G176" s="329"/>
      <c r="H176" s="329"/>
      <c r="I176" s="329"/>
      <c r="J176" s="329">
        <f t="shared" si="39"/>
        <v>0</v>
      </c>
      <c r="K176" s="329"/>
      <c r="L176" s="329"/>
      <c r="M176" s="329">
        <f t="shared" si="40"/>
        <v>1854.1733650000001</v>
      </c>
      <c r="N176" s="329"/>
      <c r="O176" s="398">
        <v>1854.1733650000001</v>
      </c>
      <c r="P176" s="329"/>
      <c r="Q176" s="329"/>
      <c r="R176" s="329"/>
      <c r="S176" s="329"/>
      <c r="T176" s="329">
        <f t="shared" si="37"/>
        <v>0</v>
      </c>
      <c r="U176" s="329"/>
      <c r="V176" s="329"/>
      <c r="W176" s="329">
        <f t="shared" si="41"/>
        <v>0</v>
      </c>
      <c r="X176" s="329"/>
      <c r="Y176" s="329">
        <v>0</v>
      </c>
      <c r="Z176" s="330">
        <f t="shared" si="34"/>
        <v>93.787221294891253</v>
      </c>
      <c r="AA176" s="330"/>
      <c r="AB176" s="330">
        <f t="shared" si="35"/>
        <v>93.787221294891253</v>
      </c>
      <c r="AC176" s="330"/>
    </row>
    <row r="177" spans="1:29" s="47" customFormat="1">
      <c r="A177" s="452">
        <v>167</v>
      </c>
      <c r="B177" s="716" t="s">
        <v>1490</v>
      </c>
      <c r="C177" s="329">
        <f t="shared" si="38"/>
        <v>2640.32</v>
      </c>
      <c r="D177" s="329"/>
      <c r="E177" s="329">
        <v>2640.32</v>
      </c>
      <c r="F177" s="329">
        <v>2640.32</v>
      </c>
      <c r="G177" s="329"/>
      <c r="H177" s="329"/>
      <c r="I177" s="329"/>
      <c r="J177" s="329">
        <f t="shared" si="39"/>
        <v>0</v>
      </c>
      <c r="K177" s="329"/>
      <c r="L177" s="329"/>
      <c r="M177" s="329">
        <f t="shared" si="40"/>
        <v>2640.32</v>
      </c>
      <c r="N177" s="329"/>
      <c r="O177" s="398">
        <v>2640.32</v>
      </c>
      <c r="P177" s="329"/>
      <c r="Q177" s="329"/>
      <c r="R177" s="329"/>
      <c r="S177" s="329"/>
      <c r="T177" s="329">
        <f t="shared" ref="T177:T185" si="42">U177+V177</f>
        <v>0</v>
      </c>
      <c r="U177" s="329"/>
      <c r="V177" s="329"/>
      <c r="W177" s="329">
        <f t="shared" si="41"/>
        <v>0</v>
      </c>
      <c r="X177" s="329"/>
      <c r="Y177" s="329">
        <v>0</v>
      </c>
      <c r="Z177" s="330">
        <f t="shared" si="34"/>
        <v>100</v>
      </c>
      <c r="AA177" s="330"/>
      <c r="AB177" s="330">
        <f t="shared" si="35"/>
        <v>100</v>
      </c>
      <c r="AC177" s="330"/>
    </row>
    <row r="178" spans="1:29" s="47" customFormat="1" ht="31.2">
      <c r="A178" s="452">
        <v>168</v>
      </c>
      <c r="B178" s="716" t="s">
        <v>2540</v>
      </c>
      <c r="C178" s="329">
        <f t="shared" si="38"/>
        <v>1257.2908319999999</v>
      </c>
      <c r="D178" s="329"/>
      <c r="E178" s="329">
        <v>1257.2908319999999</v>
      </c>
      <c r="F178" s="329">
        <v>1257.2908319999999</v>
      </c>
      <c r="G178" s="329"/>
      <c r="H178" s="329"/>
      <c r="I178" s="329"/>
      <c r="J178" s="329">
        <f t="shared" si="39"/>
        <v>0</v>
      </c>
      <c r="K178" s="329"/>
      <c r="L178" s="329"/>
      <c r="M178" s="329">
        <f t="shared" si="40"/>
        <v>1257.2908319999999</v>
      </c>
      <c r="N178" s="329"/>
      <c r="O178" s="398">
        <v>1257.2908319999999</v>
      </c>
      <c r="P178" s="329"/>
      <c r="Q178" s="329"/>
      <c r="R178" s="329"/>
      <c r="S178" s="329"/>
      <c r="T178" s="329">
        <f t="shared" si="42"/>
        <v>0</v>
      </c>
      <c r="U178" s="329"/>
      <c r="V178" s="329"/>
      <c r="W178" s="329">
        <f t="shared" si="41"/>
        <v>0</v>
      </c>
      <c r="X178" s="329"/>
      <c r="Y178" s="329">
        <v>0</v>
      </c>
      <c r="Z178" s="330">
        <f t="shared" si="34"/>
        <v>100</v>
      </c>
      <c r="AA178" s="330"/>
      <c r="AB178" s="330">
        <f t="shared" si="35"/>
        <v>100</v>
      </c>
      <c r="AC178" s="330"/>
    </row>
    <row r="179" spans="1:29" s="47" customFormat="1">
      <c r="A179" s="452">
        <v>169</v>
      </c>
      <c r="B179" s="716" t="s">
        <v>2535</v>
      </c>
      <c r="C179" s="329">
        <f t="shared" si="38"/>
        <v>4674.1509999999998</v>
      </c>
      <c r="D179" s="329"/>
      <c r="E179" s="329">
        <v>4674.1509999999998</v>
      </c>
      <c r="F179" s="329">
        <v>4674.1509999999998</v>
      </c>
      <c r="G179" s="329"/>
      <c r="H179" s="329"/>
      <c r="I179" s="329"/>
      <c r="J179" s="329">
        <f t="shared" si="39"/>
        <v>0</v>
      </c>
      <c r="K179" s="329"/>
      <c r="L179" s="329"/>
      <c r="M179" s="329">
        <f t="shared" si="40"/>
        <v>4672.8509999999997</v>
      </c>
      <c r="N179" s="329"/>
      <c r="O179" s="398">
        <v>4672.8509999999997</v>
      </c>
      <c r="P179" s="329"/>
      <c r="Q179" s="329"/>
      <c r="R179" s="329"/>
      <c r="S179" s="329"/>
      <c r="T179" s="329">
        <f t="shared" si="42"/>
        <v>0</v>
      </c>
      <c r="U179" s="329"/>
      <c r="V179" s="329"/>
      <c r="W179" s="329">
        <f t="shared" si="41"/>
        <v>0</v>
      </c>
      <c r="X179" s="329"/>
      <c r="Y179" s="329">
        <v>0</v>
      </c>
      <c r="Z179" s="330">
        <f t="shared" si="34"/>
        <v>99.972187462493181</v>
      </c>
      <c r="AA179" s="330"/>
      <c r="AB179" s="330">
        <f t="shared" si="35"/>
        <v>99.972187462493181</v>
      </c>
      <c r="AC179" s="330"/>
    </row>
    <row r="180" spans="1:29" s="47" customFormat="1">
      <c r="A180" s="452">
        <v>170</v>
      </c>
      <c r="B180" s="716" t="s">
        <v>1556</v>
      </c>
      <c r="C180" s="329">
        <f t="shared" si="38"/>
        <v>1285.9671639999999</v>
      </c>
      <c r="D180" s="329"/>
      <c r="E180" s="329">
        <v>1285.9671639999999</v>
      </c>
      <c r="F180" s="329">
        <v>1285.9671639999999</v>
      </c>
      <c r="G180" s="329"/>
      <c r="H180" s="329"/>
      <c r="I180" s="329"/>
      <c r="J180" s="329">
        <f t="shared" si="39"/>
        <v>0</v>
      </c>
      <c r="K180" s="329"/>
      <c r="L180" s="329"/>
      <c r="M180" s="329">
        <f t="shared" si="40"/>
        <v>1285.9671639999999</v>
      </c>
      <c r="N180" s="329"/>
      <c r="O180" s="398">
        <v>1285.9671639999999</v>
      </c>
      <c r="P180" s="329"/>
      <c r="Q180" s="329"/>
      <c r="R180" s="329"/>
      <c r="S180" s="329"/>
      <c r="T180" s="329">
        <f t="shared" si="42"/>
        <v>0</v>
      </c>
      <c r="U180" s="329"/>
      <c r="V180" s="329"/>
      <c r="W180" s="329">
        <f t="shared" si="41"/>
        <v>0</v>
      </c>
      <c r="X180" s="329"/>
      <c r="Y180" s="329">
        <v>0</v>
      </c>
      <c r="Z180" s="330">
        <f t="shared" si="34"/>
        <v>100</v>
      </c>
      <c r="AA180" s="330"/>
      <c r="AB180" s="330">
        <f t="shared" si="35"/>
        <v>100</v>
      </c>
      <c r="AC180" s="330"/>
    </row>
    <row r="181" spans="1:29" s="47" customFormat="1">
      <c r="A181" s="452">
        <v>171</v>
      </c>
      <c r="B181" s="716" t="s">
        <v>2439</v>
      </c>
      <c r="C181" s="329">
        <f t="shared" si="38"/>
        <v>414</v>
      </c>
      <c r="D181" s="329"/>
      <c r="E181" s="329">
        <v>414</v>
      </c>
      <c r="F181" s="329">
        <v>414</v>
      </c>
      <c r="G181" s="329"/>
      <c r="H181" s="329"/>
      <c r="I181" s="329"/>
      <c r="J181" s="329">
        <f t="shared" si="39"/>
        <v>0</v>
      </c>
      <c r="K181" s="329"/>
      <c r="L181" s="329"/>
      <c r="M181" s="329">
        <f t="shared" si="40"/>
        <v>413.999841</v>
      </c>
      <c r="N181" s="329"/>
      <c r="O181" s="398">
        <v>413.999841</v>
      </c>
      <c r="P181" s="329"/>
      <c r="Q181" s="329"/>
      <c r="R181" s="329"/>
      <c r="S181" s="329"/>
      <c r="T181" s="329">
        <f t="shared" si="42"/>
        <v>0</v>
      </c>
      <c r="U181" s="329"/>
      <c r="V181" s="329"/>
      <c r="W181" s="329">
        <f t="shared" si="41"/>
        <v>0</v>
      </c>
      <c r="X181" s="329"/>
      <c r="Y181" s="329">
        <v>0</v>
      </c>
      <c r="Z181" s="330">
        <f t="shared" si="34"/>
        <v>99.999961594202901</v>
      </c>
      <c r="AA181" s="330"/>
      <c r="AB181" s="330">
        <f t="shared" si="35"/>
        <v>99.999961594202901</v>
      </c>
      <c r="AC181" s="330"/>
    </row>
    <row r="182" spans="1:29" s="47" customFormat="1" ht="31.2">
      <c r="A182" s="452">
        <v>172</v>
      </c>
      <c r="B182" s="716" t="s">
        <v>1589</v>
      </c>
      <c r="C182" s="329">
        <f t="shared" si="38"/>
        <v>8572</v>
      </c>
      <c r="D182" s="329"/>
      <c r="E182" s="329">
        <v>8572</v>
      </c>
      <c r="F182" s="329">
        <v>8572</v>
      </c>
      <c r="G182" s="329"/>
      <c r="H182" s="329"/>
      <c r="I182" s="329"/>
      <c r="J182" s="329">
        <f t="shared" si="39"/>
        <v>0</v>
      </c>
      <c r="K182" s="329"/>
      <c r="L182" s="329"/>
      <c r="M182" s="329">
        <f t="shared" si="40"/>
        <v>8572</v>
      </c>
      <c r="N182" s="329"/>
      <c r="O182" s="398">
        <v>8572</v>
      </c>
      <c r="P182" s="329"/>
      <c r="Q182" s="329"/>
      <c r="R182" s="329"/>
      <c r="S182" s="329"/>
      <c r="T182" s="329">
        <f t="shared" si="42"/>
        <v>0</v>
      </c>
      <c r="U182" s="329"/>
      <c r="V182" s="329"/>
      <c r="W182" s="329">
        <f t="shared" si="41"/>
        <v>0</v>
      </c>
      <c r="X182" s="329"/>
      <c r="Y182" s="329">
        <v>0</v>
      </c>
      <c r="Z182" s="330">
        <f t="shared" si="34"/>
        <v>100</v>
      </c>
      <c r="AA182" s="330"/>
      <c r="AB182" s="330">
        <f t="shared" si="35"/>
        <v>100</v>
      </c>
      <c r="AC182" s="330"/>
    </row>
    <row r="183" spans="1:29" s="47" customFormat="1" ht="31.2">
      <c r="A183" s="452">
        <v>173</v>
      </c>
      <c r="B183" s="716" t="s">
        <v>2402</v>
      </c>
      <c r="C183" s="329">
        <f t="shared" si="38"/>
        <v>2563.5390000000002</v>
      </c>
      <c r="D183" s="329"/>
      <c r="E183" s="329">
        <v>2563.5390000000002</v>
      </c>
      <c r="F183" s="329">
        <v>2563.5390000000002</v>
      </c>
      <c r="G183" s="329"/>
      <c r="H183" s="329"/>
      <c r="I183" s="329"/>
      <c r="J183" s="329">
        <f t="shared" si="39"/>
        <v>0</v>
      </c>
      <c r="K183" s="329"/>
      <c r="L183" s="329"/>
      <c r="M183" s="329">
        <f t="shared" si="40"/>
        <v>2550.951</v>
      </c>
      <c r="N183" s="329"/>
      <c r="O183" s="398">
        <v>2550.951</v>
      </c>
      <c r="P183" s="329"/>
      <c r="Q183" s="329"/>
      <c r="R183" s="329"/>
      <c r="S183" s="329"/>
      <c r="T183" s="329">
        <f t="shared" si="42"/>
        <v>0</v>
      </c>
      <c r="U183" s="329"/>
      <c r="V183" s="329"/>
      <c r="W183" s="329">
        <f t="shared" si="41"/>
        <v>0</v>
      </c>
      <c r="X183" s="329"/>
      <c r="Y183" s="329">
        <v>0</v>
      </c>
      <c r="Z183" s="330">
        <f t="shared" si="34"/>
        <v>99.508960074334738</v>
      </c>
      <c r="AA183" s="330"/>
      <c r="AB183" s="330">
        <f t="shared" si="35"/>
        <v>99.508960074334738</v>
      </c>
      <c r="AC183" s="330"/>
    </row>
    <row r="184" spans="1:29" s="47" customFormat="1">
      <c r="A184" s="452">
        <v>174</v>
      </c>
      <c r="B184" s="716" t="s">
        <v>2570</v>
      </c>
      <c r="C184" s="329">
        <f t="shared" si="38"/>
        <v>13165.032836</v>
      </c>
      <c r="D184" s="329"/>
      <c r="E184" s="329">
        <v>13165.032836</v>
      </c>
      <c r="F184" s="329">
        <v>13165.032836</v>
      </c>
      <c r="G184" s="329"/>
      <c r="H184" s="329"/>
      <c r="I184" s="329"/>
      <c r="J184" s="329">
        <f t="shared" si="39"/>
        <v>0</v>
      </c>
      <c r="K184" s="329"/>
      <c r="L184" s="329"/>
      <c r="M184" s="329">
        <f t="shared" si="40"/>
        <v>13004.0304</v>
      </c>
      <c r="N184" s="329"/>
      <c r="O184" s="398">
        <v>13004.0304</v>
      </c>
      <c r="P184" s="329"/>
      <c r="Q184" s="329"/>
      <c r="R184" s="329"/>
      <c r="S184" s="329"/>
      <c r="T184" s="329">
        <f t="shared" si="42"/>
        <v>0</v>
      </c>
      <c r="U184" s="329"/>
      <c r="V184" s="329"/>
      <c r="W184" s="329">
        <f t="shared" si="41"/>
        <v>0</v>
      </c>
      <c r="X184" s="329"/>
      <c r="Y184" s="329">
        <v>0</v>
      </c>
      <c r="Z184" s="330">
        <f t="shared" si="34"/>
        <v>98.777044934063994</v>
      </c>
      <c r="AA184" s="330"/>
      <c r="AB184" s="330">
        <f t="shared" si="35"/>
        <v>98.777044934063994</v>
      </c>
      <c r="AC184" s="330"/>
    </row>
    <row r="185" spans="1:29" s="47" customFormat="1" ht="31.2">
      <c r="A185" s="452">
        <v>175</v>
      </c>
      <c r="B185" s="716" t="s">
        <v>2383</v>
      </c>
      <c r="C185" s="329">
        <f t="shared" si="38"/>
        <v>3380</v>
      </c>
      <c r="D185" s="329"/>
      <c r="E185" s="329">
        <v>3380</v>
      </c>
      <c r="F185" s="329">
        <v>3380</v>
      </c>
      <c r="G185" s="329"/>
      <c r="H185" s="329"/>
      <c r="I185" s="329"/>
      <c r="J185" s="329">
        <f t="shared" si="39"/>
        <v>0</v>
      </c>
      <c r="K185" s="329"/>
      <c r="L185" s="329"/>
      <c r="M185" s="329">
        <f t="shared" si="40"/>
        <v>3371.9023769999999</v>
      </c>
      <c r="N185" s="329"/>
      <c r="O185" s="398">
        <v>3371.9023769999999</v>
      </c>
      <c r="P185" s="329"/>
      <c r="Q185" s="329"/>
      <c r="R185" s="329"/>
      <c r="S185" s="329"/>
      <c r="T185" s="329">
        <f t="shared" si="42"/>
        <v>0</v>
      </c>
      <c r="U185" s="329"/>
      <c r="V185" s="329"/>
      <c r="W185" s="329">
        <f t="shared" si="41"/>
        <v>0</v>
      </c>
      <c r="X185" s="329"/>
      <c r="Y185" s="329">
        <v>0</v>
      </c>
      <c r="Z185" s="330">
        <f t="shared" si="34"/>
        <v>99.760425355029597</v>
      </c>
      <c r="AA185" s="330"/>
      <c r="AB185" s="330">
        <f t="shared" si="35"/>
        <v>99.760425355029597</v>
      </c>
      <c r="AC185" s="330"/>
    </row>
    <row r="186" spans="1:29" s="47" customFormat="1">
      <c r="A186" s="452">
        <v>176</v>
      </c>
      <c r="B186" s="717" t="s">
        <v>2517</v>
      </c>
      <c r="C186" s="329">
        <f t="shared" si="38"/>
        <v>5616</v>
      </c>
      <c r="D186" s="329">
        <v>5616</v>
      </c>
      <c r="E186" s="329"/>
      <c r="F186" s="329"/>
      <c r="G186" s="329"/>
      <c r="H186" s="329"/>
      <c r="I186" s="329"/>
      <c r="J186" s="329">
        <f t="shared" si="39"/>
        <v>0</v>
      </c>
      <c r="K186" s="329"/>
      <c r="L186" s="329"/>
      <c r="M186" s="329">
        <f t="shared" si="40"/>
        <v>5616</v>
      </c>
      <c r="N186" s="329">
        <v>5255.3469999999998</v>
      </c>
      <c r="O186" s="329"/>
      <c r="P186" s="329"/>
      <c r="Q186" s="329"/>
      <c r="R186" s="329"/>
      <c r="S186" s="329"/>
      <c r="T186" s="329"/>
      <c r="U186" s="329"/>
      <c r="V186" s="329"/>
      <c r="W186" s="329">
        <f t="shared" si="41"/>
        <v>360.65300000000008</v>
      </c>
      <c r="X186" s="329">
        <v>360.65300000000008</v>
      </c>
      <c r="Y186" s="329"/>
      <c r="Z186" s="330">
        <f t="shared" si="34"/>
        <v>100</v>
      </c>
      <c r="AA186" s="330">
        <f t="shared" ref="AA186:AA192" si="43">N186/D186%</f>
        <v>93.578116096866097</v>
      </c>
      <c r="AB186" s="330"/>
      <c r="AC186" s="330"/>
    </row>
    <row r="187" spans="1:29" s="47" customFormat="1">
      <c r="A187" s="452">
        <v>177</v>
      </c>
      <c r="B187" s="716" t="s">
        <v>2389</v>
      </c>
      <c r="C187" s="329">
        <f t="shared" si="38"/>
        <v>28948.901486999999</v>
      </c>
      <c r="D187" s="329"/>
      <c r="E187" s="329">
        <v>28948.901486999999</v>
      </c>
      <c r="F187" s="329">
        <v>28948.901486999999</v>
      </c>
      <c r="G187" s="329"/>
      <c r="H187" s="329"/>
      <c r="I187" s="329"/>
      <c r="J187" s="329">
        <f t="shared" si="39"/>
        <v>0</v>
      </c>
      <c r="K187" s="329"/>
      <c r="L187" s="329"/>
      <c r="M187" s="329">
        <f t="shared" si="40"/>
        <v>28319.832114999997</v>
      </c>
      <c r="N187" s="329"/>
      <c r="O187" s="398">
        <v>28317.392114999999</v>
      </c>
      <c r="P187" s="329"/>
      <c r="Q187" s="329"/>
      <c r="R187" s="329"/>
      <c r="S187" s="329"/>
      <c r="T187" s="329">
        <f>U187+V187</f>
        <v>0</v>
      </c>
      <c r="U187" s="329"/>
      <c r="V187" s="329"/>
      <c r="W187" s="329">
        <f t="shared" si="41"/>
        <v>2.44</v>
      </c>
      <c r="X187" s="329"/>
      <c r="Y187" s="329">
        <v>2.44</v>
      </c>
      <c r="Z187" s="330">
        <f t="shared" si="34"/>
        <v>97.826966345225571</v>
      </c>
      <c r="AA187" s="330"/>
      <c r="AB187" s="330">
        <f t="shared" si="35"/>
        <v>97.818537700701384</v>
      </c>
      <c r="AC187" s="330"/>
    </row>
    <row r="188" spans="1:29" s="47" customFormat="1" ht="31.2">
      <c r="A188" s="452">
        <v>178</v>
      </c>
      <c r="B188" s="716" t="s">
        <v>2608</v>
      </c>
      <c r="C188" s="329">
        <f t="shared" si="38"/>
        <v>304.09001499999999</v>
      </c>
      <c r="D188" s="329"/>
      <c r="E188" s="329">
        <v>304.09001499999999</v>
      </c>
      <c r="F188" s="329">
        <v>304.09001499999999</v>
      </c>
      <c r="G188" s="329"/>
      <c r="H188" s="329"/>
      <c r="I188" s="329"/>
      <c r="J188" s="329">
        <f t="shared" si="39"/>
        <v>0</v>
      </c>
      <c r="K188" s="329"/>
      <c r="L188" s="329"/>
      <c r="M188" s="329">
        <f t="shared" si="40"/>
        <v>304.09001499999999</v>
      </c>
      <c r="N188" s="329"/>
      <c r="O188" s="398">
        <v>304.09001499999999</v>
      </c>
      <c r="P188" s="329"/>
      <c r="Q188" s="329"/>
      <c r="R188" s="329"/>
      <c r="S188" s="329"/>
      <c r="T188" s="329">
        <f>U188+V188</f>
        <v>0</v>
      </c>
      <c r="U188" s="329"/>
      <c r="V188" s="329"/>
      <c r="W188" s="329">
        <f t="shared" si="41"/>
        <v>0</v>
      </c>
      <c r="X188" s="329"/>
      <c r="Y188" s="329">
        <v>0</v>
      </c>
      <c r="Z188" s="330">
        <f t="shared" si="34"/>
        <v>100</v>
      </c>
      <c r="AA188" s="330"/>
      <c r="AB188" s="330">
        <f t="shared" si="35"/>
        <v>100</v>
      </c>
      <c r="AC188" s="330"/>
    </row>
    <row r="189" spans="1:29" s="47" customFormat="1" ht="31.2">
      <c r="A189" s="452">
        <v>179</v>
      </c>
      <c r="B189" s="716" t="s">
        <v>2035</v>
      </c>
      <c r="C189" s="329">
        <f t="shared" si="38"/>
        <v>981.00317900000005</v>
      </c>
      <c r="D189" s="329"/>
      <c r="E189" s="329">
        <v>981.00317900000005</v>
      </c>
      <c r="F189" s="329">
        <v>981.00317900000005</v>
      </c>
      <c r="G189" s="329"/>
      <c r="H189" s="329"/>
      <c r="I189" s="329"/>
      <c r="J189" s="329">
        <f t="shared" si="39"/>
        <v>0</v>
      </c>
      <c r="K189" s="329"/>
      <c r="L189" s="329"/>
      <c r="M189" s="329">
        <f t="shared" si="40"/>
        <v>981.00317900000005</v>
      </c>
      <c r="N189" s="329"/>
      <c r="O189" s="398">
        <v>981.00317900000005</v>
      </c>
      <c r="P189" s="329"/>
      <c r="Q189" s="329"/>
      <c r="R189" s="329"/>
      <c r="S189" s="329"/>
      <c r="T189" s="329">
        <f>U189+V189</f>
        <v>0</v>
      </c>
      <c r="U189" s="329"/>
      <c r="V189" s="329"/>
      <c r="W189" s="329">
        <f t="shared" si="41"/>
        <v>0</v>
      </c>
      <c r="X189" s="329"/>
      <c r="Y189" s="329">
        <v>0</v>
      </c>
      <c r="Z189" s="330">
        <f t="shared" si="34"/>
        <v>100</v>
      </c>
      <c r="AA189" s="330"/>
      <c r="AB189" s="330">
        <f t="shared" si="35"/>
        <v>100</v>
      </c>
      <c r="AC189" s="330"/>
    </row>
    <row r="190" spans="1:29" s="47" customFormat="1" ht="31.2">
      <c r="A190" s="452">
        <v>180</v>
      </c>
      <c r="B190" s="716" t="s">
        <v>2606</v>
      </c>
      <c r="C190" s="329">
        <f t="shared" si="38"/>
        <v>1569.9529050000001</v>
      </c>
      <c r="D190" s="329"/>
      <c r="E190" s="329">
        <v>1569.9529050000001</v>
      </c>
      <c r="F190" s="329">
        <v>1569.9529050000001</v>
      </c>
      <c r="G190" s="329"/>
      <c r="H190" s="329"/>
      <c r="I190" s="329"/>
      <c r="J190" s="329">
        <f t="shared" si="39"/>
        <v>0</v>
      </c>
      <c r="K190" s="329"/>
      <c r="L190" s="329"/>
      <c r="M190" s="329">
        <f t="shared" si="40"/>
        <v>1231.579</v>
      </c>
      <c r="N190" s="329"/>
      <c r="O190" s="398">
        <v>1231.579</v>
      </c>
      <c r="P190" s="329"/>
      <c r="Q190" s="329"/>
      <c r="R190" s="329"/>
      <c r="S190" s="329"/>
      <c r="T190" s="329">
        <f>U190+V190</f>
        <v>0</v>
      </c>
      <c r="U190" s="329"/>
      <c r="V190" s="329"/>
      <c r="W190" s="329">
        <f t="shared" si="41"/>
        <v>0</v>
      </c>
      <c r="X190" s="329"/>
      <c r="Y190" s="329">
        <v>0</v>
      </c>
      <c r="Z190" s="330">
        <f t="shared" si="34"/>
        <v>78.446875449426287</v>
      </c>
      <c r="AA190" s="330"/>
      <c r="AB190" s="330">
        <f t="shared" si="35"/>
        <v>78.446875449426287</v>
      </c>
      <c r="AC190" s="330"/>
    </row>
    <row r="191" spans="1:29" s="47" customFormat="1">
      <c r="A191" s="452">
        <v>181</v>
      </c>
      <c r="B191" s="716" t="s">
        <v>2547</v>
      </c>
      <c r="C191" s="329">
        <f t="shared" si="38"/>
        <v>1127.0670419999999</v>
      </c>
      <c r="D191" s="329"/>
      <c r="E191" s="329">
        <v>1127.0670419999999</v>
      </c>
      <c r="F191" s="329">
        <v>1127.0670419999999</v>
      </c>
      <c r="G191" s="329"/>
      <c r="H191" s="329"/>
      <c r="I191" s="329"/>
      <c r="J191" s="329">
        <f t="shared" si="39"/>
        <v>0</v>
      </c>
      <c r="K191" s="329"/>
      <c r="L191" s="329"/>
      <c r="M191" s="329">
        <f t="shared" si="40"/>
        <v>1127.0670419999999</v>
      </c>
      <c r="N191" s="329"/>
      <c r="O191" s="398">
        <v>1127.0670419999999</v>
      </c>
      <c r="P191" s="329"/>
      <c r="Q191" s="329"/>
      <c r="R191" s="329"/>
      <c r="S191" s="329"/>
      <c r="T191" s="329">
        <f>U191+V191</f>
        <v>0</v>
      </c>
      <c r="U191" s="329"/>
      <c r="V191" s="329"/>
      <c r="W191" s="329">
        <f t="shared" si="41"/>
        <v>0</v>
      </c>
      <c r="X191" s="329"/>
      <c r="Y191" s="329">
        <v>0</v>
      </c>
      <c r="Z191" s="330">
        <f t="shared" si="34"/>
        <v>100</v>
      </c>
      <c r="AA191" s="330"/>
      <c r="AB191" s="330">
        <f t="shared" si="35"/>
        <v>100</v>
      </c>
      <c r="AC191" s="330"/>
    </row>
    <row r="192" spans="1:29" s="47" customFormat="1" ht="31.2">
      <c r="A192" s="452">
        <v>182</v>
      </c>
      <c r="B192" s="717" t="s">
        <v>2518</v>
      </c>
      <c r="C192" s="329">
        <f t="shared" si="38"/>
        <v>17399</v>
      </c>
      <c r="D192" s="329">
        <v>17399</v>
      </c>
      <c r="E192" s="329"/>
      <c r="F192" s="329"/>
      <c r="G192" s="329"/>
      <c r="H192" s="329"/>
      <c r="I192" s="329"/>
      <c r="J192" s="329">
        <f t="shared" si="39"/>
        <v>0</v>
      </c>
      <c r="K192" s="329"/>
      <c r="L192" s="329"/>
      <c r="M192" s="329">
        <f t="shared" si="40"/>
        <v>13942.24</v>
      </c>
      <c r="N192" s="329">
        <v>11904.159</v>
      </c>
      <c r="O192" s="329"/>
      <c r="P192" s="329"/>
      <c r="Q192" s="329"/>
      <c r="R192" s="329"/>
      <c r="S192" s="329"/>
      <c r="T192" s="329"/>
      <c r="U192" s="329"/>
      <c r="V192" s="329"/>
      <c r="W192" s="329">
        <f t="shared" si="41"/>
        <v>2038.0809999999999</v>
      </c>
      <c r="X192" s="329">
        <v>2038.0809999999999</v>
      </c>
      <c r="Y192" s="329"/>
      <c r="Z192" s="330">
        <f t="shared" si="34"/>
        <v>80.132421403528937</v>
      </c>
      <c r="AA192" s="330">
        <f t="shared" si="43"/>
        <v>68.418639002241505</v>
      </c>
      <c r="AB192" s="330"/>
      <c r="AC192" s="330"/>
    </row>
    <row r="193" spans="1:29" s="47" customFormat="1">
      <c r="A193" s="452">
        <v>183</v>
      </c>
      <c r="B193" s="716" t="s">
        <v>2345</v>
      </c>
      <c r="C193" s="329">
        <f t="shared" si="38"/>
        <v>2361.6</v>
      </c>
      <c r="D193" s="329"/>
      <c r="E193" s="329">
        <v>2361.6</v>
      </c>
      <c r="F193" s="329">
        <v>2361.6</v>
      </c>
      <c r="G193" s="329"/>
      <c r="H193" s="329"/>
      <c r="I193" s="329"/>
      <c r="J193" s="329">
        <f t="shared" si="39"/>
        <v>0</v>
      </c>
      <c r="K193" s="329"/>
      <c r="L193" s="329"/>
      <c r="M193" s="329">
        <f t="shared" si="40"/>
        <v>2296.901034</v>
      </c>
      <c r="N193" s="329"/>
      <c r="O193" s="398">
        <v>2296.901034</v>
      </c>
      <c r="P193" s="329"/>
      <c r="Q193" s="329"/>
      <c r="R193" s="329"/>
      <c r="S193" s="329"/>
      <c r="T193" s="329">
        <f t="shared" ref="T193:T214" si="44">U193+V193</f>
        <v>0</v>
      </c>
      <c r="U193" s="329"/>
      <c r="V193" s="329"/>
      <c r="W193" s="329">
        <f t="shared" si="41"/>
        <v>0</v>
      </c>
      <c r="X193" s="329"/>
      <c r="Y193" s="329">
        <v>0</v>
      </c>
      <c r="Z193" s="330">
        <f t="shared" si="34"/>
        <v>97.260375762195125</v>
      </c>
      <c r="AA193" s="330"/>
      <c r="AB193" s="330">
        <f t="shared" si="35"/>
        <v>97.260375762195125</v>
      </c>
      <c r="AC193" s="330"/>
    </row>
    <row r="194" spans="1:29" s="47" customFormat="1">
      <c r="A194" s="452">
        <v>184</v>
      </c>
      <c r="B194" s="716" t="s">
        <v>2455</v>
      </c>
      <c r="C194" s="329">
        <f t="shared" si="38"/>
        <v>2437.4</v>
      </c>
      <c r="D194" s="329"/>
      <c r="E194" s="329">
        <v>2437.4</v>
      </c>
      <c r="F194" s="329">
        <v>2437.4</v>
      </c>
      <c r="G194" s="329"/>
      <c r="H194" s="329"/>
      <c r="I194" s="329"/>
      <c r="J194" s="329">
        <f t="shared" si="39"/>
        <v>0</v>
      </c>
      <c r="K194" s="329"/>
      <c r="L194" s="329"/>
      <c r="M194" s="329">
        <f t="shared" si="40"/>
        <v>2437.4</v>
      </c>
      <c r="N194" s="329"/>
      <c r="O194" s="398">
        <v>2437.4</v>
      </c>
      <c r="P194" s="329"/>
      <c r="Q194" s="329"/>
      <c r="R194" s="329"/>
      <c r="S194" s="329"/>
      <c r="T194" s="329">
        <f t="shared" si="44"/>
        <v>0</v>
      </c>
      <c r="U194" s="329"/>
      <c r="V194" s="329"/>
      <c r="W194" s="329">
        <f t="shared" si="41"/>
        <v>0</v>
      </c>
      <c r="X194" s="329"/>
      <c r="Y194" s="329">
        <v>0</v>
      </c>
      <c r="Z194" s="330">
        <f t="shared" si="34"/>
        <v>100</v>
      </c>
      <c r="AA194" s="330"/>
      <c r="AB194" s="330">
        <f t="shared" si="35"/>
        <v>100</v>
      </c>
      <c r="AC194" s="330"/>
    </row>
    <row r="195" spans="1:29" s="47" customFormat="1">
      <c r="A195" s="452">
        <v>185</v>
      </c>
      <c r="B195" s="716" t="s">
        <v>2542</v>
      </c>
      <c r="C195" s="329">
        <f t="shared" si="38"/>
        <v>724.92667700000004</v>
      </c>
      <c r="D195" s="329"/>
      <c r="E195" s="329">
        <v>724.92667700000004</v>
      </c>
      <c r="F195" s="329">
        <v>724.92667700000004</v>
      </c>
      <c r="G195" s="329"/>
      <c r="H195" s="329"/>
      <c r="I195" s="329"/>
      <c r="J195" s="329">
        <f t="shared" si="39"/>
        <v>0</v>
      </c>
      <c r="K195" s="329"/>
      <c r="L195" s="329"/>
      <c r="M195" s="329">
        <f t="shared" si="40"/>
        <v>724.92667700000004</v>
      </c>
      <c r="N195" s="329"/>
      <c r="O195" s="398">
        <v>724.92667700000004</v>
      </c>
      <c r="P195" s="329"/>
      <c r="Q195" s="329"/>
      <c r="R195" s="329"/>
      <c r="S195" s="329"/>
      <c r="T195" s="329">
        <f t="shared" si="44"/>
        <v>0</v>
      </c>
      <c r="U195" s="329"/>
      <c r="V195" s="329"/>
      <c r="W195" s="329">
        <f t="shared" si="41"/>
        <v>0</v>
      </c>
      <c r="X195" s="329"/>
      <c r="Y195" s="329">
        <v>0</v>
      </c>
      <c r="Z195" s="330">
        <f t="shared" si="34"/>
        <v>100</v>
      </c>
      <c r="AA195" s="330"/>
      <c r="AB195" s="330">
        <f t="shared" si="35"/>
        <v>100</v>
      </c>
      <c r="AC195" s="330"/>
    </row>
    <row r="196" spans="1:29" s="47" customFormat="1">
      <c r="A196" s="452">
        <v>186</v>
      </c>
      <c r="B196" s="716" t="s">
        <v>1640</v>
      </c>
      <c r="C196" s="329">
        <f t="shared" si="38"/>
        <v>764.52</v>
      </c>
      <c r="D196" s="329"/>
      <c r="E196" s="329">
        <v>764.52</v>
      </c>
      <c r="F196" s="329">
        <v>764.52</v>
      </c>
      <c r="G196" s="329"/>
      <c r="H196" s="329"/>
      <c r="I196" s="329"/>
      <c r="J196" s="329">
        <f t="shared" si="39"/>
        <v>0</v>
      </c>
      <c r="K196" s="329"/>
      <c r="L196" s="329"/>
      <c r="M196" s="329">
        <f t="shared" si="40"/>
        <v>764.52</v>
      </c>
      <c r="N196" s="329"/>
      <c r="O196" s="398">
        <v>764.52</v>
      </c>
      <c r="P196" s="329"/>
      <c r="Q196" s="329"/>
      <c r="R196" s="329"/>
      <c r="S196" s="329"/>
      <c r="T196" s="329">
        <f t="shared" si="44"/>
        <v>0</v>
      </c>
      <c r="U196" s="329"/>
      <c r="V196" s="329"/>
      <c r="W196" s="329">
        <f t="shared" si="41"/>
        <v>0</v>
      </c>
      <c r="X196" s="329"/>
      <c r="Y196" s="329">
        <v>0</v>
      </c>
      <c r="Z196" s="330">
        <f t="shared" si="34"/>
        <v>100</v>
      </c>
      <c r="AA196" s="330"/>
      <c r="AB196" s="330">
        <f t="shared" si="35"/>
        <v>100</v>
      </c>
      <c r="AC196" s="330"/>
    </row>
    <row r="197" spans="1:29" s="47" customFormat="1" ht="31.2">
      <c r="A197" s="452">
        <v>187</v>
      </c>
      <c r="B197" s="716" t="s">
        <v>2577</v>
      </c>
      <c r="C197" s="329">
        <f t="shared" si="38"/>
        <v>1382.6</v>
      </c>
      <c r="D197" s="329"/>
      <c r="E197" s="329">
        <v>1382.6</v>
      </c>
      <c r="F197" s="329">
        <v>1382.6</v>
      </c>
      <c r="G197" s="329"/>
      <c r="H197" s="329"/>
      <c r="I197" s="329"/>
      <c r="J197" s="329">
        <f t="shared" si="39"/>
        <v>0</v>
      </c>
      <c r="K197" s="329"/>
      <c r="L197" s="329"/>
      <c r="M197" s="329">
        <f t="shared" si="40"/>
        <v>1382.6</v>
      </c>
      <c r="N197" s="329"/>
      <c r="O197" s="398">
        <v>1382.6</v>
      </c>
      <c r="P197" s="329"/>
      <c r="Q197" s="329"/>
      <c r="R197" s="329"/>
      <c r="S197" s="329"/>
      <c r="T197" s="329">
        <f t="shared" si="44"/>
        <v>0</v>
      </c>
      <c r="U197" s="329"/>
      <c r="V197" s="329"/>
      <c r="W197" s="329">
        <f t="shared" si="41"/>
        <v>0</v>
      </c>
      <c r="X197" s="329"/>
      <c r="Y197" s="329">
        <v>0</v>
      </c>
      <c r="Z197" s="330">
        <f t="shared" si="34"/>
        <v>100</v>
      </c>
      <c r="AA197" s="330"/>
      <c r="AB197" s="330">
        <f t="shared" si="35"/>
        <v>100</v>
      </c>
      <c r="AC197" s="330"/>
    </row>
    <row r="198" spans="1:29" s="47" customFormat="1" ht="31.2">
      <c r="A198" s="452">
        <v>188</v>
      </c>
      <c r="B198" s="716" t="s">
        <v>2604</v>
      </c>
      <c r="C198" s="329">
        <f t="shared" si="38"/>
        <v>143.77387999999999</v>
      </c>
      <c r="D198" s="329"/>
      <c r="E198" s="329">
        <v>143.77387999999999</v>
      </c>
      <c r="F198" s="329">
        <v>143.77387999999999</v>
      </c>
      <c r="G198" s="329"/>
      <c r="H198" s="329"/>
      <c r="I198" s="329"/>
      <c r="J198" s="329">
        <f t="shared" si="39"/>
        <v>0</v>
      </c>
      <c r="K198" s="329"/>
      <c r="L198" s="329"/>
      <c r="M198" s="329">
        <f t="shared" si="40"/>
        <v>143.77387999999999</v>
      </c>
      <c r="N198" s="329"/>
      <c r="O198" s="398">
        <v>143.77387999999999</v>
      </c>
      <c r="P198" s="329"/>
      <c r="Q198" s="329"/>
      <c r="R198" s="329"/>
      <c r="S198" s="329"/>
      <c r="T198" s="329">
        <f t="shared" si="44"/>
        <v>0</v>
      </c>
      <c r="U198" s="329"/>
      <c r="V198" s="329"/>
      <c r="W198" s="329">
        <f t="shared" si="41"/>
        <v>0</v>
      </c>
      <c r="X198" s="329"/>
      <c r="Y198" s="329">
        <v>0</v>
      </c>
      <c r="Z198" s="330">
        <f t="shared" si="34"/>
        <v>100</v>
      </c>
      <c r="AA198" s="330"/>
      <c r="AB198" s="330">
        <f t="shared" si="35"/>
        <v>100</v>
      </c>
      <c r="AC198" s="330"/>
    </row>
    <row r="199" spans="1:29" s="47" customFormat="1">
      <c r="A199" s="452">
        <v>189</v>
      </c>
      <c r="B199" s="716" t="s">
        <v>1579</v>
      </c>
      <c r="C199" s="329">
        <f t="shared" si="38"/>
        <v>1386</v>
      </c>
      <c r="D199" s="329"/>
      <c r="E199" s="329">
        <v>1386</v>
      </c>
      <c r="F199" s="329">
        <v>1386</v>
      </c>
      <c r="G199" s="329"/>
      <c r="H199" s="329"/>
      <c r="I199" s="329"/>
      <c r="J199" s="329">
        <f t="shared" si="39"/>
        <v>0</v>
      </c>
      <c r="K199" s="329"/>
      <c r="L199" s="329"/>
      <c r="M199" s="329">
        <f t="shared" si="40"/>
        <v>1255.2935</v>
      </c>
      <c r="N199" s="329"/>
      <c r="O199" s="398">
        <v>1255.2935</v>
      </c>
      <c r="P199" s="329"/>
      <c r="Q199" s="329"/>
      <c r="R199" s="329"/>
      <c r="S199" s="329"/>
      <c r="T199" s="329">
        <f t="shared" si="44"/>
        <v>0</v>
      </c>
      <c r="U199" s="329"/>
      <c r="V199" s="329"/>
      <c r="W199" s="329">
        <f t="shared" si="41"/>
        <v>0</v>
      </c>
      <c r="X199" s="329"/>
      <c r="Y199" s="329">
        <v>0</v>
      </c>
      <c r="Z199" s="330">
        <f t="shared" si="34"/>
        <v>90.5695165945166</v>
      </c>
      <c r="AA199" s="330"/>
      <c r="AB199" s="330">
        <f t="shared" si="35"/>
        <v>90.5695165945166</v>
      </c>
      <c r="AC199" s="330"/>
    </row>
    <row r="200" spans="1:29" s="47" customFormat="1">
      <c r="A200" s="452">
        <v>190</v>
      </c>
      <c r="B200" s="716" t="s">
        <v>2557</v>
      </c>
      <c r="C200" s="329">
        <f t="shared" si="38"/>
        <v>7237.5249459999995</v>
      </c>
      <c r="D200" s="329"/>
      <c r="E200" s="329">
        <v>7237.5249459999995</v>
      </c>
      <c r="F200" s="329">
        <v>7237.5249459999995</v>
      </c>
      <c r="G200" s="329"/>
      <c r="H200" s="329"/>
      <c r="I200" s="329"/>
      <c r="J200" s="329">
        <f t="shared" si="39"/>
        <v>0</v>
      </c>
      <c r="K200" s="329"/>
      <c r="L200" s="329"/>
      <c r="M200" s="329">
        <f t="shared" si="40"/>
        <v>7237.5249459999995</v>
      </c>
      <c r="N200" s="329"/>
      <c r="O200" s="398">
        <v>7237.5249459999995</v>
      </c>
      <c r="P200" s="329"/>
      <c r="Q200" s="329"/>
      <c r="R200" s="329"/>
      <c r="S200" s="329"/>
      <c r="T200" s="329">
        <f t="shared" si="44"/>
        <v>0</v>
      </c>
      <c r="U200" s="329"/>
      <c r="V200" s="329"/>
      <c r="W200" s="329">
        <f t="shared" si="41"/>
        <v>0</v>
      </c>
      <c r="X200" s="329"/>
      <c r="Y200" s="329">
        <v>0</v>
      </c>
      <c r="Z200" s="330">
        <f t="shared" si="34"/>
        <v>100</v>
      </c>
      <c r="AA200" s="330"/>
      <c r="AB200" s="330">
        <f t="shared" si="35"/>
        <v>100</v>
      </c>
      <c r="AC200" s="330"/>
    </row>
    <row r="201" spans="1:29" s="47" customFormat="1">
      <c r="A201" s="452">
        <v>191</v>
      </c>
      <c r="B201" s="716" t="s">
        <v>2550</v>
      </c>
      <c r="C201" s="329">
        <f t="shared" si="38"/>
        <v>2345.5030000000002</v>
      </c>
      <c r="D201" s="329"/>
      <c r="E201" s="329">
        <v>2345.5030000000002</v>
      </c>
      <c r="F201" s="329">
        <v>2345.5030000000002</v>
      </c>
      <c r="G201" s="329"/>
      <c r="H201" s="329"/>
      <c r="I201" s="329"/>
      <c r="J201" s="329">
        <f t="shared" si="39"/>
        <v>0</v>
      </c>
      <c r="K201" s="329"/>
      <c r="L201" s="329"/>
      <c r="M201" s="329">
        <f t="shared" si="40"/>
        <v>2345.5030000000002</v>
      </c>
      <c r="N201" s="329"/>
      <c r="O201" s="398">
        <v>2345.5030000000002</v>
      </c>
      <c r="P201" s="329"/>
      <c r="Q201" s="329"/>
      <c r="R201" s="329"/>
      <c r="S201" s="329"/>
      <c r="T201" s="329">
        <f t="shared" si="44"/>
        <v>0</v>
      </c>
      <c r="U201" s="329"/>
      <c r="V201" s="329"/>
      <c r="W201" s="329">
        <f t="shared" si="41"/>
        <v>0</v>
      </c>
      <c r="X201" s="329"/>
      <c r="Y201" s="329">
        <v>0</v>
      </c>
      <c r="Z201" s="330">
        <f t="shared" si="34"/>
        <v>100</v>
      </c>
      <c r="AA201" s="330"/>
      <c r="AB201" s="330">
        <f t="shared" si="35"/>
        <v>100</v>
      </c>
      <c r="AC201" s="330"/>
    </row>
    <row r="202" spans="1:29" s="47" customFormat="1">
      <c r="A202" s="452">
        <v>192</v>
      </c>
      <c r="B202" s="716" t="s">
        <v>1486</v>
      </c>
      <c r="C202" s="329">
        <f t="shared" si="38"/>
        <v>1614.7583770000001</v>
      </c>
      <c r="D202" s="329"/>
      <c r="E202" s="329">
        <v>1614.7583770000001</v>
      </c>
      <c r="F202" s="329">
        <v>1614.7583770000001</v>
      </c>
      <c r="G202" s="329"/>
      <c r="H202" s="329"/>
      <c r="I202" s="329"/>
      <c r="J202" s="329">
        <f t="shared" si="39"/>
        <v>0</v>
      </c>
      <c r="K202" s="329"/>
      <c r="L202" s="329"/>
      <c r="M202" s="329">
        <f t="shared" si="40"/>
        <v>1614.7583770000001</v>
      </c>
      <c r="N202" s="329"/>
      <c r="O202" s="398">
        <v>1614.7583770000001</v>
      </c>
      <c r="P202" s="329"/>
      <c r="Q202" s="329"/>
      <c r="R202" s="329"/>
      <c r="S202" s="329"/>
      <c r="T202" s="329">
        <f t="shared" si="44"/>
        <v>0</v>
      </c>
      <c r="U202" s="329"/>
      <c r="V202" s="329"/>
      <c r="W202" s="329">
        <f t="shared" si="41"/>
        <v>0</v>
      </c>
      <c r="X202" s="329"/>
      <c r="Y202" s="329">
        <v>0</v>
      </c>
      <c r="Z202" s="330">
        <f t="shared" si="34"/>
        <v>100</v>
      </c>
      <c r="AA202" s="330"/>
      <c r="AB202" s="330">
        <f t="shared" si="35"/>
        <v>100</v>
      </c>
      <c r="AC202" s="330"/>
    </row>
    <row r="203" spans="1:29" s="47" customFormat="1">
      <c r="A203" s="452">
        <v>193</v>
      </c>
      <c r="B203" s="716" t="s">
        <v>2582</v>
      </c>
      <c r="C203" s="329">
        <f t="shared" si="38"/>
        <v>1972.8030000000001</v>
      </c>
      <c r="D203" s="329"/>
      <c r="E203" s="329">
        <v>1972.8030000000001</v>
      </c>
      <c r="F203" s="329">
        <v>1972.8030000000001</v>
      </c>
      <c r="G203" s="329"/>
      <c r="H203" s="329"/>
      <c r="I203" s="329"/>
      <c r="J203" s="329">
        <f t="shared" si="39"/>
        <v>0</v>
      </c>
      <c r="K203" s="329"/>
      <c r="L203" s="329"/>
      <c r="M203" s="329">
        <f t="shared" si="40"/>
        <v>1972.459357</v>
      </c>
      <c r="N203" s="329"/>
      <c r="O203" s="398">
        <v>1969.161742</v>
      </c>
      <c r="P203" s="329"/>
      <c r="Q203" s="329"/>
      <c r="R203" s="329"/>
      <c r="S203" s="329"/>
      <c r="T203" s="329">
        <f t="shared" si="44"/>
        <v>0</v>
      </c>
      <c r="U203" s="329"/>
      <c r="V203" s="329"/>
      <c r="W203" s="329">
        <f t="shared" si="41"/>
        <v>3.297615</v>
      </c>
      <c r="X203" s="329"/>
      <c r="Y203" s="329">
        <v>3.297615</v>
      </c>
      <c r="Z203" s="330">
        <f t="shared" si="34"/>
        <v>99.982580977421463</v>
      </c>
      <c r="AA203" s="330"/>
      <c r="AB203" s="330">
        <f t="shared" si="35"/>
        <v>99.815427186596935</v>
      </c>
      <c r="AC203" s="330"/>
    </row>
    <row r="204" spans="1:29" s="47" customFormat="1">
      <c r="A204" s="452">
        <v>194</v>
      </c>
      <c r="B204" s="716" t="s">
        <v>2563</v>
      </c>
      <c r="C204" s="329">
        <f t="shared" si="38"/>
        <v>15077.461343999999</v>
      </c>
      <c r="D204" s="329"/>
      <c r="E204" s="329">
        <v>15077.461343999999</v>
      </c>
      <c r="F204" s="329">
        <v>15077.461343999999</v>
      </c>
      <c r="G204" s="329"/>
      <c r="H204" s="329"/>
      <c r="I204" s="329"/>
      <c r="J204" s="329">
        <f t="shared" si="39"/>
        <v>0</v>
      </c>
      <c r="K204" s="329"/>
      <c r="L204" s="329"/>
      <c r="M204" s="329">
        <f t="shared" si="40"/>
        <v>14396.4912</v>
      </c>
      <c r="N204" s="329"/>
      <c r="O204" s="398">
        <v>13896.4912</v>
      </c>
      <c r="P204" s="329"/>
      <c r="Q204" s="329"/>
      <c r="R204" s="329"/>
      <c r="S204" s="329"/>
      <c r="T204" s="329">
        <f t="shared" si="44"/>
        <v>0</v>
      </c>
      <c r="U204" s="329"/>
      <c r="V204" s="329"/>
      <c r="W204" s="329">
        <f t="shared" si="41"/>
        <v>500</v>
      </c>
      <c r="X204" s="329"/>
      <c r="Y204" s="329">
        <v>500</v>
      </c>
      <c r="Z204" s="330">
        <f t="shared" ref="Z204:Z267" si="45">M204/C204%</f>
        <v>95.483522534309216</v>
      </c>
      <c r="AA204" s="330"/>
      <c r="AB204" s="330">
        <f t="shared" ref="AB204:AB251" si="46">O204/E204%</f>
        <v>92.167314396929555</v>
      </c>
      <c r="AC204" s="330"/>
    </row>
    <row r="205" spans="1:29" s="47" customFormat="1">
      <c r="A205" s="452">
        <v>195</v>
      </c>
      <c r="B205" s="716" t="s">
        <v>1608</v>
      </c>
      <c r="C205" s="329">
        <f t="shared" si="38"/>
        <v>10277.844999999999</v>
      </c>
      <c r="D205" s="329"/>
      <c r="E205" s="329">
        <v>10277.844999999999</v>
      </c>
      <c r="F205" s="329">
        <v>10277.844999999999</v>
      </c>
      <c r="G205" s="329"/>
      <c r="H205" s="329"/>
      <c r="I205" s="329"/>
      <c r="J205" s="329">
        <f t="shared" si="39"/>
        <v>0</v>
      </c>
      <c r="K205" s="329"/>
      <c r="L205" s="329"/>
      <c r="M205" s="329">
        <f t="shared" si="40"/>
        <v>9905.5079999999998</v>
      </c>
      <c r="N205" s="329"/>
      <c r="O205" s="398">
        <v>9905.5079999999998</v>
      </c>
      <c r="P205" s="329"/>
      <c r="Q205" s="329"/>
      <c r="R205" s="329"/>
      <c r="S205" s="329"/>
      <c r="T205" s="329">
        <f t="shared" si="44"/>
        <v>0</v>
      </c>
      <c r="U205" s="329"/>
      <c r="V205" s="329"/>
      <c r="W205" s="329">
        <f t="shared" si="41"/>
        <v>0</v>
      </c>
      <c r="X205" s="329"/>
      <c r="Y205" s="329">
        <v>0</v>
      </c>
      <c r="Z205" s="330">
        <f t="shared" si="45"/>
        <v>96.377285316133879</v>
      </c>
      <c r="AA205" s="330"/>
      <c r="AB205" s="330">
        <f t="shared" si="46"/>
        <v>96.377285316133879</v>
      </c>
      <c r="AC205" s="330"/>
    </row>
    <row r="206" spans="1:29" s="47" customFormat="1">
      <c r="A206" s="452">
        <v>196</v>
      </c>
      <c r="B206" s="716" t="s">
        <v>2562</v>
      </c>
      <c r="C206" s="329">
        <f t="shared" si="38"/>
        <v>10752.87</v>
      </c>
      <c r="D206" s="329"/>
      <c r="E206" s="329">
        <v>10752.87</v>
      </c>
      <c r="F206" s="329">
        <v>10752.87</v>
      </c>
      <c r="G206" s="329"/>
      <c r="H206" s="329"/>
      <c r="I206" s="329"/>
      <c r="J206" s="329">
        <f t="shared" si="39"/>
        <v>0</v>
      </c>
      <c r="K206" s="329"/>
      <c r="L206" s="329"/>
      <c r="M206" s="329">
        <f t="shared" si="40"/>
        <v>10489.118947000001</v>
      </c>
      <c r="N206" s="329"/>
      <c r="O206" s="398">
        <v>10489.118947000001</v>
      </c>
      <c r="P206" s="329"/>
      <c r="Q206" s="329"/>
      <c r="R206" s="329"/>
      <c r="S206" s="329"/>
      <c r="T206" s="329">
        <f t="shared" si="44"/>
        <v>0</v>
      </c>
      <c r="U206" s="329"/>
      <c r="V206" s="329"/>
      <c r="W206" s="329">
        <f t="shared" si="41"/>
        <v>0</v>
      </c>
      <c r="X206" s="329"/>
      <c r="Y206" s="329">
        <v>0</v>
      </c>
      <c r="Z206" s="330">
        <f t="shared" si="45"/>
        <v>97.547156684680459</v>
      </c>
      <c r="AA206" s="330"/>
      <c r="AB206" s="330">
        <f t="shared" si="46"/>
        <v>97.547156684680459</v>
      </c>
      <c r="AC206" s="330"/>
    </row>
    <row r="207" spans="1:29" s="47" customFormat="1">
      <c r="A207" s="452">
        <v>197</v>
      </c>
      <c r="B207" s="716" t="s">
        <v>2599</v>
      </c>
      <c r="C207" s="329">
        <f t="shared" si="38"/>
        <v>7450.8555999999999</v>
      </c>
      <c r="D207" s="329"/>
      <c r="E207" s="329">
        <v>7450.8555999999999</v>
      </c>
      <c r="F207" s="329">
        <v>7450.8555999999999</v>
      </c>
      <c r="G207" s="329"/>
      <c r="H207" s="329"/>
      <c r="I207" s="329"/>
      <c r="J207" s="329">
        <f t="shared" si="39"/>
        <v>0</v>
      </c>
      <c r="K207" s="329"/>
      <c r="L207" s="329"/>
      <c r="M207" s="329">
        <f t="shared" si="40"/>
        <v>7147.2158239999999</v>
      </c>
      <c r="N207" s="329"/>
      <c r="O207" s="398">
        <v>7147.2158239999999</v>
      </c>
      <c r="P207" s="329"/>
      <c r="Q207" s="329"/>
      <c r="R207" s="329"/>
      <c r="S207" s="329"/>
      <c r="T207" s="329">
        <f t="shared" si="44"/>
        <v>0</v>
      </c>
      <c r="U207" s="329"/>
      <c r="V207" s="329"/>
      <c r="W207" s="329">
        <f t="shared" si="41"/>
        <v>0</v>
      </c>
      <c r="X207" s="329"/>
      <c r="Y207" s="329">
        <v>0</v>
      </c>
      <c r="Z207" s="330">
        <f t="shared" si="45"/>
        <v>95.924766331533789</v>
      </c>
      <c r="AA207" s="330"/>
      <c r="AB207" s="330">
        <f t="shared" si="46"/>
        <v>95.924766331533789</v>
      </c>
      <c r="AC207" s="330"/>
    </row>
    <row r="208" spans="1:29" s="47" customFormat="1">
      <c r="A208" s="452">
        <v>198</v>
      </c>
      <c r="B208" s="716" t="s">
        <v>1601</v>
      </c>
      <c r="C208" s="329">
        <f t="shared" si="38"/>
        <v>11532.941728</v>
      </c>
      <c r="D208" s="329"/>
      <c r="E208" s="329">
        <v>11532.941728</v>
      </c>
      <c r="F208" s="329">
        <v>11532.941728</v>
      </c>
      <c r="G208" s="329"/>
      <c r="H208" s="329"/>
      <c r="I208" s="329"/>
      <c r="J208" s="329">
        <f t="shared" si="39"/>
        <v>0</v>
      </c>
      <c r="K208" s="329"/>
      <c r="L208" s="329"/>
      <c r="M208" s="329">
        <f t="shared" si="40"/>
        <v>10992.885526</v>
      </c>
      <c r="N208" s="329"/>
      <c r="O208" s="398">
        <v>10992.885526</v>
      </c>
      <c r="P208" s="329"/>
      <c r="Q208" s="329"/>
      <c r="R208" s="329"/>
      <c r="S208" s="329"/>
      <c r="T208" s="329">
        <f t="shared" si="44"/>
        <v>0</v>
      </c>
      <c r="U208" s="329"/>
      <c r="V208" s="329"/>
      <c r="W208" s="329">
        <f t="shared" si="41"/>
        <v>0</v>
      </c>
      <c r="X208" s="329"/>
      <c r="Y208" s="329">
        <v>0</v>
      </c>
      <c r="Z208" s="330">
        <f t="shared" si="45"/>
        <v>95.317272776217735</v>
      </c>
      <c r="AA208" s="330"/>
      <c r="AB208" s="330">
        <f t="shared" si="46"/>
        <v>95.317272776217735</v>
      </c>
      <c r="AC208" s="330"/>
    </row>
    <row r="209" spans="1:29" s="47" customFormat="1">
      <c r="A209" s="452">
        <v>199</v>
      </c>
      <c r="B209" s="716" t="s">
        <v>2386</v>
      </c>
      <c r="C209" s="329">
        <f t="shared" si="38"/>
        <v>15304.295944</v>
      </c>
      <c r="D209" s="329"/>
      <c r="E209" s="329">
        <v>15304.295944</v>
      </c>
      <c r="F209" s="329">
        <v>15304.295944</v>
      </c>
      <c r="G209" s="329"/>
      <c r="H209" s="329"/>
      <c r="I209" s="329"/>
      <c r="J209" s="329">
        <f t="shared" si="39"/>
        <v>0</v>
      </c>
      <c r="K209" s="329"/>
      <c r="L209" s="329"/>
      <c r="M209" s="329">
        <f t="shared" si="40"/>
        <v>15196.008324</v>
      </c>
      <c r="N209" s="329"/>
      <c r="O209" s="398">
        <v>14938.65238</v>
      </c>
      <c r="P209" s="329"/>
      <c r="Q209" s="329"/>
      <c r="R209" s="329"/>
      <c r="S209" s="329"/>
      <c r="T209" s="329">
        <f t="shared" si="44"/>
        <v>0</v>
      </c>
      <c r="U209" s="329"/>
      <c r="V209" s="329"/>
      <c r="W209" s="329">
        <f t="shared" si="41"/>
        <v>257.35594400000002</v>
      </c>
      <c r="X209" s="329"/>
      <c r="Y209" s="329">
        <v>257.35594400000002</v>
      </c>
      <c r="Z209" s="330">
        <f t="shared" si="45"/>
        <v>99.292436447934392</v>
      </c>
      <c r="AA209" s="330"/>
      <c r="AB209" s="330">
        <f t="shared" si="46"/>
        <v>97.610843613205546</v>
      </c>
      <c r="AC209" s="330"/>
    </row>
    <row r="210" spans="1:29" s="47" customFormat="1">
      <c r="A210" s="452">
        <v>200</v>
      </c>
      <c r="B210" s="716" t="s">
        <v>1611</v>
      </c>
      <c r="C210" s="329">
        <f t="shared" si="38"/>
        <v>12106.946</v>
      </c>
      <c r="D210" s="329"/>
      <c r="E210" s="329">
        <v>12106.946</v>
      </c>
      <c r="F210" s="329">
        <v>12106.946</v>
      </c>
      <c r="G210" s="329"/>
      <c r="H210" s="329"/>
      <c r="I210" s="329"/>
      <c r="J210" s="329">
        <f t="shared" si="39"/>
        <v>0</v>
      </c>
      <c r="K210" s="329"/>
      <c r="L210" s="329"/>
      <c r="M210" s="329">
        <f t="shared" si="40"/>
        <v>11575.603920000001</v>
      </c>
      <c r="N210" s="329"/>
      <c r="O210" s="398">
        <v>11482.476361000001</v>
      </c>
      <c r="P210" s="329"/>
      <c r="Q210" s="329"/>
      <c r="R210" s="329"/>
      <c r="S210" s="329"/>
      <c r="T210" s="329">
        <f t="shared" si="44"/>
        <v>0</v>
      </c>
      <c r="U210" s="329"/>
      <c r="V210" s="329"/>
      <c r="W210" s="329">
        <f t="shared" si="41"/>
        <v>93.127559000000005</v>
      </c>
      <c r="X210" s="329"/>
      <c r="Y210" s="329">
        <v>93.127559000000005</v>
      </c>
      <c r="Z210" s="330">
        <f t="shared" si="45"/>
        <v>95.611262493447995</v>
      </c>
      <c r="AA210" s="330"/>
      <c r="AB210" s="330">
        <f t="shared" si="46"/>
        <v>94.842054808867587</v>
      </c>
      <c r="AC210" s="330"/>
    </row>
    <row r="211" spans="1:29" s="47" customFormat="1">
      <c r="A211" s="452">
        <v>201</v>
      </c>
      <c r="B211" s="716" t="s">
        <v>1913</v>
      </c>
      <c r="C211" s="329">
        <f t="shared" si="38"/>
        <v>13856.045077000001</v>
      </c>
      <c r="D211" s="329"/>
      <c r="E211" s="329">
        <v>13856.045077000001</v>
      </c>
      <c r="F211" s="329">
        <v>13856.045077000001</v>
      </c>
      <c r="G211" s="329"/>
      <c r="H211" s="329"/>
      <c r="I211" s="329"/>
      <c r="J211" s="329">
        <f t="shared" si="39"/>
        <v>0</v>
      </c>
      <c r="K211" s="329"/>
      <c r="L211" s="329"/>
      <c r="M211" s="329">
        <f t="shared" si="40"/>
        <v>13120.641340999999</v>
      </c>
      <c r="N211" s="329"/>
      <c r="O211" s="398">
        <v>13118.352785999999</v>
      </c>
      <c r="P211" s="329"/>
      <c r="Q211" s="329"/>
      <c r="R211" s="329"/>
      <c r="S211" s="329"/>
      <c r="T211" s="329">
        <f t="shared" si="44"/>
        <v>0</v>
      </c>
      <c r="U211" s="329"/>
      <c r="V211" s="329"/>
      <c r="W211" s="329">
        <f t="shared" si="41"/>
        <v>2.2885550000000001</v>
      </c>
      <c r="X211" s="329"/>
      <c r="Y211" s="329">
        <v>2.2885550000000001</v>
      </c>
      <c r="Z211" s="330">
        <f t="shared" si="45"/>
        <v>94.692542266474589</v>
      </c>
      <c r="AA211" s="330"/>
      <c r="AB211" s="330">
        <f t="shared" si="46"/>
        <v>94.676025612643855</v>
      </c>
      <c r="AC211" s="330"/>
    </row>
    <row r="212" spans="1:29" s="47" customFormat="1">
      <c r="A212" s="452">
        <v>202</v>
      </c>
      <c r="B212" s="698" t="s">
        <v>2387</v>
      </c>
      <c r="C212" s="329">
        <f t="shared" si="38"/>
        <v>17728.097000000002</v>
      </c>
      <c r="D212" s="329"/>
      <c r="E212" s="329">
        <v>17728.097000000002</v>
      </c>
      <c r="F212" s="329">
        <v>17728.097000000002</v>
      </c>
      <c r="G212" s="329"/>
      <c r="H212" s="329"/>
      <c r="I212" s="329"/>
      <c r="J212" s="329">
        <f t="shared" si="39"/>
        <v>0</v>
      </c>
      <c r="K212" s="329"/>
      <c r="L212" s="329"/>
      <c r="M212" s="329">
        <f t="shared" si="40"/>
        <v>16553.949031</v>
      </c>
      <c r="N212" s="329"/>
      <c r="O212" s="398">
        <v>15353.949031</v>
      </c>
      <c r="P212" s="329"/>
      <c r="Q212" s="329"/>
      <c r="R212" s="329"/>
      <c r="S212" s="329"/>
      <c r="T212" s="329">
        <f t="shared" si="44"/>
        <v>0</v>
      </c>
      <c r="U212" s="329"/>
      <c r="V212" s="329"/>
      <c r="W212" s="329">
        <f t="shared" si="41"/>
        <v>1200</v>
      </c>
      <c r="X212" s="329"/>
      <c r="Y212" s="329">
        <v>1200</v>
      </c>
      <c r="Z212" s="330">
        <f t="shared" si="45"/>
        <v>93.376909157254715</v>
      </c>
      <c r="AA212" s="330"/>
      <c r="AB212" s="330">
        <f t="shared" si="46"/>
        <v>86.607993125263235</v>
      </c>
      <c r="AC212" s="330"/>
    </row>
    <row r="213" spans="1:29" s="47" customFormat="1">
      <c r="A213" s="452">
        <v>203</v>
      </c>
      <c r="B213" s="716" t="s">
        <v>2566</v>
      </c>
      <c r="C213" s="329">
        <f t="shared" si="38"/>
        <v>14119.51</v>
      </c>
      <c r="D213" s="329"/>
      <c r="E213" s="329">
        <v>14119.51</v>
      </c>
      <c r="F213" s="329">
        <v>14119.51</v>
      </c>
      <c r="G213" s="329"/>
      <c r="H213" s="329"/>
      <c r="I213" s="329"/>
      <c r="J213" s="329">
        <f t="shared" si="39"/>
        <v>0</v>
      </c>
      <c r="K213" s="329"/>
      <c r="L213" s="329"/>
      <c r="M213" s="329">
        <f t="shared" si="40"/>
        <v>14010.27281</v>
      </c>
      <c r="N213" s="329"/>
      <c r="O213" s="398">
        <v>13772.34081</v>
      </c>
      <c r="P213" s="329"/>
      <c r="Q213" s="329"/>
      <c r="R213" s="329"/>
      <c r="S213" s="329"/>
      <c r="T213" s="329">
        <f t="shared" si="44"/>
        <v>0</v>
      </c>
      <c r="U213" s="329"/>
      <c r="V213" s="329"/>
      <c r="W213" s="329">
        <f t="shared" si="41"/>
        <v>237.93199999999999</v>
      </c>
      <c r="X213" s="329"/>
      <c r="Y213" s="329">
        <v>237.93199999999999</v>
      </c>
      <c r="Z213" s="330">
        <f t="shared" si="45"/>
        <v>99.226338661894076</v>
      </c>
      <c r="AA213" s="330"/>
      <c r="AB213" s="330">
        <f t="shared" si="46"/>
        <v>97.541209362081261</v>
      </c>
      <c r="AC213" s="330"/>
    </row>
    <row r="214" spans="1:29" s="47" customFormat="1">
      <c r="A214" s="452">
        <v>204</v>
      </c>
      <c r="B214" s="716" t="s">
        <v>2394</v>
      </c>
      <c r="C214" s="329">
        <f t="shared" si="38"/>
        <v>48992.740619999997</v>
      </c>
      <c r="D214" s="329"/>
      <c r="E214" s="329">
        <v>48690.740619999997</v>
      </c>
      <c r="F214" s="329">
        <v>48690.740619999997</v>
      </c>
      <c r="G214" s="329"/>
      <c r="H214" s="329"/>
      <c r="I214" s="329"/>
      <c r="J214" s="329">
        <f t="shared" si="39"/>
        <v>302</v>
      </c>
      <c r="K214" s="329"/>
      <c r="L214" s="329">
        <v>302</v>
      </c>
      <c r="M214" s="329">
        <f t="shared" si="40"/>
        <v>47216.530208999997</v>
      </c>
      <c r="N214" s="329"/>
      <c r="O214" s="398">
        <f>47216.530209-T214</f>
        <v>46923.201768999999</v>
      </c>
      <c r="P214" s="329"/>
      <c r="Q214" s="329"/>
      <c r="R214" s="329"/>
      <c r="S214" s="329"/>
      <c r="T214" s="329">
        <f t="shared" si="44"/>
        <v>293.32844</v>
      </c>
      <c r="U214" s="329"/>
      <c r="V214" s="329">
        <v>293.32844</v>
      </c>
      <c r="W214" s="329">
        <f t="shared" si="41"/>
        <v>0</v>
      </c>
      <c r="X214" s="329"/>
      <c r="Y214" s="329">
        <v>0</v>
      </c>
      <c r="Z214" s="330">
        <f t="shared" si="45"/>
        <v>96.374543680304129</v>
      </c>
      <c r="AA214" s="330"/>
      <c r="AB214" s="330">
        <f t="shared" si="46"/>
        <v>96.36986657320638</v>
      </c>
      <c r="AC214" s="330">
        <f t="shared" ref="AC214:AC261" si="47">T214/J214%</f>
        <v>97.128622516556291</v>
      </c>
    </row>
    <row r="215" spans="1:29" s="47" customFormat="1">
      <c r="A215" s="452">
        <v>205</v>
      </c>
      <c r="B215" s="717" t="s">
        <v>2394</v>
      </c>
      <c r="C215" s="329">
        <f t="shared" si="38"/>
        <v>221.61699999999999</v>
      </c>
      <c r="D215" s="329">
        <v>221.61699999999999</v>
      </c>
      <c r="E215" s="329"/>
      <c r="F215" s="329"/>
      <c r="G215" s="329"/>
      <c r="H215" s="329"/>
      <c r="I215" s="329"/>
      <c r="J215" s="329">
        <f t="shared" si="39"/>
        <v>0</v>
      </c>
      <c r="K215" s="329"/>
      <c r="L215" s="329"/>
      <c r="M215" s="329">
        <f t="shared" si="40"/>
        <v>221.61699999999999</v>
      </c>
      <c r="N215" s="329">
        <v>221.61699999999999</v>
      </c>
      <c r="O215" s="329"/>
      <c r="P215" s="329"/>
      <c r="Q215" s="329"/>
      <c r="R215" s="329"/>
      <c r="S215" s="329"/>
      <c r="T215" s="329"/>
      <c r="U215" s="329"/>
      <c r="V215" s="329"/>
      <c r="W215" s="329">
        <f t="shared" si="41"/>
        <v>0</v>
      </c>
      <c r="X215" s="329">
        <v>0</v>
      </c>
      <c r="Y215" s="329"/>
      <c r="Z215" s="330">
        <f t="shared" si="45"/>
        <v>100</v>
      </c>
      <c r="AA215" s="330">
        <f t="shared" ref="AA215:AA262" si="48">N215/D215%</f>
        <v>100</v>
      </c>
      <c r="AB215" s="330"/>
      <c r="AC215" s="330"/>
    </row>
    <row r="216" spans="1:29" s="47" customFormat="1">
      <c r="A216" s="452">
        <v>206</v>
      </c>
      <c r="B216" s="716" t="s">
        <v>2571</v>
      </c>
      <c r="C216" s="329">
        <f t="shared" si="38"/>
        <v>6458.2</v>
      </c>
      <c r="D216" s="329"/>
      <c r="E216" s="329">
        <v>6458.2</v>
      </c>
      <c r="F216" s="329">
        <v>6458.2</v>
      </c>
      <c r="G216" s="329"/>
      <c r="H216" s="329"/>
      <c r="I216" s="329"/>
      <c r="J216" s="329">
        <f t="shared" si="39"/>
        <v>0</v>
      </c>
      <c r="K216" s="329"/>
      <c r="L216" s="329"/>
      <c r="M216" s="329">
        <f t="shared" si="40"/>
        <v>6235.3955999999998</v>
      </c>
      <c r="N216" s="329"/>
      <c r="O216" s="398">
        <v>6235.3955999999998</v>
      </c>
      <c r="P216" s="329"/>
      <c r="Q216" s="329"/>
      <c r="R216" s="329"/>
      <c r="S216" s="329"/>
      <c r="T216" s="329">
        <f t="shared" ref="T216:T251" si="49">U216+V216</f>
        <v>0</v>
      </c>
      <c r="U216" s="329"/>
      <c r="V216" s="329"/>
      <c r="W216" s="329">
        <f t="shared" si="41"/>
        <v>0</v>
      </c>
      <c r="X216" s="329"/>
      <c r="Y216" s="329">
        <v>0</v>
      </c>
      <c r="Z216" s="330">
        <f t="shared" si="45"/>
        <v>96.550054194667254</v>
      </c>
      <c r="AA216" s="330"/>
      <c r="AB216" s="330">
        <f t="shared" si="46"/>
        <v>96.550054194667254</v>
      </c>
      <c r="AC216" s="330"/>
    </row>
    <row r="217" spans="1:29" s="47" customFormat="1">
      <c r="A217" s="452">
        <v>207</v>
      </c>
      <c r="B217" s="716" t="s">
        <v>1495</v>
      </c>
      <c r="C217" s="329">
        <f t="shared" si="38"/>
        <v>11018.033347000001</v>
      </c>
      <c r="D217" s="329"/>
      <c r="E217" s="329">
        <v>11018.033347000001</v>
      </c>
      <c r="F217" s="329">
        <v>11018.033347000001</v>
      </c>
      <c r="G217" s="329"/>
      <c r="H217" s="329"/>
      <c r="I217" s="329"/>
      <c r="J217" s="329">
        <f t="shared" si="39"/>
        <v>0</v>
      </c>
      <c r="K217" s="329"/>
      <c r="L217" s="329"/>
      <c r="M217" s="329">
        <f t="shared" si="40"/>
        <v>10777.273347</v>
      </c>
      <c r="N217" s="329"/>
      <c r="O217" s="398">
        <v>10437.505347</v>
      </c>
      <c r="P217" s="329"/>
      <c r="Q217" s="329"/>
      <c r="R217" s="329"/>
      <c r="S217" s="329"/>
      <c r="T217" s="329">
        <f t="shared" si="49"/>
        <v>0</v>
      </c>
      <c r="U217" s="329"/>
      <c r="V217" s="329"/>
      <c r="W217" s="329">
        <f t="shared" si="41"/>
        <v>339.76799999999997</v>
      </c>
      <c r="X217" s="329"/>
      <c r="Y217" s="329">
        <v>339.76799999999997</v>
      </c>
      <c r="Z217" s="330">
        <f t="shared" si="45"/>
        <v>97.814855043386174</v>
      </c>
      <c r="AA217" s="330"/>
      <c r="AB217" s="330">
        <f t="shared" si="46"/>
        <v>94.731110519300913</v>
      </c>
      <c r="AC217" s="330"/>
    </row>
    <row r="218" spans="1:29" s="47" customFormat="1">
      <c r="A218" s="452">
        <v>208</v>
      </c>
      <c r="B218" s="716" t="s">
        <v>2532</v>
      </c>
      <c r="C218" s="329">
        <f t="shared" si="38"/>
        <v>4365</v>
      </c>
      <c r="D218" s="329"/>
      <c r="E218" s="329">
        <v>4365</v>
      </c>
      <c r="F218" s="329">
        <v>4365</v>
      </c>
      <c r="G218" s="329"/>
      <c r="H218" s="329"/>
      <c r="I218" s="329"/>
      <c r="J218" s="329">
        <f t="shared" si="39"/>
        <v>0</v>
      </c>
      <c r="K218" s="329"/>
      <c r="L218" s="329"/>
      <c r="M218" s="329">
        <f t="shared" si="40"/>
        <v>4362.192</v>
      </c>
      <c r="N218" s="329"/>
      <c r="O218" s="398">
        <v>4362.192</v>
      </c>
      <c r="P218" s="329"/>
      <c r="Q218" s="329"/>
      <c r="R218" s="329"/>
      <c r="S218" s="329"/>
      <c r="T218" s="329">
        <f t="shared" si="49"/>
        <v>0</v>
      </c>
      <c r="U218" s="329"/>
      <c r="V218" s="329"/>
      <c r="W218" s="329">
        <f t="shared" si="41"/>
        <v>0</v>
      </c>
      <c r="X218" s="329"/>
      <c r="Y218" s="329">
        <v>0</v>
      </c>
      <c r="Z218" s="330">
        <f t="shared" si="45"/>
        <v>99.935670103092789</v>
      </c>
      <c r="AA218" s="330"/>
      <c r="AB218" s="330">
        <f t="shared" si="46"/>
        <v>99.935670103092789</v>
      </c>
      <c r="AC218" s="330"/>
    </row>
    <row r="219" spans="1:29" s="47" customFormat="1" ht="31.2">
      <c r="A219" s="452">
        <v>209</v>
      </c>
      <c r="B219" s="721" t="s">
        <v>2424</v>
      </c>
      <c r="C219" s="329">
        <f t="shared" si="38"/>
        <v>9772.2000000000007</v>
      </c>
      <c r="D219" s="329"/>
      <c r="E219" s="329">
        <v>9772.2000000000007</v>
      </c>
      <c r="F219" s="329">
        <v>9772.2000000000007</v>
      </c>
      <c r="G219" s="329"/>
      <c r="H219" s="329"/>
      <c r="I219" s="329"/>
      <c r="J219" s="329">
        <f t="shared" si="39"/>
        <v>0</v>
      </c>
      <c r="K219" s="329"/>
      <c r="L219" s="329"/>
      <c r="M219" s="329">
        <f t="shared" si="40"/>
        <v>9741.5259999999998</v>
      </c>
      <c r="N219" s="329"/>
      <c r="O219" s="398">
        <v>9614.4539999999997</v>
      </c>
      <c r="P219" s="329"/>
      <c r="Q219" s="329"/>
      <c r="R219" s="329"/>
      <c r="S219" s="329"/>
      <c r="T219" s="329">
        <f t="shared" si="49"/>
        <v>0</v>
      </c>
      <c r="U219" s="329"/>
      <c r="V219" s="329"/>
      <c r="W219" s="329">
        <f t="shared" si="41"/>
        <v>127.072</v>
      </c>
      <c r="X219" s="329"/>
      <c r="Y219" s="329">
        <v>127.072</v>
      </c>
      <c r="Z219" s="330">
        <f t="shared" si="45"/>
        <v>99.68610957614456</v>
      </c>
      <c r="AA219" s="330"/>
      <c r="AB219" s="330">
        <f t="shared" si="46"/>
        <v>98.385767790262165</v>
      </c>
      <c r="AC219" s="330"/>
    </row>
    <row r="220" spans="1:29" s="47" customFormat="1" ht="31.2">
      <c r="A220" s="452">
        <v>210</v>
      </c>
      <c r="B220" s="721" t="s">
        <v>2351</v>
      </c>
      <c r="C220" s="329">
        <f t="shared" ref="C220:C251" si="50">D220+E220+H220+I220+J220</f>
        <v>12625.843000000001</v>
      </c>
      <c r="D220" s="329"/>
      <c r="E220" s="329">
        <v>12625.843000000001</v>
      </c>
      <c r="F220" s="329">
        <v>12625.843000000001</v>
      </c>
      <c r="G220" s="329"/>
      <c r="H220" s="329"/>
      <c r="I220" s="329"/>
      <c r="J220" s="329">
        <f t="shared" ref="J220:J251" si="51">K220+L220</f>
        <v>0</v>
      </c>
      <c r="K220" s="329"/>
      <c r="L220" s="329"/>
      <c r="M220" s="329">
        <f t="shared" ref="M220:M251" si="52">N220+O220+R220+S220+T220+W220</f>
        <v>12541.793</v>
      </c>
      <c r="N220" s="329"/>
      <c r="O220" s="398">
        <v>12034.001</v>
      </c>
      <c r="P220" s="329"/>
      <c r="Q220" s="329"/>
      <c r="R220" s="329"/>
      <c r="S220" s="329"/>
      <c r="T220" s="329">
        <f t="shared" si="49"/>
        <v>0</v>
      </c>
      <c r="U220" s="329"/>
      <c r="V220" s="329"/>
      <c r="W220" s="329">
        <f t="shared" ref="W220:W251" si="53">X220+Y220</f>
        <v>507.79199999999997</v>
      </c>
      <c r="X220" s="329"/>
      <c r="Y220" s="329">
        <v>507.79199999999997</v>
      </c>
      <c r="Z220" s="330">
        <f t="shared" si="45"/>
        <v>99.334301875922264</v>
      </c>
      <c r="AA220" s="330"/>
      <c r="AB220" s="330">
        <f t="shared" si="46"/>
        <v>95.312455572273464</v>
      </c>
      <c r="AC220" s="330"/>
    </row>
    <row r="221" spans="1:29" s="47" customFormat="1">
      <c r="A221" s="452">
        <v>211</v>
      </c>
      <c r="B221" s="716" t="s">
        <v>2567</v>
      </c>
      <c r="C221" s="329">
        <f t="shared" si="50"/>
        <v>18057.587</v>
      </c>
      <c r="D221" s="329"/>
      <c r="E221" s="329">
        <v>18057.587</v>
      </c>
      <c r="F221" s="329">
        <v>18057.587</v>
      </c>
      <c r="G221" s="329"/>
      <c r="H221" s="329"/>
      <c r="I221" s="329"/>
      <c r="J221" s="329">
        <f t="shared" si="51"/>
        <v>0</v>
      </c>
      <c r="K221" s="329"/>
      <c r="L221" s="329"/>
      <c r="M221" s="329">
        <f t="shared" si="52"/>
        <v>17886.392</v>
      </c>
      <c r="N221" s="329"/>
      <c r="O221" s="398">
        <v>17351.067999999999</v>
      </c>
      <c r="P221" s="329"/>
      <c r="Q221" s="329"/>
      <c r="R221" s="329"/>
      <c r="S221" s="329"/>
      <c r="T221" s="329">
        <f t="shared" si="49"/>
        <v>0</v>
      </c>
      <c r="U221" s="329"/>
      <c r="V221" s="329"/>
      <c r="W221" s="329">
        <f t="shared" si="53"/>
        <v>535.32399999999996</v>
      </c>
      <c r="X221" s="329"/>
      <c r="Y221" s="329">
        <v>535.32399999999996</v>
      </c>
      <c r="Z221" s="330">
        <f t="shared" si="45"/>
        <v>99.051949742786775</v>
      </c>
      <c r="AA221" s="330"/>
      <c r="AB221" s="330">
        <f t="shared" si="46"/>
        <v>96.087411900604437</v>
      </c>
      <c r="AC221" s="330"/>
    </row>
    <row r="222" spans="1:29" s="47" customFormat="1">
      <c r="A222" s="452">
        <v>212</v>
      </c>
      <c r="B222" s="716" t="s">
        <v>2568</v>
      </c>
      <c r="C222" s="329">
        <f t="shared" si="50"/>
        <v>13236.9</v>
      </c>
      <c r="D222" s="329"/>
      <c r="E222" s="329">
        <v>13236.9</v>
      </c>
      <c r="F222" s="329">
        <v>13236.9</v>
      </c>
      <c r="G222" s="329"/>
      <c r="H222" s="329"/>
      <c r="I222" s="329"/>
      <c r="J222" s="329">
        <f t="shared" si="51"/>
        <v>0</v>
      </c>
      <c r="K222" s="329"/>
      <c r="L222" s="329"/>
      <c r="M222" s="329">
        <f t="shared" si="52"/>
        <v>13231.096</v>
      </c>
      <c r="N222" s="329"/>
      <c r="O222" s="398">
        <v>13231.096</v>
      </c>
      <c r="P222" s="329"/>
      <c r="Q222" s="329"/>
      <c r="R222" s="329"/>
      <c r="S222" s="329"/>
      <c r="T222" s="329">
        <f t="shared" si="49"/>
        <v>0</v>
      </c>
      <c r="U222" s="329"/>
      <c r="V222" s="329"/>
      <c r="W222" s="329">
        <f t="shared" si="53"/>
        <v>0</v>
      </c>
      <c r="X222" s="329"/>
      <c r="Y222" s="329">
        <v>0</v>
      </c>
      <c r="Z222" s="330">
        <f t="shared" si="45"/>
        <v>99.956152875673297</v>
      </c>
      <c r="AA222" s="330"/>
      <c r="AB222" s="330">
        <f t="shared" si="46"/>
        <v>99.956152875673297</v>
      </c>
      <c r="AC222" s="330"/>
    </row>
    <row r="223" spans="1:29" s="47" customFormat="1">
      <c r="A223" s="452">
        <v>213</v>
      </c>
      <c r="B223" s="716" t="s">
        <v>2548</v>
      </c>
      <c r="C223" s="329">
        <f t="shared" si="50"/>
        <v>12245.18</v>
      </c>
      <c r="D223" s="329"/>
      <c r="E223" s="329">
        <v>12245.18</v>
      </c>
      <c r="F223" s="329">
        <v>12245.18</v>
      </c>
      <c r="G223" s="329"/>
      <c r="H223" s="329"/>
      <c r="I223" s="329"/>
      <c r="J223" s="329">
        <f t="shared" si="51"/>
        <v>0</v>
      </c>
      <c r="K223" s="329"/>
      <c r="L223" s="329"/>
      <c r="M223" s="329">
        <f t="shared" si="52"/>
        <v>12227.198132</v>
      </c>
      <c r="N223" s="329"/>
      <c r="O223" s="398">
        <v>12073.090131999999</v>
      </c>
      <c r="P223" s="329"/>
      <c r="Q223" s="329"/>
      <c r="R223" s="329"/>
      <c r="S223" s="329"/>
      <c r="T223" s="329">
        <f t="shared" si="49"/>
        <v>0</v>
      </c>
      <c r="U223" s="329"/>
      <c r="V223" s="329"/>
      <c r="W223" s="329">
        <f t="shared" si="53"/>
        <v>154.108</v>
      </c>
      <c r="X223" s="329"/>
      <c r="Y223" s="329">
        <v>154.108</v>
      </c>
      <c r="Z223" s="330">
        <f t="shared" si="45"/>
        <v>99.853151460411354</v>
      </c>
      <c r="AA223" s="330"/>
      <c r="AB223" s="330">
        <f t="shared" si="46"/>
        <v>98.594631781647948</v>
      </c>
      <c r="AC223" s="330"/>
    </row>
    <row r="224" spans="1:29" s="47" customFormat="1">
      <c r="A224" s="452">
        <v>214</v>
      </c>
      <c r="B224" s="716" t="s">
        <v>2534</v>
      </c>
      <c r="C224" s="329">
        <f t="shared" si="50"/>
        <v>9648.6015439999992</v>
      </c>
      <c r="D224" s="329"/>
      <c r="E224" s="329">
        <v>9648.6015439999992</v>
      </c>
      <c r="F224" s="329">
        <v>9648.6015439999992</v>
      </c>
      <c r="G224" s="329"/>
      <c r="H224" s="329"/>
      <c r="I224" s="329"/>
      <c r="J224" s="329">
        <f t="shared" si="51"/>
        <v>0</v>
      </c>
      <c r="K224" s="329"/>
      <c r="L224" s="329"/>
      <c r="M224" s="329">
        <f t="shared" si="52"/>
        <v>9571.4225439999991</v>
      </c>
      <c r="N224" s="329"/>
      <c r="O224" s="398">
        <v>9354.3345439999994</v>
      </c>
      <c r="P224" s="329"/>
      <c r="Q224" s="329"/>
      <c r="R224" s="329"/>
      <c r="S224" s="329"/>
      <c r="T224" s="329">
        <f t="shared" si="49"/>
        <v>0</v>
      </c>
      <c r="U224" s="329"/>
      <c r="V224" s="329"/>
      <c r="W224" s="329">
        <f t="shared" si="53"/>
        <v>217.08799999999999</v>
      </c>
      <c r="X224" s="329"/>
      <c r="Y224" s="329">
        <v>217.08799999999999</v>
      </c>
      <c r="Z224" s="330">
        <f t="shared" si="45"/>
        <v>99.200101697141861</v>
      </c>
      <c r="AA224" s="330"/>
      <c r="AB224" s="330">
        <f t="shared" si="46"/>
        <v>96.95015906027345</v>
      </c>
      <c r="AC224" s="330"/>
    </row>
    <row r="225" spans="1:29" s="47" customFormat="1">
      <c r="A225" s="452">
        <v>215</v>
      </c>
      <c r="B225" s="716" t="s">
        <v>1553</v>
      </c>
      <c r="C225" s="329">
        <f t="shared" si="50"/>
        <v>13297.144</v>
      </c>
      <c r="D225" s="329"/>
      <c r="E225" s="329">
        <v>13297.144</v>
      </c>
      <c r="F225" s="329">
        <v>13297.144</v>
      </c>
      <c r="G225" s="329"/>
      <c r="H225" s="329"/>
      <c r="I225" s="329"/>
      <c r="J225" s="329">
        <f t="shared" si="51"/>
        <v>0</v>
      </c>
      <c r="K225" s="329"/>
      <c r="L225" s="329"/>
      <c r="M225" s="329">
        <f t="shared" si="52"/>
        <v>13295.1975</v>
      </c>
      <c r="N225" s="329"/>
      <c r="O225" s="398">
        <v>13035.5175</v>
      </c>
      <c r="P225" s="329"/>
      <c r="Q225" s="329"/>
      <c r="R225" s="329"/>
      <c r="S225" s="329"/>
      <c r="T225" s="329">
        <f t="shared" si="49"/>
        <v>0</v>
      </c>
      <c r="U225" s="329"/>
      <c r="V225" s="329"/>
      <c r="W225" s="329">
        <f t="shared" si="53"/>
        <v>259.68</v>
      </c>
      <c r="X225" s="329"/>
      <c r="Y225" s="329">
        <v>259.68</v>
      </c>
      <c r="Z225" s="330">
        <f t="shared" si="45"/>
        <v>99.985361518232793</v>
      </c>
      <c r="AA225" s="330"/>
      <c r="AB225" s="330">
        <f t="shared" si="46"/>
        <v>98.03246095552548</v>
      </c>
      <c r="AC225" s="330"/>
    </row>
    <row r="226" spans="1:29" s="47" customFormat="1">
      <c r="A226" s="452">
        <v>216</v>
      </c>
      <c r="B226" s="716" t="s">
        <v>2554</v>
      </c>
      <c r="C226" s="329">
        <f t="shared" si="50"/>
        <v>10355.5</v>
      </c>
      <c r="D226" s="329"/>
      <c r="E226" s="329">
        <v>10355.5</v>
      </c>
      <c r="F226" s="329">
        <v>10355.5</v>
      </c>
      <c r="G226" s="329"/>
      <c r="H226" s="329"/>
      <c r="I226" s="329"/>
      <c r="J226" s="329">
        <f t="shared" si="51"/>
        <v>0</v>
      </c>
      <c r="K226" s="329"/>
      <c r="L226" s="329"/>
      <c r="M226" s="329">
        <f t="shared" si="52"/>
        <v>10316.448550000001</v>
      </c>
      <c r="N226" s="329"/>
      <c r="O226" s="398">
        <v>10156.71255</v>
      </c>
      <c r="P226" s="329"/>
      <c r="Q226" s="329"/>
      <c r="R226" s="329"/>
      <c r="S226" s="329"/>
      <c r="T226" s="329">
        <f t="shared" si="49"/>
        <v>0</v>
      </c>
      <c r="U226" s="329"/>
      <c r="V226" s="329"/>
      <c r="W226" s="329">
        <f t="shared" si="53"/>
        <v>159.73599999999999</v>
      </c>
      <c r="X226" s="329"/>
      <c r="Y226" s="329">
        <v>159.73599999999999</v>
      </c>
      <c r="Z226" s="330">
        <f t="shared" si="45"/>
        <v>99.622891700062766</v>
      </c>
      <c r="AA226" s="330"/>
      <c r="AB226" s="330">
        <f t="shared" si="46"/>
        <v>98.080368403263961</v>
      </c>
      <c r="AC226" s="330"/>
    </row>
    <row r="227" spans="1:29" s="47" customFormat="1" ht="31.2">
      <c r="A227" s="452">
        <v>217</v>
      </c>
      <c r="B227" s="716" t="s">
        <v>2371</v>
      </c>
      <c r="C227" s="329">
        <f t="shared" si="50"/>
        <v>8691</v>
      </c>
      <c r="D227" s="329"/>
      <c r="E227" s="329">
        <v>8691</v>
      </c>
      <c r="F227" s="329">
        <v>8691</v>
      </c>
      <c r="G227" s="329"/>
      <c r="H227" s="329"/>
      <c r="I227" s="329"/>
      <c r="J227" s="329">
        <f t="shared" si="51"/>
        <v>0</v>
      </c>
      <c r="K227" s="329"/>
      <c r="L227" s="329"/>
      <c r="M227" s="329">
        <f t="shared" si="52"/>
        <v>8690.2000000000007</v>
      </c>
      <c r="N227" s="329"/>
      <c r="O227" s="398">
        <v>8690.2000000000007</v>
      </c>
      <c r="P227" s="329"/>
      <c r="Q227" s="329"/>
      <c r="R227" s="329"/>
      <c r="S227" s="329"/>
      <c r="T227" s="329">
        <f t="shared" si="49"/>
        <v>0</v>
      </c>
      <c r="U227" s="329"/>
      <c r="V227" s="329"/>
      <c r="W227" s="329">
        <f t="shared" si="53"/>
        <v>0</v>
      </c>
      <c r="X227" s="329"/>
      <c r="Y227" s="329">
        <v>0</v>
      </c>
      <c r="Z227" s="330">
        <f t="shared" si="45"/>
        <v>99.990795075365327</v>
      </c>
      <c r="AA227" s="330"/>
      <c r="AB227" s="330">
        <f t="shared" si="46"/>
        <v>99.990795075365327</v>
      </c>
      <c r="AC227" s="330"/>
    </row>
    <row r="228" spans="1:29" s="47" customFormat="1" ht="31.2">
      <c r="A228" s="452">
        <v>218</v>
      </c>
      <c r="B228" s="716" t="s">
        <v>2569</v>
      </c>
      <c r="C228" s="329">
        <f t="shared" si="50"/>
        <v>12632.6</v>
      </c>
      <c r="D228" s="329"/>
      <c r="E228" s="329">
        <v>12632.6</v>
      </c>
      <c r="F228" s="329">
        <v>12632.6</v>
      </c>
      <c r="G228" s="329"/>
      <c r="H228" s="329"/>
      <c r="I228" s="329"/>
      <c r="J228" s="329">
        <f t="shared" si="51"/>
        <v>0</v>
      </c>
      <c r="K228" s="329"/>
      <c r="L228" s="329"/>
      <c r="M228" s="329">
        <f t="shared" si="52"/>
        <v>12344.519</v>
      </c>
      <c r="N228" s="329"/>
      <c r="O228" s="398">
        <v>12344.519</v>
      </c>
      <c r="P228" s="329"/>
      <c r="Q228" s="329"/>
      <c r="R228" s="329"/>
      <c r="S228" s="329"/>
      <c r="T228" s="329">
        <f t="shared" si="49"/>
        <v>0</v>
      </c>
      <c r="U228" s="329"/>
      <c r="V228" s="329"/>
      <c r="W228" s="329">
        <f t="shared" si="53"/>
        <v>0</v>
      </c>
      <c r="X228" s="329"/>
      <c r="Y228" s="329">
        <v>0</v>
      </c>
      <c r="Z228" s="330">
        <f t="shared" si="45"/>
        <v>97.719543086933797</v>
      </c>
      <c r="AA228" s="330"/>
      <c r="AB228" s="330">
        <f t="shared" si="46"/>
        <v>97.719543086933797</v>
      </c>
      <c r="AC228" s="330"/>
    </row>
    <row r="229" spans="1:29" s="47" customFormat="1" ht="31.2">
      <c r="A229" s="452">
        <v>219</v>
      </c>
      <c r="B229" s="716" t="s">
        <v>2362</v>
      </c>
      <c r="C229" s="329">
        <f t="shared" si="50"/>
        <v>13452.7</v>
      </c>
      <c r="D229" s="329"/>
      <c r="E229" s="329">
        <v>13452.7</v>
      </c>
      <c r="F229" s="329">
        <v>13452.7</v>
      </c>
      <c r="G229" s="329"/>
      <c r="H229" s="329"/>
      <c r="I229" s="329"/>
      <c r="J229" s="329">
        <f t="shared" si="51"/>
        <v>0</v>
      </c>
      <c r="K229" s="329"/>
      <c r="L229" s="329"/>
      <c r="M229" s="329">
        <f t="shared" si="52"/>
        <v>13416.308230000001</v>
      </c>
      <c r="N229" s="329"/>
      <c r="O229" s="398">
        <v>13416.308230000001</v>
      </c>
      <c r="P229" s="329"/>
      <c r="Q229" s="329"/>
      <c r="R229" s="329"/>
      <c r="S229" s="329"/>
      <c r="T229" s="329">
        <f t="shared" si="49"/>
        <v>0</v>
      </c>
      <c r="U229" s="329"/>
      <c r="V229" s="329"/>
      <c r="W229" s="329">
        <f t="shared" si="53"/>
        <v>0</v>
      </c>
      <c r="X229" s="329"/>
      <c r="Y229" s="329">
        <v>0</v>
      </c>
      <c r="Z229" s="330">
        <f t="shared" si="45"/>
        <v>99.729483523753586</v>
      </c>
      <c r="AA229" s="330"/>
      <c r="AB229" s="330">
        <f t="shared" si="46"/>
        <v>99.729483523753586</v>
      </c>
      <c r="AC229" s="330"/>
    </row>
    <row r="230" spans="1:29" s="47" customFormat="1" ht="31.2">
      <c r="A230" s="452">
        <v>220</v>
      </c>
      <c r="B230" s="716" t="s">
        <v>2413</v>
      </c>
      <c r="C230" s="329">
        <f t="shared" si="50"/>
        <v>4007.04</v>
      </c>
      <c r="D230" s="329"/>
      <c r="E230" s="329">
        <v>4007.04</v>
      </c>
      <c r="F230" s="329">
        <v>4007.04</v>
      </c>
      <c r="G230" s="329"/>
      <c r="H230" s="329"/>
      <c r="I230" s="329"/>
      <c r="J230" s="329">
        <f t="shared" si="51"/>
        <v>0</v>
      </c>
      <c r="K230" s="329"/>
      <c r="L230" s="329"/>
      <c r="M230" s="329">
        <f t="shared" si="52"/>
        <v>3962.6503120000002</v>
      </c>
      <c r="N230" s="329"/>
      <c r="O230" s="398">
        <v>3962.6503120000002</v>
      </c>
      <c r="P230" s="329"/>
      <c r="Q230" s="329"/>
      <c r="R230" s="329"/>
      <c r="S230" s="329"/>
      <c r="T230" s="329">
        <f t="shared" si="49"/>
        <v>0</v>
      </c>
      <c r="U230" s="329"/>
      <c r="V230" s="329"/>
      <c r="W230" s="329">
        <f t="shared" si="53"/>
        <v>0</v>
      </c>
      <c r="X230" s="329"/>
      <c r="Y230" s="329">
        <v>0</v>
      </c>
      <c r="Z230" s="330">
        <f t="shared" si="45"/>
        <v>98.892207514774</v>
      </c>
      <c r="AA230" s="330"/>
      <c r="AB230" s="330">
        <f t="shared" si="46"/>
        <v>98.892207514774</v>
      </c>
      <c r="AC230" s="330"/>
    </row>
    <row r="231" spans="1:29" s="47" customFormat="1">
      <c r="A231" s="452">
        <v>221</v>
      </c>
      <c r="B231" s="716" t="s">
        <v>2347</v>
      </c>
      <c r="C231" s="329">
        <f t="shared" si="50"/>
        <v>6504.4412490000004</v>
      </c>
      <c r="D231" s="329"/>
      <c r="E231" s="329">
        <v>6504.4412490000004</v>
      </c>
      <c r="F231" s="329">
        <v>6504.4412490000004</v>
      </c>
      <c r="G231" s="329"/>
      <c r="H231" s="329"/>
      <c r="I231" s="329"/>
      <c r="J231" s="329">
        <f t="shared" si="51"/>
        <v>0</v>
      </c>
      <c r="K231" s="329"/>
      <c r="L231" s="329"/>
      <c r="M231" s="329">
        <f t="shared" si="52"/>
        <v>6494.2312490000004</v>
      </c>
      <c r="N231" s="329"/>
      <c r="O231" s="398">
        <v>6494.2312490000004</v>
      </c>
      <c r="P231" s="329"/>
      <c r="Q231" s="329"/>
      <c r="R231" s="329"/>
      <c r="S231" s="329"/>
      <c r="T231" s="329">
        <f t="shared" si="49"/>
        <v>0</v>
      </c>
      <c r="U231" s="329"/>
      <c r="V231" s="329"/>
      <c r="W231" s="329">
        <f t="shared" si="53"/>
        <v>0</v>
      </c>
      <c r="X231" s="329"/>
      <c r="Y231" s="329">
        <v>0</v>
      </c>
      <c r="Z231" s="330">
        <f t="shared" si="45"/>
        <v>99.843030329444986</v>
      </c>
      <c r="AA231" s="330"/>
      <c r="AB231" s="330">
        <f t="shared" si="46"/>
        <v>99.843030329444986</v>
      </c>
      <c r="AC231" s="330"/>
    </row>
    <row r="232" spans="1:29" s="47" customFormat="1">
      <c r="A232" s="452">
        <v>222</v>
      </c>
      <c r="B232" s="716" t="s">
        <v>1555</v>
      </c>
      <c r="C232" s="329">
        <f t="shared" si="50"/>
        <v>10265.341289</v>
      </c>
      <c r="D232" s="329"/>
      <c r="E232" s="329">
        <v>10265.341289</v>
      </c>
      <c r="F232" s="329">
        <v>10265.341289</v>
      </c>
      <c r="G232" s="329"/>
      <c r="H232" s="329"/>
      <c r="I232" s="329"/>
      <c r="J232" s="329">
        <f t="shared" si="51"/>
        <v>0</v>
      </c>
      <c r="K232" s="329"/>
      <c r="L232" s="329"/>
      <c r="M232" s="329">
        <f t="shared" si="52"/>
        <v>10254.137289</v>
      </c>
      <c r="N232" s="329"/>
      <c r="O232" s="398">
        <v>10254.137289</v>
      </c>
      <c r="P232" s="329"/>
      <c r="Q232" s="329"/>
      <c r="R232" s="329"/>
      <c r="S232" s="329"/>
      <c r="T232" s="329">
        <f t="shared" si="49"/>
        <v>0</v>
      </c>
      <c r="U232" s="329"/>
      <c r="V232" s="329"/>
      <c r="W232" s="329">
        <f t="shared" si="53"/>
        <v>0</v>
      </c>
      <c r="X232" s="329"/>
      <c r="Y232" s="329">
        <v>0</v>
      </c>
      <c r="Z232" s="330">
        <f t="shared" si="45"/>
        <v>99.890856039905799</v>
      </c>
      <c r="AA232" s="330"/>
      <c r="AB232" s="330">
        <f t="shared" si="46"/>
        <v>99.890856039905799</v>
      </c>
      <c r="AC232" s="330"/>
    </row>
    <row r="233" spans="1:29" s="47" customFormat="1">
      <c r="A233" s="452">
        <v>223</v>
      </c>
      <c r="B233" s="716" t="s">
        <v>2407</v>
      </c>
      <c r="C233" s="329">
        <f t="shared" si="50"/>
        <v>7690.66</v>
      </c>
      <c r="D233" s="329"/>
      <c r="E233" s="329">
        <v>7690.66</v>
      </c>
      <c r="F233" s="329">
        <v>7690.66</v>
      </c>
      <c r="G233" s="329"/>
      <c r="H233" s="329"/>
      <c r="I233" s="329"/>
      <c r="J233" s="329">
        <f t="shared" si="51"/>
        <v>0</v>
      </c>
      <c r="K233" s="329"/>
      <c r="L233" s="329"/>
      <c r="M233" s="329">
        <f t="shared" si="52"/>
        <v>7690.66</v>
      </c>
      <c r="N233" s="329"/>
      <c r="O233" s="398">
        <v>7690.66</v>
      </c>
      <c r="P233" s="329"/>
      <c r="Q233" s="329"/>
      <c r="R233" s="329"/>
      <c r="S233" s="329"/>
      <c r="T233" s="329">
        <f t="shared" si="49"/>
        <v>0</v>
      </c>
      <c r="U233" s="329"/>
      <c r="V233" s="329"/>
      <c r="W233" s="329">
        <f t="shared" si="53"/>
        <v>0</v>
      </c>
      <c r="X233" s="329"/>
      <c r="Y233" s="329">
        <v>0</v>
      </c>
      <c r="Z233" s="330">
        <f t="shared" si="45"/>
        <v>100</v>
      </c>
      <c r="AA233" s="330"/>
      <c r="AB233" s="330">
        <f t="shared" si="46"/>
        <v>100</v>
      </c>
      <c r="AC233" s="330"/>
    </row>
    <row r="234" spans="1:29" s="47" customFormat="1" ht="31.2">
      <c r="A234" s="452">
        <v>224</v>
      </c>
      <c r="B234" s="716" t="s">
        <v>2573</v>
      </c>
      <c r="C234" s="329">
        <f t="shared" si="50"/>
        <v>5230</v>
      </c>
      <c r="D234" s="329"/>
      <c r="E234" s="329">
        <v>5230</v>
      </c>
      <c r="F234" s="329">
        <v>5230</v>
      </c>
      <c r="G234" s="329"/>
      <c r="H234" s="329"/>
      <c r="I234" s="329"/>
      <c r="J234" s="329">
        <f t="shared" si="51"/>
        <v>0</v>
      </c>
      <c r="K234" s="329"/>
      <c r="L234" s="329"/>
      <c r="M234" s="329">
        <f t="shared" si="52"/>
        <v>5152.424</v>
      </c>
      <c r="N234" s="329"/>
      <c r="O234" s="398">
        <v>5152.424</v>
      </c>
      <c r="P234" s="329"/>
      <c r="Q234" s="329"/>
      <c r="R234" s="329"/>
      <c r="S234" s="329"/>
      <c r="T234" s="329">
        <f t="shared" si="49"/>
        <v>0</v>
      </c>
      <c r="U234" s="329"/>
      <c r="V234" s="329"/>
      <c r="W234" s="329">
        <f t="shared" si="53"/>
        <v>0</v>
      </c>
      <c r="X234" s="329"/>
      <c r="Y234" s="329">
        <v>0</v>
      </c>
      <c r="Z234" s="330">
        <f t="shared" si="45"/>
        <v>98.516711281070755</v>
      </c>
      <c r="AA234" s="330"/>
      <c r="AB234" s="330">
        <f t="shared" si="46"/>
        <v>98.516711281070755</v>
      </c>
      <c r="AC234" s="330"/>
    </row>
    <row r="235" spans="1:29" s="47" customFormat="1" ht="31.2">
      <c r="A235" s="452">
        <v>225</v>
      </c>
      <c r="B235" s="716" t="s">
        <v>2588</v>
      </c>
      <c r="C235" s="329">
        <f t="shared" si="50"/>
        <v>9212.2520000000004</v>
      </c>
      <c r="D235" s="329"/>
      <c r="E235" s="329">
        <v>9212.2520000000004</v>
      </c>
      <c r="F235" s="329">
        <v>9212.2520000000004</v>
      </c>
      <c r="G235" s="329"/>
      <c r="H235" s="329"/>
      <c r="I235" s="329"/>
      <c r="J235" s="329">
        <f t="shared" si="51"/>
        <v>0</v>
      </c>
      <c r="K235" s="329"/>
      <c r="L235" s="329"/>
      <c r="M235" s="329">
        <f t="shared" si="52"/>
        <v>9111.1380000000008</v>
      </c>
      <c r="N235" s="329"/>
      <c r="O235" s="398">
        <v>9111.1380000000008</v>
      </c>
      <c r="P235" s="329"/>
      <c r="Q235" s="329"/>
      <c r="R235" s="329"/>
      <c r="S235" s="329"/>
      <c r="T235" s="329">
        <f t="shared" si="49"/>
        <v>0</v>
      </c>
      <c r="U235" s="329"/>
      <c r="V235" s="329"/>
      <c r="W235" s="329">
        <f t="shared" si="53"/>
        <v>0</v>
      </c>
      <c r="X235" s="329"/>
      <c r="Y235" s="329">
        <v>0</v>
      </c>
      <c r="Z235" s="330">
        <f t="shared" si="45"/>
        <v>98.902396504133847</v>
      </c>
      <c r="AA235" s="330"/>
      <c r="AB235" s="330">
        <f t="shared" si="46"/>
        <v>98.902396504133847</v>
      </c>
      <c r="AC235" s="330"/>
    </row>
    <row r="236" spans="1:29" s="47" customFormat="1">
      <c r="A236" s="452">
        <v>226</v>
      </c>
      <c r="B236" s="716" t="s">
        <v>2354</v>
      </c>
      <c r="C236" s="329">
        <f t="shared" si="50"/>
        <v>5208.8999999999996</v>
      </c>
      <c r="D236" s="329"/>
      <c r="E236" s="329">
        <v>5208.8999999999996</v>
      </c>
      <c r="F236" s="329">
        <v>5208.8999999999996</v>
      </c>
      <c r="G236" s="329"/>
      <c r="H236" s="329"/>
      <c r="I236" s="329"/>
      <c r="J236" s="329">
        <f t="shared" si="51"/>
        <v>0</v>
      </c>
      <c r="K236" s="329"/>
      <c r="L236" s="329"/>
      <c r="M236" s="329">
        <f t="shared" si="52"/>
        <v>5179.5434999999998</v>
      </c>
      <c r="N236" s="329"/>
      <c r="O236" s="398">
        <v>5179.5434999999998</v>
      </c>
      <c r="P236" s="329"/>
      <c r="Q236" s="329"/>
      <c r="R236" s="329"/>
      <c r="S236" s="329"/>
      <c r="T236" s="329">
        <f t="shared" si="49"/>
        <v>0</v>
      </c>
      <c r="U236" s="329"/>
      <c r="V236" s="329"/>
      <c r="W236" s="329">
        <f t="shared" si="53"/>
        <v>0</v>
      </c>
      <c r="X236" s="329"/>
      <c r="Y236" s="329">
        <v>0</v>
      </c>
      <c r="Z236" s="330">
        <f t="shared" si="45"/>
        <v>99.436416517882847</v>
      </c>
      <c r="AA236" s="330"/>
      <c r="AB236" s="330">
        <f t="shared" si="46"/>
        <v>99.436416517882847</v>
      </c>
      <c r="AC236" s="330"/>
    </row>
    <row r="237" spans="1:29" s="47" customFormat="1" ht="31.2">
      <c r="A237" s="452">
        <v>227</v>
      </c>
      <c r="B237" s="716" t="s">
        <v>2404</v>
      </c>
      <c r="C237" s="329">
        <f t="shared" si="50"/>
        <v>6555.8</v>
      </c>
      <c r="D237" s="329"/>
      <c r="E237" s="329">
        <v>6555.8</v>
      </c>
      <c r="F237" s="329">
        <v>6555.8</v>
      </c>
      <c r="G237" s="329"/>
      <c r="H237" s="329"/>
      <c r="I237" s="329"/>
      <c r="J237" s="329">
        <f t="shared" si="51"/>
        <v>0</v>
      </c>
      <c r="K237" s="329"/>
      <c r="L237" s="329"/>
      <c r="M237" s="329">
        <f t="shared" si="52"/>
        <v>6545.0550000000003</v>
      </c>
      <c r="N237" s="329"/>
      <c r="O237" s="398">
        <v>6545.0550000000003</v>
      </c>
      <c r="P237" s="329"/>
      <c r="Q237" s="329"/>
      <c r="R237" s="329"/>
      <c r="S237" s="329"/>
      <c r="T237" s="329">
        <f t="shared" si="49"/>
        <v>0</v>
      </c>
      <c r="U237" s="329"/>
      <c r="V237" s="329"/>
      <c r="W237" s="329">
        <f t="shared" si="53"/>
        <v>0</v>
      </c>
      <c r="X237" s="329"/>
      <c r="Y237" s="329">
        <v>0</v>
      </c>
      <c r="Z237" s="330">
        <f t="shared" si="45"/>
        <v>99.836099331889315</v>
      </c>
      <c r="AA237" s="330"/>
      <c r="AB237" s="330">
        <f t="shared" si="46"/>
        <v>99.836099331889315</v>
      </c>
      <c r="AC237" s="330"/>
    </row>
    <row r="238" spans="1:29" s="47" customFormat="1" ht="31.2">
      <c r="A238" s="452">
        <v>228</v>
      </c>
      <c r="B238" s="716" t="s">
        <v>2579</v>
      </c>
      <c r="C238" s="329">
        <f t="shared" si="50"/>
        <v>3582.7750000000001</v>
      </c>
      <c r="D238" s="329"/>
      <c r="E238" s="329">
        <v>3582.7750000000001</v>
      </c>
      <c r="F238" s="329">
        <v>3582.7750000000001</v>
      </c>
      <c r="G238" s="329"/>
      <c r="H238" s="329"/>
      <c r="I238" s="329"/>
      <c r="J238" s="329">
        <f t="shared" si="51"/>
        <v>0</v>
      </c>
      <c r="K238" s="329"/>
      <c r="L238" s="329"/>
      <c r="M238" s="329">
        <f t="shared" si="52"/>
        <v>3581.9720000000002</v>
      </c>
      <c r="N238" s="329"/>
      <c r="O238" s="398">
        <v>3581.9720000000002</v>
      </c>
      <c r="P238" s="329"/>
      <c r="Q238" s="329"/>
      <c r="R238" s="329"/>
      <c r="S238" s="329"/>
      <c r="T238" s="329">
        <f t="shared" si="49"/>
        <v>0</v>
      </c>
      <c r="U238" s="329"/>
      <c r="V238" s="329"/>
      <c r="W238" s="329">
        <f t="shared" si="53"/>
        <v>0</v>
      </c>
      <c r="X238" s="329"/>
      <c r="Y238" s="329">
        <v>0</v>
      </c>
      <c r="Z238" s="330">
        <f t="shared" si="45"/>
        <v>99.977587205448287</v>
      </c>
      <c r="AA238" s="330"/>
      <c r="AB238" s="330">
        <f t="shared" si="46"/>
        <v>99.977587205448287</v>
      </c>
      <c r="AC238" s="330"/>
    </row>
    <row r="239" spans="1:29" s="47" customFormat="1" ht="31.2">
      <c r="A239" s="452">
        <v>229</v>
      </c>
      <c r="B239" s="716" t="s">
        <v>2594</v>
      </c>
      <c r="C239" s="329">
        <f t="shared" si="50"/>
        <v>3557.18</v>
      </c>
      <c r="D239" s="329"/>
      <c r="E239" s="329">
        <v>3557.18</v>
      </c>
      <c r="F239" s="329">
        <v>3557.18</v>
      </c>
      <c r="G239" s="329"/>
      <c r="H239" s="329"/>
      <c r="I239" s="329"/>
      <c r="J239" s="329">
        <f t="shared" si="51"/>
        <v>0</v>
      </c>
      <c r="K239" s="329"/>
      <c r="L239" s="329"/>
      <c r="M239" s="329">
        <f t="shared" si="52"/>
        <v>3518.0439999999999</v>
      </c>
      <c r="N239" s="329"/>
      <c r="O239" s="398">
        <v>3516.6621209999998</v>
      </c>
      <c r="P239" s="329"/>
      <c r="Q239" s="329"/>
      <c r="R239" s="329"/>
      <c r="S239" s="329"/>
      <c r="T239" s="329">
        <f t="shared" si="49"/>
        <v>0</v>
      </c>
      <c r="U239" s="329"/>
      <c r="V239" s="329"/>
      <c r="W239" s="329">
        <f t="shared" si="53"/>
        <v>1.3818790000000001</v>
      </c>
      <c r="X239" s="329"/>
      <c r="Y239" s="329">
        <v>1.3818790000000001</v>
      </c>
      <c r="Z239" s="330">
        <f t="shared" si="45"/>
        <v>98.89980265266307</v>
      </c>
      <c r="AA239" s="330"/>
      <c r="AB239" s="330">
        <f t="shared" si="46"/>
        <v>98.860955054284574</v>
      </c>
      <c r="AC239" s="330"/>
    </row>
    <row r="240" spans="1:29" s="47" customFormat="1">
      <c r="A240" s="452">
        <v>230</v>
      </c>
      <c r="B240" s="716" t="s">
        <v>2411</v>
      </c>
      <c r="C240" s="329">
        <f t="shared" si="50"/>
        <v>6179.0050000000001</v>
      </c>
      <c r="D240" s="329"/>
      <c r="E240" s="329">
        <v>6179.0050000000001</v>
      </c>
      <c r="F240" s="329">
        <v>6179.0050000000001</v>
      </c>
      <c r="G240" s="329"/>
      <c r="H240" s="329"/>
      <c r="I240" s="329"/>
      <c r="J240" s="329">
        <f t="shared" si="51"/>
        <v>0</v>
      </c>
      <c r="K240" s="329"/>
      <c r="L240" s="329"/>
      <c r="M240" s="329">
        <f t="shared" si="52"/>
        <v>6159.4780000000001</v>
      </c>
      <c r="N240" s="329"/>
      <c r="O240" s="398">
        <v>6159.4780000000001</v>
      </c>
      <c r="P240" s="329"/>
      <c r="Q240" s="329"/>
      <c r="R240" s="329"/>
      <c r="S240" s="329"/>
      <c r="T240" s="329">
        <f t="shared" si="49"/>
        <v>0</v>
      </c>
      <c r="U240" s="329"/>
      <c r="V240" s="329"/>
      <c r="W240" s="329">
        <f t="shared" si="53"/>
        <v>0</v>
      </c>
      <c r="X240" s="329"/>
      <c r="Y240" s="329">
        <v>0</v>
      </c>
      <c r="Z240" s="330">
        <f t="shared" si="45"/>
        <v>99.683978245688422</v>
      </c>
      <c r="AA240" s="330"/>
      <c r="AB240" s="330">
        <f t="shared" si="46"/>
        <v>99.683978245688422</v>
      </c>
      <c r="AC240" s="330"/>
    </row>
    <row r="241" spans="1:29" s="47" customFormat="1">
      <c r="A241" s="452">
        <v>231</v>
      </c>
      <c r="B241" s="716" t="s">
        <v>2336</v>
      </c>
      <c r="C241" s="329">
        <f t="shared" si="50"/>
        <v>8648</v>
      </c>
      <c r="D241" s="329"/>
      <c r="E241" s="329">
        <v>8648</v>
      </c>
      <c r="F241" s="329">
        <v>8648</v>
      </c>
      <c r="G241" s="329"/>
      <c r="H241" s="329"/>
      <c r="I241" s="329"/>
      <c r="J241" s="329">
        <f t="shared" si="51"/>
        <v>0</v>
      </c>
      <c r="K241" s="329"/>
      <c r="L241" s="329"/>
      <c r="M241" s="329">
        <f t="shared" si="52"/>
        <v>8638.0609999999997</v>
      </c>
      <c r="N241" s="329"/>
      <c r="O241" s="398">
        <v>8638.0609999999997</v>
      </c>
      <c r="P241" s="329"/>
      <c r="Q241" s="329"/>
      <c r="R241" s="329"/>
      <c r="S241" s="329"/>
      <c r="T241" s="329">
        <f t="shared" si="49"/>
        <v>0</v>
      </c>
      <c r="U241" s="329"/>
      <c r="V241" s="329"/>
      <c r="W241" s="329">
        <f t="shared" si="53"/>
        <v>0</v>
      </c>
      <c r="X241" s="329"/>
      <c r="Y241" s="329">
        <v>0</v>
      </c>
      <c r="Z241" s="330">
        <f t="shared" si="45"/>
        <v>99.885071692876963</v>
      </c>
      <c r="AA241" s="330"/>
      <c r="AB241" s="330">
        <f t="shared" si="46"/>
        <v>99.885071692876963</v>
      </c>
      <c r="AC241" s="330"/>
    </row>
    <row r="242" spans="1:29" s="47" customFormat="1" ht="31.2">
      <c r="A242" s="452">
        <v>232</v>
      </c>
      <c r="B242" s="716" t="s">
        <v>2593</v>
      </c>
      <c r="C242" s="329">
        <f t="shared" si="50"/>
        <v>7124</v>
      </c>
      <c r="D242" s="329"/>
      <c r="E242" s="329">
        <v>7124</v>
      </c>
      <c r="F242" s="329">
        <v>7124</v>
      </c>
      <c r="G242" s="329"/>
      <c r="H242" s="329"/>
      <c r="I242" s="329"/>
      <c r="J242" s="329">
        <f t="shared" si="51"/>
        <v>0</v>
      </c>
      <c r="K242" s="329"/>
      <c r="L242" s="329"/>
      <c r="M242" s="329">
        <f t="shared" si="52"/>
        <v>7084.3220000000001</v>
      </c>
      <c r="N242" s="329"/>
      <c r="O242" s="398">
        <v>7084.3220000000001</v>
      </c>
      <c r="P242" s="329"/>
      <c r="Q242" s="329"/>
      <c r="R242" s="329"/>
      <c r="S242" s="329"/>
      <c r="T242" s="329">
        <f t="shared" si="49"/>
        <v>0</v>
      </c>
      <c r="U242" s="329"/>
      <c r="V242" s="329"/>
      <c r="W242" s="329">
        <f t="shared" si="53"/>
        <v>0</v>
      </c>
      <c r="X242" s="329"/>
      <c r="Y242" s="329">
        <v>0</v>
      </c>
      <c r="Z242" s="330">
        <f t="shared" si="45"/>
        <v>99.443037619315007</v>
      </c>
      <c r="AA242" s="330"/>
      <c r="AB242" s="330">
        <f t="shared" si="46"/>
        <v>99.443037619315007</v>
      </c>
      <c r="AC242" s="330"/>
    </row>
    <row r="243" spans="1:29" s="47" customFormat="1">
      <c r="A243" s="452">
        <v>233</v>
      </c>
      <c r="B243" s="716" t="s">
        <v>2565</v>
      </c>
      <c r="C243" s="329">
        <f t="shared" si="50"/>
        <v>7293</v>
      </c>
      <c r="D243" s="329"/>
      <c r="E243" s="329">
        <v>7143</v>
      </c>
      <c r="F243" s="329">
        <v>7143</v>
      </c>
      <c r="G243" s="329"/>
      <c r="H243" s="329"/>
      <c r="I243" s="329"/>
      <c r="J243" s="329">
        <f t="shared" si="51"/>
        <v>150</v>
      </c>
      <c r="K243" s="329"/>
      <c r="L243" s="329">
        <v>150</v>
      </c>
      <c r="M243" s="329">
        <f t="shared" si="52"/>
        <v>6607.3732760000003</v>
      </c>
      <c r="N243" s="329"/>
      <c r="O243" s="398">
        <f>6607.373276-T243</f>
        <v>6556.7742360000002</v>
      </c>
      <c r="P243" s="329"/>
      <c r="Q243" s="329"/>
      <c r="R243" s="329"/>
      <c r="S243" s="329"/>
      <c r="T243" s="329">
        <f t="shared" si="49"/>
        <v>50.599040000000002</v>
      </c>
      <c r="U243" s="329"/>
      <c r="V243" s="329">
        <v>50.599040000000002</v>
      </c>
      <c r="W243" s="329">
        <f t="shared" si="53"/>
        <v>0</v>
      </c>
      <c r="X243" s="329"/>
      <c r="Y243" s="329">
        <v>0</v>
      </c>
      <c r="Z243" s="330">
        <f t="shared" si="45"/>
        <v>90.598838283285332</v>
      </c>
      <c r="AA243" s="330"/>
      <c r="AB243" s="330">
        <f t="shared" si="46"/>
        <v>91.793003443931113</v>
      </c>
      <c r="AC243" s="330">
        <f t="shared" si="47"/>
        <v>33.732693333333337</v>
      </c>
    </row>
    <row r="244" spans="1:29" s="47" customFormat="1" ht="31.2">
      <c r="A244" s="452">
        <v>234</v>
      </c>
      <c r="B244" s="716" t="s">
        <v>2590</v>
      </c>
      <c r="C244" s="329">
        <f t="shared" si="50"/>
        <v>162</v>
      </c>
      <c r="D244" s="329"/>
      <c r="E244" s="329">
        <v>162</v>
      </c>
      <c r="F244" s="329">
        <v>162</v>
      </c>
      <c r="G244" s="329"/>
      <c r="H244" s="329"/>
      <c r="I244" s="329"/>
      <c r="J244" s="329">
        <f t="shared" si="51"/>
        <v>0</v>
      </c>
      <c r="K244" s="329"/>
      <c r="L244" s="329"/>
      <c r="M244" s="329">
        <f t="shared" si="52"/>
        <v>162</v>
      </c>
      <c r="N244" s="329"/>
      <c r="O244" s="398">
        <v>162</v>
      </c>
      <c r="P244" s="329"/>
      <c r="Q244" s="329"/>
      <c r="R244" s="329"/>
      <c r="S244" s="329"/>
      <c r="T244" s="329">
        <f t="shared" si="49"/>
        <v>0</v>
      </c>
      <c r="U244" s="329"/>
      <c r="V244" s="329"/>
      <c r="W244" s="329">
        <f t="shared" si="53"/>
        <v>0</v>
      </c>
      <c r="X244" s="329"/>
      <c r="Y244" s="329">
        <v>0</v>
      </c>
      <c r="Z244" s="330">
        <f t="shared" si="45"/>
        <v>100</v>
      </c>
      <c r="AA244" s="330"/>
      <c r="AB244" s="330">
        <f t="shared" si="46"/>
        <v>100</v>
      </c>
      <c r="AC244" s="330"/>
    </row>
    <row r="245" spans="1:29" s="47" customFormat="1">
      <c r="A245" s="452">
        <v>235</v>
      </c>
      <c r="B245" s="716" t="s">
        <v>2491</v>
      </c>
      <c r="C245" s="329">
        <f t="shared" si="50"/>
        <v>215301.398865</v>
      </c>
      <c r="D245" s="329"/>
      <c r="E245" s="329">
        <v>215301.398865</v>
      </c>
      <c r="F245" s="329"/>
      <c r="G245" s="329">
        <v>215301.398865</v>
      </c>
      <c r="H245" s="329"/>
      <c r="I245" s="329"/>
      <c r="J245" s="329">
        <f t="shared" si="51"/>
        <v>0</v>
      </c>
      <c r="K245" s="329"/>
      <c r="L245" s="329"/>
      <c r="M245" s="329">
        <f t="shared" si="52"/>
        <v>215301.398865</v>
      </c>
      <c r="N245" s="329"/>
      <c r="O245" s="329">
        <v>215301.398865</v>
      </c>
      <c r="P245" s="329"/>
      <c r="Q245" s="329"/>
      <c r="R245" s="329"/>
      <c r="S245" s="329"/>
      <c r="T245" s="329">
        <f t="shared" si="49"/>
        <v>0</v>
      </c>
      <c r="U245" s="329"/>
      <c r="V245" s="329"/>
      <c r="W245" s="329">
        <f t="shared" si="53"/>
        <v>0</v>
      </c>
      <c r="X245" s="329"/>
      <c r="Y245" s="329"/>
      <c r="Z245" s="330">
        <f t="shared" si="45"/>
        <v>100</v>
      </c>
      <c r="AA245" s="330"/>
      <c r="AB245" s="330">
        <f t="shared" si="46"/>
        <v>100</v>
      </c>
      <c r="AC245" s="330"/>
    </row>
    <row r="246" spans="1:29" s="47" customFormat="1" ht="31.2">
      <c r="A246" s="452">
        <v>236</v>
      </c>
      <c r="B246" s="716" t="s">
        <v>2585</v>
      </c>
      <c r="C246" s="329">
        <f t="shared" si="50"/>
        <v>11</v>
      </c>
      <c r="D246" s="329"/>
      <c r="E246" s="329">
        <v>11</v>
      </c>
      <c r="F246" s="329"/>
      <c r="G246" s="329">
        <v>11</v>
      </c>
      <c r="H246" s="329"/>
      <c r="I246" s="329"/>
      <c r="J246" s="329">
        <f t="shared" si="51"/>
        <v>0</v>
      </c>
      <c r="K246" s="329"/>
      <c r="L246" s="329"/>
      <c r="M246" s="329">
        <f t="shared" si="52"/>
        <v>11</v>
      </c>
      <c r="N246" s="329"/>
      <c r="O246" s="329">
        <v>11</v>
      </c>
      <c r="P246" s="329"/>
      <c r="Q246" s="329"/>
      <c r="R246" s="329"/>
      <c r="S246" s="329"/>
      <c r="T246" s="329">
        <f t="shared" si="49"/>
        <v>0</v>
      </c>
      <c r="U246" s="329"/>
      <c r="V246" s="329"/>
      <c r="W246" s="329">
        <f t="shared" si="53"/>
        <v>0</v>
      </c>
      <c r="X246" s="329"/>
      <c r="Y246" s="329"/>
      <c r="Z246" s="330">
        <f t="shared" si="45"/>
        <v>100</v>
      </c>
      <c r="AA246" s="330"/>
      <c r="AB246" s="330">
        <f t="shared" si="46"/>
        <v>100</v>
      </c>
      <c r="AC246" s="330"/>
    </row>
    <row r="247" spans="1:29" s="47" customFormat="1">
      <c r="A247" s="452">
        <v>237</v>
      </c>
      <c r="B247" s="716" t="s">
        <v>2410</v>
      </c>
      <c r="C247" s="329">
        <f t="shared" si="50"/>
        <v>7341.6220000000003</v>
      </c>
      <c r="D247" s="329"/>
      <c r="E247" s="329">
        <v>7341.6220000000003</v>
      </c>
      <c r="F247" s="329">
        <v>7341.6220000000003</v>
      </c>
      <c r="G247" s="329"/>
      <c r="H247" s="329"/>
      <c r="I247" s="329"/>
      <c r="J247" s="329">
        <f t="shared" si="51"/>
        <v>0</v>
      </c>
      <c r="K247" s="329"/>
      <c r="L247" s="329"/>
      <c r="M247" s="329">
        <f t="shared" si="52"/>
        <v>7337.0766149999999</v>
      </c>
      <c r="N247" s="329"/>
      <c r="O247" s="398">
        <v>7337.0766149999999</v>
      </c>
      <c r="P247" s="329"/>
      <c r="Q247" s="329"/>
      <c r="R247" s="329"/>
      <c r="S247" s="329"/>
      <c r="T247" s="329">
        <f t="shared" si="49"/>
        <v>0</v>
      </c>
      <c r="U247" s="329"/>
      <c r="V247" s="329"/>
      <c r="W247" s="329">
        <f t="shared" si="53"/>
        <v>0</v>
      </c>
      <c r="X247" s="329"/>
      <c r="Y247" s="329">
        <v>0</v>
      </c>
      <c r="Z247" s="330">
        <f t="shared" si="45"/>
        <v>99.938087455333431</v>
      </c>
      <c r="AA247" s="330"/>
      <c r="AB247" s="330">
        <f t="shared" si="46"/>
        <v>99.938087455333431</v>
      </c>
      <c r="AC247" s="330"/>
    </row>
    <row r="248" spans="1:29" s="47" customFormat="1" ht="31.2">
      <c r="A248" s="452">
        <v>238</v>
      </c>
      <c r="B248" s="716" t="s">
        <v>2607</v>
      </c>
      <c r="C248" s="329">
        <f t="shared" si="50"/>
        <v>1769.2</v>
      </c>
      <c r="D248" s="329"/>
      <c r="E248" s="329">
        <v>1069.2</v>
      </c>
      <c r="F248" s="329">
        <v>1069.2</v>
      </c>
      <c r="G248" s="329"/>
      <c r="H248" s="329"/>
      <c r="I248" s="329"/>
      <c r="J248" s="329">
        <f t="shared" si="51"/>
        <v>700</v>
      </c>
      <c r="K248" s="329"/>
      <c r="L248" s="329">
        <v>700</v>
      </c>
      <c r="M248" s="329">
        <f t="shared" si="52"/>
        <v>1044.0820000000001</v>
      </c>
      <c r="N248" s="329"/>
      <c r="O248" s="398">
        <f>1044.082-T248</f>
        <v>369.20000000000016</v>
      </c>
      <c r="P248" s="329"/>
      <c r="Q248" s="329"/>
      <c r="R248" s="329"/>
      <c r="S248" s="329"/>
      <c r="T248" s="329">
        <f t="shared" si="49"/>
        <v>674.88199999999995</v>
      </c>
      <c r="U248" s="329"/>
      <c r="V248" s="329">
        <v>674.88199999999995</v>
      </c>
      <c r="W248" s="329">
        <f t="shared" si="53"/>
        <v>0</v>
      </c>
      <c r="X248" s="329"/>
      <c r="Y248" s="329">
        <v>0</v>
      </c>
      <c r="Z248" s="330">
        <f t="shared" si="45"/>
        <v>59.014356771422115</v>
      </c>
      <c r="AA248" s="330"/>
      <c r="AB248" s="330">
        <f t="shared" si="46"/>
        <v>34.530490086045653</v>
      </c>
      <c r="AC248" s="330">
        <f t="shared" si="47"/>
        <v>96.411714285714282</v>
      </c>
    </row>
    <row r="249" spans="1:29" s="47" customFormat="1">
      <c r="A249" s="452">
        <v>239</v>
      </c>
      <c r="B249" s="716" t="s">
        <v>2477</v>
      </c>
      <c r="C249" s="329">
        <f t="shared" si="50"/>
        <v>67</v>
      </c>
      <c r="D249" s="329"/>
      <c r="E249" s="329">
        <v>67</v>
      </c>
      <c r="F249" s="329"/>
      <c r="G249" s="329">
        <v>67</v>
      </c>
      <c r="H249" s="329"/>
      <c r="I249" s="329"/>
      <c r="J249" s="329">
        <f t="shared" si="51"/>
        <v>0</v>
      </c>
      <c r="K249" s="329"/>
      <c r="L249" s="329"/>
      <c r="M249" s="329">
        <f t="shared" si="52"/>
        <v>67</v>
      </c>
      <c r="N249" s="329"/>
      <c r="O249" s="329">
        <v>67</v>
      </c>
      <c r="P249" s="329"/>
      <c r="Q249" s="329"/>
      <c r="R249" s="329"/>
      <c r="S249" s="329"/>
      <c r="T249" s="329">
        <f t="shared" si="49"/>
        <v>0</v>
      </c>
      <c r="U249" s="329"/>
      <c r="V249" s="329"/>
      <c r="W249" s="329">
        <f t="shared" si="53"/>
        <v>0</v>
      </c>
      <c r="X249" s="329"/>
      <c r="Y249" s="329"/>
      <c r="Z249" s="330">
        <f t="shared" si="45"/>
        <v>100</v>
      </c>
      <c r="AA249" s="330"/>
      <c r="AB249" s="330">
        <f t="shared" si="46"/>
        <v>100</v>
      </c>
      <c r="AC249" s="330"/>
    </row>
    <row r="250" spans="1:29" s="47" customFormat="1">
      <c r="A250" s="452">
        <v>240</v>
      </c>
      <c r="B250" s="716" t="s">
        <v>2479</v>
      </c>
      <c r="C250" s="329">
        <f t="shared" si="50"/>
        <v>954</v>
      </c>
      <c r="D250" s="329"/>
      <c r="E250" s="329">
        <v>954</v>
      </c>
      <c r="F250" s="329"/>
      <c r="G250" s="329">
        <v>954</v>
      </c>
      <c r="H250" s="329"/>
      <c r="I250" s="329"/>
      <c r="J250" s="329">
        <f t="shared" si="51"/>
        <v>0</v>
      </c>
      <c r="K250" s="329"/>
      <c r="L250" s="329"/>
      <c r="M250" s="329">
        <f t="shared" si="52"/>
        <v>954</v>
      </c>
      <c r="N250" s="329"/>
      <c r="O250" s="329">
        <v>954</v>
      </c>
      <c r="P250" s="329"/>
      <c r="Q250" s="329"/>
      <c r="R250" s="329"/>
      <c r="S250" s="329"/>
      <c r="T250" s="329">
        <f t="shared" si="49"/>
        <v>0</v>
      </c>
      <c r="U250" s="329"/>
      <c r="V250" s="329"/>
      <c r="W250" s="329">
        <f t="shared" si="53"/>
        <v>0</v>
      </c>
      <c r="X250" s="329"/>
      <c r="Y250" s="329"/>
      <c r="Z250" s="330">
        <f t="shared" si="45"/>
        <v>100.00000000000001</v>
      </c>
      <c r="AA250" s="330"/>
      <c r="AB250" s="330">
        <f t="shared" si="46"/>
        <v>100.00000000000001</v>
      </c>
      <c r="AC250" s="330"/>
    </row>
    <row r="251" spans="1:29" s="47" customFormat="1">
      <c r="A251" s="452">
        <v>241</v>
      </c>
      <c r="B251" s="716" t="s">
        <v>2621</v>
      </c>
      <c r="C251" s="329">
        <f t="shared" si="50"/>
        <v>14</v>
      </c>
      <c r="D251" s="329"/>
      <c r="E251" s="329">
        <v>14</v>
      </c>
      <c r="F251" s="329"/>
      <c r="G251" s="329">
        <v>14</v>
      </c>
      <c r="H251" s="329"/>
      <c r="I251" s="329"/>
      <c r="J251" s="329">
        <f t="shared" si="51"/>
        <v>0</v>
      </c>
      <c r="K251" s="329"/>
      <c r="L251" s="329"/>
      <c r="M251" s="329">
        <f t="shared" si="52"/>
        <v>14</v>
      </c>
      <c r="N251" s="329"/>
      <c r="O251" s="329">
        <v>14</v>
      </c>
      <c r="P251" s="329"/>
      <c r="Q251" s="329"/>
      <c r="R251" s="329"/>
      <c r="S251" s="329"/>
      <c r="T251" s="329">
        <f t="shared" si="49"/>
        <v>0</v>
      </c>
      <c r="U251" s="329"/>
      <c r="V251" s="329"/>
      <c r="W251" s="329">
        <f t="shared" si="53"/>
        <v>0</v>
      </c>
      <c r="X251" s="329"/>
      <c r="Y251" s="329"/>
      <c r="Z251" s="330">
        <f t="shared" si="45"/>
        <v>99.999999999999986</v>
      </c>
      <c r="AA251" s="330"/>
      <c r="AB251" s="330">
        <f t="shared" si="46"/>
        <v>99.999999999999986</v>
      </c>
      <c r="AC251" s="330"/>
    </row>
    <row r="252" spans="1:29" s="43" customFormat="1" ht="31.2">
      <c r="A252" s="333" t="s">
        <v>444</v>
      </c>
      <c r="B252" s="334" t="s">
        <v>2512</v>
      </c>
      <c r="C252" s="329">
        <f t="shared" ref="C252:C268" si="54">D252+E252+H252+I252+J252</f>
        <v>365426.01699999999</v>
      </c>
      <c r="D252" s="450">
        <f t="shared" ref="D252" si="55">SUM(D253:D262)</f>
        <v>280293.56099999999</v>
      </c>
      <c r="E252" s="450">
        <f t="shared" ref="E252:L252" si="56">SUM(E253:E262)</f>
        <v>0</v>
      </c>
      <c r="F252" s="450"/>
      <c r="G252" s="450"/>
      <c r="H252" s="450">
        <f t="shared" si="56"/>
        <v>0</v>
      </c>
      <c r="I252" s="450">
        <f t="shared" si="56"/>
        <v>0</v>
      </c>
      <c r="J252" s="329">
        <f t="shared" ref="J252:J267" si="57">K252+L252</f>
        <v>85132.456000000006</v>
      </c>
      <c r="K252" s="450">
        <f t="shared" ref="K252" si="58">SUM(K253:K262)</f>
        <v>85132.456000000006</v>
      </c>
      <c r="L252" s="450">
        <f t="shared" si="56"/>
        <v>0</v>
      </c>
      <c r="M252" s="329">
        <f t="shared" ref="M252:M268" si="59">N252+O252+R252+S252+T252+W252</f>
        <v>627790.90630499995</v>
      </c>
      <c r="N252" s="450">
        <f>SUM(N253:N262)</f>
        <v>371882.98148399999</v>
      </c>
      <c r="O252" s="450">
        <f t="shared" ref="O252:X252" si="60">SUM(O253:O262)</f>
        <v>0</v>
      </c>
      <c r="P252" s="450">
        <f t="shared" si="60"/>
        <v>0</v>
      </c>
      <c r="Q252" s="450">
        <f t="shared" si="60"/>
        <v>0</v>
      </c>
      <c r="R252" s="450">
        <f t="shared" si="60"/>
        <v>0</v>
      </c>
      <c r="S252" s="450">
        <f t="shared" si="60"/>
        <v>0</v>
      </c>
      <c r="T252" s="450">
        <f t="shared" si="60"/>
        <v>86872.697607000009</v>
      </c>
      <c r="U252" s="450">
        <f t="shared" si="60"/>
        <v>86872.697607000009</v>
      </c>
      <c r="V252" s="450">
        <f t="shared" si="60"/>
        <v>0</v>
      </c>
      <c r="W252" s="450">
        <f t="shared" ref="W252:W267" si="61">X252+Y252</f>
        <v>169035.22721399995</v>
      </c>
      <c r="X252" s="450">
        <f t="shared" si="60"/>
        <v>169035.22721399995</v>
      </c>
      <c r="Y252" s="450"/>
      <c r="Z252" s="330">
        <f t="shared" si="45"/>
        <v>171.79699230473784</v>
      </c>
      <c r="AA252" s="330">
        <f t="shared" si="48"/>
        <v>132.67624848649305</v>
      </c>
      <c r="AB252" s="330"/>
      <c r="AC252" s="330">
        <f t="shared" si="47"/>
        <v>102.04415764417746</v>
      </c>
    </row>
    <row r="253" spans="1:29" s="47" customFormat="1">
      <c r="A253" s="317" t="s">
        <v>211</v>
      </c>
      <c r="B253" s="321" t="s">
        <v>609</v>
      </c>
      <c r="C253" s="329">
        <f t="shared" si="54"/>
        <v>22368</v>
      </c>
      <c r="D253" s="398">
        <v>22368</v>
      </c>
      <c r="E253" s="398"/>
      <c r="F253" s="398"/>
      <c r="G253" s="398"/>
      <c r="H253" s="398"/>
      <c r="I253" s="398"/>
      <c r="J253" s="329">
        <f t="shared" si="57"/>
        <v>0</v>
      </c>
      <c r="K253" s="398"/>
      <c r="L253" s="398"/>
      <c r="M253" s="329">
        <f t="shared" si="59"/>
        <v>66744.168079999989</v>
      </c>
      <c r="N253" s="398">
        <v>59752.801597999991</v>
      </c>
      <c r="O253" s="398"/>
      <c r="P253" s="398"/>
      <c r="Q253" s="398"/>
      <c r="R253" s="398"/>
      <c r="S253" s="398"/>
      <c r="T253" s="329">
        <f t="shared" ref="T253:T268" si="62">U253+V253</f>
        <v>0</v>
      </c>
      <c r="U253" s="398"/>
      <c r="V253" s="398"/>
      <c r="W253" s="329">
        <f t="shared" si="61"/>
        <v>6991.3664820000004</v>
      </c>
      <c r="X253" s="329">
        <v>6991.3664820000004</v>
      </c>
      <c r="Y253" s="329"/>
      <c r="Z253" s="330">
        <f t="shared" si="45"/>
        <v>298.39130937052926</v>
      </c>
      <c r="AA253" s="330">
        <f t="shared" si="48"/>
        <v>267.13520027718164</v>
      </c>
      <c r="AB253" s="330"/>
      <c r="AC253" s="330"/>
    </row>
    <row r="254" spans="1:29" s="47" customFormat="1">
      <c r="A254" s="317" t="s">
        <v>212</v>
      </c>
      <c r="B254" s="321" t="s">
        <v>610</v>
      </c>
      <c r="C254" s="329">
        <f t="shared" si="54"/>
        <v>28226</v>
      </c>
      <c r="D254" s="398">
        <v>28226</v>
      </c>
      <c r="E254" s="398"/>
      <c r="F254" s="398"/>
      <c r="G254" s="398"/>
      <c r="H254" s="398"/>
      <c r="I254" s="398"/>
      <c r="J254" s="329">
        <f t="shared" si="57"/>
        <v>0</v>
      </c>
      <c r="K254" s="398"/>
      <c r="L254" s="398"/>
      <c r="M254" s="329">
        <f t="shared" si="59"/>
        <v>43813.952355999994</v>
      </c>
      <c r="N254" s="398">
        <v>36687.530355999996</v>
      </c>
      <c r="O254" s="398"/>
      <c r="P254" s="398"/>
      <c r="Q254" s="398"/>
      <c r="R254" s="398"/>
      <c r="S254" s="398"/>
      <c r="T254" s="329">
        <f t="shared" si="62"/>
        <v>0</v>
      </c>
      <c r="U254" s="398"/>
      <c r="V254" s="398"/>
      <c r="W254" s="329">
        <f t="shared" si="61"/>
        <v>7126.4219999999996</v>
      </c>
      <c r="X254" s="329">
        <v>7126.4219999999996</v>
      </c>
      <c r="Y254" s="329"/>
      <c r="Z254" s="330">
        <f t="shared" si="45"/>
        <v>155.22550965776233</v>
      </c>
      <c r="AA254" s="330">
        <f t="shared" si="48"/>
        <v>129.97778769928433</v>
      </c>
      <c r="AB254" s="330"/>
      <c r="AC254" s="330"/>
    </row>
    <row r="255" spans="1:29" s="47" customFormat="1">
      <c r="A255" s="317" t="s">
        <v>213</v>
      </c>
      <c r="B255" s="321" t="s">
        <v>611</v>
      </c>
      <c r="C255" s="329">
        <f t="shared" si="54"/>
        <v>26239.031999999999</v>
      </c>
      <c r="D255" s="398">
        <v>8887.9760000000006</v>
      </c>
      <c r="E255" s="398"/>
      <c r="F255" s="398"/>
      <c r="G255" s="398"/>
      <c r="H255" s="398"/>
      <c r="I255" s="398"/>
      <c r="J255" s="329">
        <f t="shared" si="57"/>
        <v>17351.056</v>
      </c>
      <c r="K255" s="398">
        <v>17351.056</v>
      </c>
      <c r="L255" s="398"/>
      <c r="M255" s="329">
        <f t="shared" si="59"/>
        <v>90522.904092999976</v>
      </c>
      <c r="N255" s="398">
        <f>13940.674</f>
        <v>13940.674000000001</v>
      </c>
      <c r="O255" s="398"/>
      <c r="P255" s="398"/>
      <c r="Q255" s="398"/>
      <c r="R255" s="398"/>
      <c r="S255" s="398"/>
      <c r="T255" s="329">
        <f t="shared" si="62"/>
        <v>4334.5619999999999</v>
      </c>
      <c r="U255" s="398">
        <v>4334.5619999999999</v>
      </c>
      <c r="V255" s="398"/>
      <c r="W255" s="329">
        <f t="shared" si="61"/>
        <v>72247.668092999971</v>
      </c>
      <c r="X255" s="329">
        <v>72247.668092999971</v>
      </c>
      <c r="Y255" s="329"/>
      <c r="Z255" s="330">
        <f t="shared" si="45"/>
        <v>344.99330650993522</v>
      </c>
      <c r="AA255" s="330">
        <f t="shared" si="48"/>
        <v>156.84869086055139</v>
      </c>
      <c r="AB255" s="330"/>
      <c r="AC255" s="330">
        <f t="shared" si="47"/>
        <v>24.981545791795035</v>
      </c>
    </row>
    <row r="256" spans="1:29" s="47" customFormat="1">
      <c r="A256" s="317" t="s">
        <v>214</v>
      </c>
      <c r="B256" s="321" t="s">
        <v>612</v>
      </c>
      <c r="C256" s="329">
        <f t="shared" si="54"/>
        <v>42714</v>
      </c>
      <c r="D256" s="398">
        <v>27194</v>
      </c>
      <c r="E256" s="398"/>
      <c r="F256" s="398"/>
      <c r="G256" s="398"/>
      <c r="H256" s="398"/>
      <c r="I256" s="398"/>
      <c r="J256" s="329">
        <f t="shared" si="57"/>
        <v>15520</v>
      </c>
      <c r="K256" s="398">
        <v>15520</v>
      </c>
      <c r="L256" s="398"/>
      <c r="M256" s="329">
        <f t="shared" si="59"/>
        <v>56205.265999999996</v>
      </c>
      <c r="N256" s="398">
        <f>34799.153</f>
        <v>34799.152999999998</v>
      </c>
      <c r="O256" s="398"/>
      <c r="P256" s="398"/>
      <c r="Q256" s="398"/>
      <c r="R256" s="398"/>
      <c r="S256" s="398"/>
      <c r="T256" s="329">
        <f t="shared" si="62"/>
        <v>18770.345999999998</v>
      </c>
      <c r="U256" s="398">
        <v>18770.345999999998</v>
      </c>
      <c r="V256" s="398"/>
      <c r="W256" s="329">
        <f t="shared" si="61"/>
        <v>2635.7669999999998</v>
      </c>
      <c r="X256" s="329">
        <v>2635.7669999999998</v>
      </c>
      <c r="Y256" s="329"/>
      <c r="Z256" s="330">
        <f t="shared" si="45"/>
        <v>131.58511495060168</v>
      </c>
      <c r="AA256" s="330">
        <f t="shared" si="48"/>
        <v>127.96629035816724</v>
      </c>
      <c r="AB256" s="330"/>
      <c r="AC256" s="330">
        <f t="shared" si="47"/>
        <v>120.94295103092783</v>
      </c>
    </row>
    <row r="257" spans="1:30" s="47" customFormat="1">
      <c r="A257" s="317" t="s">
        <v>215</v>
      </c>
      <c r="B257" s="321" t="s">
        <v>613</v>
      </c>
      <c r="C257" s="329">
        <f t="shared" si="54"/>
        <v>16195</v>
      </c>
      <c r="D257" s="398">
        <v>16195</v>
      </c>
      <c r="E257" s="398"/>
      <c r="F257" s="398"/>
      <c r="G257" s="398"/>
      <c r="H257" s="398"/>
      <c r="I257" s="398"/>
      <c r="J257" s="329">
        <f t="shared" si="57"/>
        <v>0</v>
      </c>
      <c r="K257" s="398"/>
      <c r="L257" s="398"/>
      <c r="M257" s="329">
        <f t="shared" si="59"/>
        <v>31955.309100000002</v>
      </c>
      <c r="N257" s="398">
        <v>23880.924100000004</v>
      </c>
      <c r="O257" s="398"/>
      <c r="P257" s="398"/>
      <c r="Q257" s="398"/>
      <c r="R257" s="398"/>
      <c r="S257" s="398"/>
      <c r="T257" s="329">
        <f t="shared" si="62"/>
        <v>0</v>
      </c>
      <c r="U257" s="398"/>
      <c r="V257" s="398"/>
      <c r="W257" s="329">
        <f t="shared" si="61"/>
        <v>8074.3849999999993</v>
      </c>
      <c r="X257" s="329">
        <v>8074.3849999999993</v>
      </c>
      <c r="Y257" s="329"/>
      <c r="Z257" s="330">
        <f t="shared" si="45"/>
        <v>197.31589441185554</v>
      </c>
      <c r="AA257" s="330">
        <f t="shared" si="48"/>
        <v>147.4586236492745</v>
      </c>
      <c r="AB257" s="330"/>
      <c r="AC257" s="330"/>
    </row>
    <row r="258" spans="1:30" s="47" customFormat="1">
      <c r="A258" s="317" t="s">
        <v>216</v>
      </c>
      <c r="B258" s="321" t="s">
        <v>614</v>
      </c>
      <c r="C258" s="329">
        <f t="shared" si="54"/>
        <v>29169.4</v>
      </c>
      <c r="D258" s="398">
        <v>23779</v>
      </c>
      <c r="E258" s="398"/>
      <c r="F258" s="398"/>
      <c r="G258" s="398"/>
      <c r="H258" s="398"/>
      <c r="I258" s="398"/>
      <c r="J258" s="329">
        <f t="shared" si="57"/>
        <v>5390.4</v>
      </c>
      <c r="K258" s="398">
        <v>5390.4</v>
      </c>
      <c r="L258" s="398"/>
      <c r="M258" s="329">
        <f t="shared" si="59"/>
        <v>33482.306386000004</v>
      </c>
      <c r="N258" s="398">
        <f>26626.618179</f>
        <v>26626.618179000001</v>
      </c>
      <c r="O258" s="398"/>
      <c r="P258" s="398"/>
      <c r="Q258" s="398"/>
      <c r="R258" s="398"/>
      <c r="S258" s="398"/>
      <c r="T258" s="329">
        <f t="shared" si="62"/>
        <v>5796.0819070000007</v>
      </c>
      <c r="U258" s="398">
        <v>5796.0819070000007</v>
      </c>
      <c r="V258" s="398"/>
      <c r="W258" s="329">
        <f t="shared" si="61"/>
        <v>1059.6062999999999</v>
      </c>
      <c r="X258" s="329">
        <v>1059.6062999999999</v>
      </c>
      <c r="Y258" s="329"/>
      <c r="Z258" s="330">
        <f t="shared" si="45"/>
        <v>114.78572197576914</v>
      </c>
      <c r="AA258" s="330">
        <f t="shared" si="48"/>
        <v>111.9753487488961</v>
      </c>
      <c r="AB258" s="330"/>
      <c r="AC258" s="330">
        <f t="shared" si="47"/>
        <v>107.52600747625411</v>
      </c>
    </row>
    <row r="259" spans="1:30" s="47" customFormat="1">
      <c r="A259" s="317" t="s">
        <v>217</v>
      </c>
      <c r="B259" s="321" t="s">
        <v>615</v>
      </c>
      <c r="C259" s="329">
        <f t="shared" si="54"/>
        <v>31256</v>
      </c>
      <c r="D259" s="398">
        <v>31256</v>
      </c>
      <c r="E259" s="398"/>
      <c r="F259" s="398"/>
      <c r="G259" s="398"/>
      <c r="H259" s="398"/>
      <c r="I259" s="398"/>
      <c r="J259" s="329">
        <f t="shared" si="57"/>
        <v>0</v>
      </c>
      <c r="K259" s="398"/>
      <c r="L259" s="398"/>
      <c r="M259" s="329">
        <f t="shared" si="59"/>
        <v>43377.125</v>
      </c>
      <c r="N259" s="398">
        <v>41769.101999999999</v>
      </c>
      <c r="O259" s="398"/>
      <c r="P259" s="398"/>
      <c r="Q259" s="398"/>
      <c r="R259" s="398"/>
      <c r="S259" s="398"/>
      <c r="T259" s="329">
        <f t="shared" si="62"/>
        <v>0</v>
      </c>
      <c r="U259" s="398"/>
      <c r="V259" s="398"/>
      <c r="W259" s="329">
        <f t="shared" si="61"/>
        <v>1608.0230000000001</v>
      </c>
      <c r="X259" s="329">
        <v>1608.0230000000001</v>
      </c>
      <c r="Y259" s="329"/>
      <c r="Z259" s="330">
        <f t="shared" si="45"/>
        <v>138.7801542103916</v>
      </c>
      <c r="AA259" s="330">
        <f t="shared" si="48"/>
        <v>133.63546839006909</v>
      </c>
      <c r="AB259" s="330"/>
      <c r="AC259" s="330"/>
    </row>
    <row r="260" spans="1:30" s="47" customFormat="1">
      <c r="A260" s="317" t="s">
        <v>218</v>
      </c>
      <c r="B260" s="321" t="s">
        <v>616</v>
      </c>
      <c r="C260" s="329">
        <f t="shared" si="54"/>
        <v>45262</v>
      </c>
      <c r="D260" s="398">
        <v>19568</v>
      </c>
      <c r="E260" s="398"/>
      <c r="F260" s="398"/>
      <c r="G260" s="398"/>
      <c r="H260" s="398"/>
      <c r="I260" s="398"/>
      <c r="J260" s="329">
        <f t="shared" si="57"/>
        <v>25694</v>
      </c>
      <c r="K260" s="398">
        <v>25694</v>
      </c>
      <c r="L260" s="398"/>
      <c r="M260" s="329">
        <f t="shared" si="59"/>
        <v>56148.22570000001</v>
      </c>
      <c r="N260" s="398">
        <v>21593.975000000002</v>
      </c>
      <c r="O260" s="398"/>
      <c r="P260" s="398"/>
      <c r="Q260" s="398"/>
      <c r="R260" s="398"/>
      <c r="S260" s="398"/>
      <c r="T260" s="329">
        <f t="shared" si="62"/>
        <v>26544.834700000003</v>
      </c>
      <c r="U260" s="398">
        <v>26544.834700000003</v>
      </c>
      <c r="V260" s="398"/>
      <c r="W260" s="329">
        <f t="shared" si="61"/>
        <v>8009.4160000000011</v>
      </c>
      <c r="X260" s="329">
        <v>8009.4160000000011</v>
      </c>
      <c r="Y260" s="329"/>
      <c r="Z260" s="330">
        <f t="shared" si="45"/>
        <v>124.05157902876587</v>
      </c>
      <c r="AA260" s="330">
        <f t="shared" si="48"/>
        <v>110.35351083401473</v>
      </c>
      <c r="AB260" s="330"/>
      <c r="AC260" s="330">
        <f t="shared" si="47"/>
        <v>103.31141394878183</v>
      </c>
    </row>
    <row r="261" spans="1:30" s="47" customFormat="1">
      <c r="A261" s="317" t="s">
        <v>219</v>
      </c>
      <c r="B261" s="321" t="s">
        <v>617</v>
      </c>
      <c r="C261" s="329">
        <f t="shared" si="54"/>
        <v>41597.769</v>
      </c>
      <c r="D261" s="398">
        <v>20420.769</v>
      </c>
      <c r="E261" s="398"/>
      <c r="F261" s="398"/>
      <c r="G261" s="398"/>
      <c r="H261" s="398"/>
      <c r="I261" s="398"/>
      <c r="J261" s="329">
        <f t="shared" si="57"/>
        <v>21177</v>
      </c>
      <c r="K261" s="398">
        <v>21177</v>
      </c>
      <c r="L261" s="398"/>
      <c r="M261" s="329">
        <f t="shared" si="59"/>
        <v>74832.823350999999</v>
      </c>
      <c r="N261" s="398">
        <v>25168.977999999999</v>
      </c>
      <c r="O261" s="398"/>
      <c r="P261" s="398"/>
      <c r="Q261" s="398"/>
      <c r="R261" s="398"/>
      <c r="S261" s="398"/>
      <c r="T261" s="329">
        <f t="shared" si="62"/>
        <v>31426.873000000003</v>
      </c>
      <c r="U261" s="398">
        <v>31426.873000000003</v>
      </c>
      <c r="V261" s="398"/>
      <c r="W261" s="329">
        <f t="shared" si="61"/>
        <v>18236.972350999997</v>
      </c>
      <c r="X261" s="329">
        <v>18236.972350999997</v>
      </c>
      <c r="Y261" s="329"/>
      <c r="Z261" s="330">
        <f t="shared" si="45"/>
        <v>179.89624239463419</v>
      </c>
      <c r="AA261" s="330">
        <f t="shared" si="48"/>
        <v>123.2518618667103</v>
      </c>
      <c r="AB261" s="330"/>
      <c r="AC261" s="330">
        <f t="shared" si="47"/>
        <v>148.40096803135478</v>
      </c>
    </row>
    <row r="262" spans="1:30" s="47" customFormat="1">
      <c r="A262" s="317" t="s">
        <v>220</v>
      </c>
      <c r="B262" s="321" t="s">
        <v>2312</v>
      </c>
      <c r="C262" s="329">
        <f t="shared" si="54"/>
        <v>82398.816000000006</v>
      </c>
      <c r="D262" s="398">
        <v>82398.816000000006</v>
      </c>
      <c r="E262" s="398"/>
      <c r="F262" s="398"/>
      <c r="G262" s="398"/>
      <c r="H262" s="398"/>
      <c r="I262" s="398"/>
      <c r="J262" s="329">
        <f t="shared" si="57"/>
        <v>0</v>
      </c>
      <c r="K262" s="398"/>
      <c r="L262" s="398"/>
      <c r="M262" s="329">
        <f t="shared" si="59"/>
        <v>130708.826239</v>
      </c>
      <c r="N262" s="398">
        <v>87663.225250999996</v>
      </c>
      <c r="O262" s="398"/>
      <c r="P262" s="398"/>
      <c r="Q262" s="398"/>
      <c r="R262" s="398"/>
      <c r="S262" s="398"/>
      <c r="T262" s="329">
        <f t="shared" si="62"/>
        <v>0</v>
      </c>
      <c r="U262" s="398"/>
      <c r="V262" s="398"/>
      <c r="W262" s="329">
        <f t="shared" si="61"/>
        <v>43045.600988000006</v>
      </c>
      <c r="X262" s="329">
        <v>43045.600988000006</v>
      </c>
      <c r="Y262" s="329"/>
      <c r="Z262" s="330">
        <f t="shared" si="45"/>
        <v>158.62949564590829</v>
      </c>
      <c r="AA262" s="330">
        <f t="shared" si="48"/>
        <v>106.38893798061369</v>
      </c>
      <c r="AB262" s="330"/>
      <c r="AC262" s="330"/>
    </row>
    <row r="263" spans="1:30" s="43" customFormat="1">
      <c r="A263" s="447" t="s">
        <v>29</v>
      </c>
      <c r="B263" s="448" t="s">
        <v>1935</v>
      </c>
      <c r="C263" s="450">
        <f t="shared" si="54"/>
        <v>0</v>
      </c>
      <c r="D263" s="67"/>
      <c r="E263" s="67"/>
      <c r="F263" s="67"/>
      <c r="G263" s="67"/>
      <c r="H263" s="67"/>
      <c r="I263" s="67"/>
      <c r="J263" s="450">
        <f t="shared" si="57"/>
        <v>0</v>
      </c>
      <c r="K263" s="67"/>
      <c r="L263" s="67"/>
      <c r="M263" s="450">
        <f t="shared" si="59"/>
        <v>38500</v>
      </c>
      <c r="N263" s="67"/>
      <c r="O263" s="67"/>
      <c r="P263" s="67"/>
      <c r="Q263" s="67"/>
      <c r="R263" s="67">
        <f>'65_QT'!D39</f>
        <v>38500</v>
      </c>
      <c r="S263" s="67"/>
      <c r="T263" s="450">
        <f t="shared" si="62"/>
        <v>0</v>
      </c>
      <c r="U263" s="67"/>
      <c r="V263" s="67"/>
      <c r="W263" s="450">
        <f t="shared" si="61"/>
        <v>0</v>
      </c>
      <c r="X263" s="67"/>
      <c r="Y263" s="67"/>
      <c r="Z263" s="330"/>
      <c r="AA263" s="330"/>
      <c r="AB263" s="330"/>
      <c r="AC263" s="330"/>
      <c r="AD263" s="712"/>
    </row>
    <row r="264" spans="1:30" s="43" customFormat="1">
      <c r="A264" s="447" t="s">
        <v>33</v>
      </c>
      <c r="B264" s="448" t="s">
        <v>131</v>
      </c>
      <c r="C264" s="450">
        <f t="shared" si="54"/>
        <v>0</v>
      </c>
      <c r="D264" s="67"/>
      <c r="E264" s="67"/>
      <c r="F264" s="67"/>
      <c r="G264" s="67"/>
      <c r="H264" s="67"/>
      <c r="I264" s="450"/>
      <c r="J264" s="450">
        <f t="shared" si="57"/>
        <v>0</v>
      </c>
      <c r="K264" s="67"/>
      <c r="L264" s="67"/>
      <c r="M264" s="450">
        <f t="shared" si="59"/>
        <v>2000</v>
      </c>
      <c r="N264" s="67"/>
      <c r="O264" s="67"/>
      <c r="P264" s="67"/>
      <c r="Q264" s="67"/>
      <c r="R264" s="67"/>
      <c r="S264" s="67">
        <f>'65_QT'!D40</f>
        <v>2000</v>
      </c>
      <c r="T264" s="450">
        <f t="shared" si="62"/>
        <v>0</v>
      </c>
      <c r="U264" s="67"/>
      <c r="V264" s="67"/>
      <c r="W264" s="450">
        <f t="shared" si="61"/>
        <v>0</v>
      </c>
      <c r="X264" s="67"/>
      <c r="Y264" s="67"/>
      <c r="Z264" s="330"/>
      <c r="AA264" s="330"/>
      <c r="AB264" s="330"/>
      <c r="AC264" s="330"/>
      <c r="AD264" s="712"/>
    </row>
    <row r="265" spans="1:30" s="43" customFormat="1">
      <c r="A265" s="447" t="s">
        <v>71</v>
      </c>
      <c r="B265" s="448" t="s">
        <v>139</v>
      </c>
      <c r="C265" s="450">
        <f t="shared" si="54"/>
        <v>0</v>
      </c>
      <c r="D265" s="67"/>
      <c r="E265" s="67"/>
      <c r="F265" s="67"/>
      <c r="G265" s="67"/>
      <c r="H265" s="67"/>
      <c r="I265" s="450"/>
      <c r="J265" s="450">
        <f t="shared" si="57"/>
        <v>0</v>
      </c>
      <c r="K265" s="67"/>
      <c r="L265" s="67"/>
      <c r="M265" s="450">
        <f t="shared" si="59"/>
        <v>0</v>
      </c>
      <c r="N265" s="67"/>
      <c r="O265" s="67"/>
      <c r="P265" s="67"/>
      <c r="Q265" s="67"/>
      <c r="R265" s="67"/>
      <c r="S265" s="67">
        <v>0</v>
      </c>
      <c r="T265" s="450">
        <f t="shared" si="62"/>
        <v>0</v>
      </c>
      <c r="U265" s="67"/>
      <c r="V265" s="67"/>
      <c r="W265" s="450">
        <f t="shared" si="61"/>
        <v>0</v>
      </c>
      <c r="X265" s="67"/>
      <c r="Y265" s="67"/>
      <c r="Z265" s="330"/>
      <c r="AA265" s="330"/>
      <c r="AB265" s="330"/>
      <c r="AC265" s="330"/>
      <c r="AD265" s="712"/>
    </row>
    <row r="266" spans="1:30" s="43" customFormat="1" ht="31.2">
      <c r="A266" s="447" t="s">
        <v>96</v>
      </c>
      <c r="B266" s="448" t="s">
        <v>140</v>
      </c>
      <c r="C266" s="450">
        <f t="shared" si="54"/>
        <v>0</v>
      </c>
      <c r="D266" s="67"/>
      <c r="E266" s="67"/>
      <c r="F266" s="67"/>
      <c r="G266" s="67"/>
      <c r="H266" s="67"/>
      <c r="I266" s="450"/>
      <c r="J266" s="450">
        <f t="shared" si="57"/>
        <v>0</v>
      </c>
      <c r="K266" s="67"/>
      <c r="L266" s="67"/>
      <c r="M266" s="450">
        <f t="shared" si="59"/>
        <v>0</v>
      </c>
      <c r="N266" s="67"/>
      <c r="O266" s="67"/>
      <c r="P266" s="67"/>
      <c r="Q266" s="67"/>
      <c r="R266" s="67"/>
      <c r="S266" s="67">
        <v>0</v>
      </c>
      <c r="T266" s="450">
        <f t="shared" si="62"/>
        <v>0</v>
      </c>
      <c r="U266" s="67"/>
      <c r="V266" s="67"/>
      <c r="W266" s="450">
        <f t="shared" si="61"/>
        <v>0</v>
      </c>
      <c r="X266" s="67"/>
      <c r="Y266" s="67"/>
      <c r="Z266" s="330"/>
      <c r="AA266" s="330"/>
      <c r="AB266" s="330"/>
      <c r="AC266" s="330"/>
      <c r="AD266" s="712"/>
    </row>
    <row r="267" spans="1:30" s="43" customFormat="1" ht="31.2">
      <c r="A267" s="447" t="s">
        <v>97</v>
      </c>
      <c r="B267" s="448" t="s">
        <v>141</v>
      </c>
      <c r="C267" s="450">
        <f t="shared" si="54"/>
        <v>2435185.7000000002</v>
      </c>
      <c r="D267" s="67"/>
      <c r="E267" s="67"/>
      <c r="F267" s="67"/>
      <c r="G267" s="67"/>
      <c r="H267" s="67"/>
      <c r="I267" s="450">
        <f>'67_QT'!C10</f>
        <v>2435185.7000000002</v>
      </c>
      <c r="J267" s="450">
        <f t="shared" si="57"/>
        <v>0</v>
      </c>
      <c r="K267" s="67"/>
      <c r="L267" s="67"/>
      <c r="M267" s="450">
        <f t="shared" si="59"/>
        <v>2693670</v>
      </c>
      <c r="N267" s="67"/>
      <c r="O267" s="67"/>
      <c r="P267" s="67"/>
      <c r="Q267" s="67"/>
      <c r="R267" s="67"/>
      <c r="S267" s="67">
        <f>'67_QT'!I10</f>
        <v>2693670</v>
      </c>
      <c r="T267" s="450">
        <f t="shared" si="62"/>
        <v>0</v>
      </c>
      <c r="U267" s="67"/>
      <c r="V267" s="67"/>
      <c r="W267" s="450">
        <f t="shared" si="61"/>
        <v>0</v>
      </c>
      <c r="X267" s="67"/>
      <c r="Y267" s="67"/>
      <c r="Z267" s="330">
        <f t="shared" si="45"/>
        <v>110.61456216665528</v>
      </c>
      <c r="AA267" s="330"/>
      <c r="AB267" s="330"/>
      <c r="AC267" s="330"/>
      <c r="AD267" s="712"/>
    </row>
    <row r="268" spans="1:30" s="43" customFormat="1" ht="31.2">
      <c r="A268" s="467" t="s">
        <v>142</v>
      </c>
      <c r="B268" s="468" t="s">
        <v>133</v>
      </c>
      <c r="C268" s="469">
        <f t="shared" si="54"/>
        <v>0</v>
      </c>
      <c r="D268" s="713"/>
      <c r="E268" s="713"/>
      <c r="F268" s="713"/>
      <c r="G268" s="713"/>
      <c r="H268" s="713"/>
      <c r="I268" s="713"/>
      <c r="J268" s="469">
        <f t="shared" ref="J268" si="63">K268+L268</f>
        <v>0</v>
      </c>
      <c r="K268" s="713"/>
      <c r="L268" s="713"/>
      <c r="M268" s="469">
        <f t="shared" si="59"/>
        <v>1833064.2520000001</v>
      </c>
      <c r="N268" s="713"/>
      <c r="O268" s="713"/>
      <c r="P268" s="713"/>
      <c r="Q268" s="713"/>
      <c r="R268" s="713"/>
      <c r="S268" s="744"/>
      <c r="T268" s="469">
        <f t="shared" si="62"/>
        <v>0</v>
      </c>
      <c r="U268" s="713"/>
      <c r="V268" s="713"/>
      <c r="W268" s="743">
        <v>1833064.2520000001</v>
      </c>
      <c r="X268" s="713"/>
      <c r="Y268" s="713"/>
      <c r="Z268" s="713"/>
      <c r="AA268" s="713"/>
      <c r="AB268" s="713"/>
      <c r="AC268" s="713"/>
      <c r="AD268" s="712"/>
    </row>
  </sheetData>
  <sortState ref="A32:AD258">
    <sortCondition ref="B32:B258"/>
  </sortState>
  <mergeCells count="27">
    <mergeCell ref="Z7:Z8"/>
    <mergeCell ref="AA7:AA8"/>
    <mergeCell ref="AB7:AB8"/>
    <mergeCell ref="A3:AB3"/>
    <mergeCell ref="A4:AB4"/>
    <mergeCell ref="C6:L6"/>
    <mergeCell ref="M6:W6"/>
    <mergeCell ref="Z6:AC6"/>
    <mergeCell ref="W7:W8"/>
    <mergeCell ref="AC7:AC8"/>
    <mergeCell ref="S7:S8"/>
    <mergeCell ref="H7:H8"/>
    <mergeCell ref="I7:I8"/>
    <mergeCell ref="J7:L7"/>
    <mergeCell ref="M7:M8"/>
    <mergeCell ref="X7:Y7"/>
    <mergeCell ref="T7:V7"/>
    <mergeCell ref="O7:O8"/>
    <mergeCell ref="R7:R8"/>
    <mergeCell ref="N7:N8"/>
    <mergeCell ref="A6:A8"/>
    <mergeCell ref="B6:B8"/>
    <mergeCell ref="C7:C8"/>
    <mergeCell ref="D7:D8"/>
    <mergeCell ref="E7:E8"/>
    <mergeCell ref="F7:G7"/>
    <mergeCell ref="P7:Q7"/>
  </mergeCells>
  <dataValidations count="2">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Q983049 C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C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C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C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C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C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C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C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C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C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C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C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C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C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C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LU12:WLU251 WVQ12:WVQ251 JE12:JE251 TA12:TA251 ACW12:ACW251 AMS12:AMS251 AWO12:AWO251 BGK12:BGK251 BQG12:BQG251 CAC12:CAC251 CJY12:CJY251 CTU12:CTU251 DDQ12:DDQ251 DNM12:DNM251 DXI12:DXI251 EHE12:EHE251 ERA12:ERA251 FAW12:FAW251 FKS12:FKS251 FUO12:FUO251 GEK12:GEK251 GOG12:GOG251 GYC12:GYC251 HHY12:HHY251 HRU12:HRU251 IBQ12:IBQ251 ILM12:ILM251 IVI12:IVI251 JFE12:JFE251 JPA12:JPA251 JYW12:JYW251 KIS12:KIS251 KSO12:KSO251 LCK12:LCK251 LMG12:LMG251 LWC12:LWC251 MFY12:MFY251 MPU12:MPU251 MZQ12:MZQ251 NJM12:NJM251 NTI12:NTI251 ODE12:ODE251 ONA12:ONA251 OWW12:OWW251 PGS12:PGS251 PQO12:PQO251 QAK12:QAK251 QKG12:QKG251 QUC12:QUC251 RDY12:RDY251 RNU12:RNU251 RXQ12:RXQ251 SHM12:SHM251 SRI12:SRI251 TBE12:TBE251 TLA12:TLA251 TUW12:TUW251 UES12:UES251 UOO12:UOO251 UYK12:UYK251 VIG12:VIG251 VSC12:VSC251 WBY12:WBY251" xr:uid="{00000000-0002-0000-0400-000000000000}"/>
    <dataValidation allowBlank="1" showInputMessage="1" showErrorMessage="1" prompt="Số lieeujk Biểu này không công khai KP đợ vị khối An ninh- quốc phòng theo quy định" sqref="C10" xr:uid="{00000000-0002-0000-0400-000001000000}"/>
  </dataValidations>
  <printOptions horizontalCentered="1"/>
  <pageMargins left="0" right="0" top="0.75" bottom="0.5" header="0.3" footer="0.3"/>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I212"/>
  <sheetViews>
    <sheetView workbookViewId="0">
      <selection activeCell="E6" sqref="E6:E204"/>
    </sheetView>
  </sheetViews>
  <sheetFormatPr defaultColWidth="9.109375" defaultRowHeight="15.6"/>
  <cols>
    <col min="1" max="1" width="9.109375" style="670"/>
    <col min="2" max="2" width="49.88671875" style="670" customWidth="1"/>
    <col min="3" max="4" width="11.33203125" style="670" customWidth="1"/>
    <col min="5" max="5" width="9.5546875" style="670" customWidth="1"/>
    <col min="6" max="6" width="9.109375" style="670"/>
    <col min="7" max="8" width="14.5546875" style="670" bestFit="1" customWidth="1"/>
    <col min="9" max="9" width="12.6640625" style="670" bestFit="1" customWidth="1"/>
    <col min="10" max="16384" width="9.109375" style="670"/>
  </cols>
  <sheetData>
    <row r="2" spans="1:9">
      <c r="B2" s="670" t="s">
        <v>2327</v>
      </c>
    </row>
    <row r="3" spans="1:9">
      <c r="C3" s="671">
        <f>C5+LC!C4</f>
        <v>1860744.6435439989</v>
      </c>
      <c r="D3" s="671">
        <f>D5+LC!D4</f>
        <v>1638712.662363</v>
      </c>
      <c r="E3" s="671">
        <f>E5+LC!E4</f>
        <v>135395.26669700001</v>
      </c>
      <c r="G3" s="672">
        <v>1643618.965935</v>
      </c>
      <c r="H3" s="672">
        <f>G3-D3</f>
        <v>4906.3035720000044</v>
      </c>
      <c r="I3" s="672"/>
    </row>
    <row r="4" spans="1:9" s="675" customFormat="1" ht="31.2">
      <c r="A4" s="687" t="s">
        <v>2</v>
      </c>
      <c r="B4" s="687" t="s">
        <v>2328</v>
      </c>
      <c r="C4" s="688" t="s">
        <v>1461</v>
      </c>
      <c r="D4" s="688" t="s">
        <v>1462</v>
      </c>
      <c r="E4" s="688" t="s">
        <v>2329</v>
      </c>
    </row>
    <row r="5" spans="1:9" s="675" customFormat="1">
      <c r="A5" s="691"/>
      <c r="B5" s="691" t="s">
        <v>355</v>
      </c>
      <c r="C5" s="692">
        <f>SUM(C6:C204)</f>
        <v>1494502.0889789991</v>
      </c>
      <c r="D5" s="692">
        <f t="shared" ref="D5:E5" si="0">SUM(D6:D204)</f>
        <v>1293329.1077980001</v>
      </c>
      <c r="E5" s="692">
        <f t="shared" si="0"/>
        <v>113098.266697</v>
      </c>
    </row>
    <row r="6" spans="1:9" s="675" customFormat="1">
      <c r="A6" s="676">
        <v>1</v>
      </c>
      <c r="B6" s="677" t="s">
        <v>2330</v>
      </c>
      <c r="C6" s="678">
        <v>5610</v>
      </c>
      <c r="D6" s="678">
        <v>5587.857771</v>
      </c>
      <c r="E6" s="678">
        <v>0</v>
      </c>
      <c r="F6" s="679"/>
    </row>
    <row r="7" spans="1:9" s="675" customFormat="1">
      <c r="A7" s="676">
        <v>2</v>
      </c>
      <c r="B7" s="677" t="s">
        <v>1623</v>
      </c>
      <c r="C7" s="678">
        <v>16539.599999999999</v>
      </c>
      <c r="D7" s="678">
        <v>16534.64</v>
      </c>
      <c r="E7" s="678">
        <v>4.96</v>
      </c>
      <c r="F7" s="679"/>
    </row>
    <row r="8" spans="1:9" s="675" customFormat="1">
      <c r="A8" s="676">
        <v>3</v>
      </c>
      <c r="B8" s="677" t="s">
        <v>2331</v>
      </c>
      <c r="C8" s="678">
        <v>28035.936335999999</v>
      </c>
      <c r="D8" s="678">
        <v>23443.646519999998</v>
      </c>
      <c r="E8" s="678">
        <v>3945.766588</v>
      </c>
      <c r="F8" s="679"/>
    </row>
    <row r="9" spans="1:9" s="675" customFormat="1">
      <c r="A9" s="676">
        <v>4</v>
      </c>
      <c r="B9" s="677" t="s">
        <v>2335</v>
      </c>
      <c r="C9" s="678">
        <v>10169.481103</v>
      </c>
      <c r="D9" s="678">
        <v>9508.5479400000004</v>
      </c>
      <c r="E9" s="678">
        <v>309.562363</v>
      </c>
      <c r="F9" s="679"/>
    </row>
    <row r="10" spans="1:9" s="675" customFormat="1">
      <c r="A10" s="676">
        <v>5</v>
      </c>
      <c r="B10" s="677" t="s">
        <v>1922</v>
      </c>
      <c r="C10" s="678">
        <v>20702.964500999999</v>
      </c>
      <c r="D10" s="678">
        <v>14995.780761</v>
      </c>
      <c r="E10" s="678">
        <v>3190.8821560000001</v>
      </c>
      <c r="F10" s="679"/>
    </row>
    <row r="11" spans="1:9" s="675" customFormat="1">
      <c r="A11" s="676">
        <v>6</v>
      </c>
      <c r="B11" s="677" t="s">
        <v>1628</v>
      </c>
      <c r="C11" s="678">
        <v>32362.955000000002</v>
      </c>
      <c r="D11" s="678">
        <v>28477.640158999999</v>
      </c>
      <c r="E11" s="678">
        <v>80</v>
      </c>
      <c r="F11" s="679"/>
    </row>
    <row r="12" spans="1:9" s="675" customFormat="1">
      <c r="A12" s="676">
        <v>7</v>
      </c>
      <c r="B12" s="677" t="s">
        <v>1563</v>
      </c>
      <c r="C12" s="678">
        <v>7648</v>
      </c>
      <c r="D12" s="678">
        <v>7195.7435999999998</v>
      </c>
      <c r="E12" s="678">
        <v>280.8</v>
      </c>
      <c r="F12" s="679"/>
    </row>
    <row r="13" spans="1:9" s="675" customFormat="1">
      <c r="A13" s="676">
        <v>8</v>
      </c>
      <c r="B13" s="677" t="s">
        <v>473</v>
      </c>
      <c r="C13" s="678">
        <v>23953.111499999999</v>
      </c>
      <c r="D13" s="678">
        <v>18829.849831</v>
      </c>
      <c r="E13" s="678">
        <v>305.65275300000002</v>
      </c>
      <c r="F13" s="679"/>
    </row>
    <row r="14" spans="1:9" s="675" customFormat="1">
      <c r="A14" s="676">
        <v>9</v>
      </c>
      <c r="B14" s="677" t="s">
        <v>2332</v>
      </c>
      <c r="C14" s="678">
        <v>7499.0190000000002</v>
      </c>
      <c r="D14" s="678">
        <v>7170.4374600000001</v>
      </c>
      <c r="E14" s="678">
        <v>120</v>
      </c>
      <c r="F14" s="679"/>
    </row>
    <row r="15" spans="1:9" s="675" customFormat="1">
      <c r="A15" s="676">
        <v>10</v>
      </c>
      <c r="B15" s="677" t="s">
        <v>1925</v>
      </c>
      <c r="C15" s="678">
        <v>10278.425999999999</v>
      </c>
      <c r="D15" s="678">
        <v>10278.425999999999</v>
      </c>
      <c r="E15" s="678">
        <v>0</v>
      </c>
      <c r="F15" s="679"/>
    </row>
    <row r="16" spans="1:9" s="675" customFormat="1">
      <c r="A16" s="676">
        <v>11</v>
      </c>
      <c r="B16" s="677" t="s">
        <v>1926</v>
      </c>
      <c r="C16" s="678">
        <v>31413.424369</v>
      </c>
      <c r="D16" s="678">
        <v>28670.379859000001</v>
      </c>
      <c r="E16" s="678">
        <v>228.31100000000001</v>
      </c>
      <c r="F16" s="679"/>
    </row>
    <row r="17" spans="1:6" s="675" customFormat="1">
      <c r="A17" s="676">
        <v>12</v>
      </c>
      <c r="B17" s="677" t="s">
        <v>2333</v>
      </c>
      <c r="C17" s="678">
        <v>7846.7640000000001</v>
      </c>
      <c r="D17" s="678">
        <v>5879.28964</v>
      </c>
      <c r="E17" s="678">
        <v>36.304324000000001</v>
      </c>
      <c r="F17" s="679"/>
    </row>
    <row r="18" spans="1:6" s="675" customFormat="1">
      <c r="A18" s="676">
        <v>13</v>
      </c>
      <c r="B18" s="677" t="s">
        <v>1629</v>
      </c>
      <c r="C18" s="678">
        <v>4707.6080000000002</v>
      </c>
      <c r="D18" s="678">
        <v>4684.7781999999997</v>
      </c>
      <c r="E18" s="678">
        <v>0</v>
      </c>
      <c r="F18" s="679"/>
    </row>
    <row r="19" spans="1:6" s="675" customFormat="1">
      <c r="A19" s="676">
        <v>14</v>
      </c>
      <c r="B19" s="677" t="s">
        <v>2334</v>
      </c>
      <c r="C19" s="678">
        <v>19290.099999999999</v>
      </c>
      <c r="D19" s="678">
        <v>18816.438644000002</v>
      </c>
      <c r="E19" s="678">
        <v>254.203025</v>
      </c>
      <c r="F19" s="679"/>
    </row>
    <row r="20" spans="1:6" s="675" customFormat="1">
      <c r="A20" s="676">
        <v>15</v>
      </c>
      <c r="B20" s="677" t="s">
        <v>1613</v>
      </c>
      <c r="C20" s="678">
        <v>5937.4</v>
      </c>
      <c r="D20" s="678">
        <v>5468.1832969999996</v>
      </c>
      <c r="E20" s="678">
        <v>0</v>
      </c>
      <c r="F20" s="679"/>
    </row>
    <row r="21" spans="1:6" s="675" customFormat="1">
      <c r="A21" s="676">
        <v>16</v>
      </c>
      <c r="B21" s="677" t="s">
        <v>465</v>
      </c>
      <c r="C21" s="678">
        <v>50838.05</v>
      </c>
      <c r="D21" s="678">
        <v>19500.225311999999</v>
      </c>
      <c r="E21" s="678">
        <v>30052.213</v>
      </c>
      <c r="F21" s="679"/>
    </row>
    <row r="22" spans="1:6" s="675" customFormat="1">
      <c r="A22" s="676">
        <v>55</v>
      </c>
      <c r="B22" s="677" t="s">
        <v>2363</v>
      </c>
      <c r="C22" s="678">
        <v>17490.098999999998</v>
      </c>
      <c r="D22" s="678">
        <v>11309.099</v>
      </c>
      <c r="E22" s="678">
        <v>6181</v>
      </c>
      <c r="F22" s="679"/>
    </row>
    <row r="23" spans="1:6" s="675" customFormat="1">
      <c r="A23" s="676">
        <v>17</v>
      </c>
      <c r="B23" s="680" t="s">
        <v>2336</v>
      </c>
      <c r="C23" s="681">
        <v>8648</v>
      </c>
      <c r="D23" s="681">
        <v>8638.0609999999997</v>
      </c>
      <c r="E23" s="681">
        <v>0</v>
      </c>
      <c r="F23" s="679"/>
    </row>
    <row r="24" spans="1:6" s="675" customFormat="1" ht="30">
      <c r="A24" s="676">
        <v>18</v>
      </c>
      <c r="B24" s="677" t="s">
        <v>2337</v>
      </c>
      <c r="C24" s="678">
        <v>12632.6</v>
      </c>
      <c r="D24" s="678">
        <v>12344.519</v>
      </c>
      <c r="E24" s="678">
        <v>0</v>
      </c>
      <c r="F24" s="679"/>
    </row>
    <row r="25" spans="1:6" s="675" customFormat="1" ht="30">
      <c r="A25" s="676">
        <v>19</v>
      </c>
      <c r="B25" s="677" t="s">
        <v>2338</v>
      </c>
      <c r="C25" s="678">
        <v>4365</v>
      </c>
      <c r="D25" s="678">
        <v>4362.192</v>
      </c>
      <c r="E25" s="678">
        <v>0</v>
      </c>
      <c r="F25" s="679"/>
    </row>
    <row r="26" spans="1:6" s="675" customFormat="1">
      <c r="A26" s="676">
        <v>20</v>
      </c>
      <c r="B26" s="677" t="s">
        <v>2339</v>
      </c>
      <c r="C26" s="678">
        <v>270</v>
      </c>
      <c r="D26" s="678">
        <v>270</v>
      </c>
      <c r="E26" s="678">
        <v>0</v>
      </c>
      <c r="F26" s="679"/>
    </row>
    <row r="27" spans="1:6" s="675" customFormat="1">
      <c r="A27" s="676">
        <v>21</v>
      </c>
      <c r="B27" s="677" t="s">
        <v>1476</v>
      </c>
      <c r="C27" s="678">
        <v>11927.4</v>
      </c>
      <c r="D27" s="678">
        <v>11860.238450999999</v>
      </c>
      <c r="E27" s="678">
        <v>0</v>
      </c>
      <c r="F27" s="679"/>
    </row>
    <row r="28" spans="1:6" s="675" customFormat="1">
      <c r="A28" s="676">
        <v>22</v>
      </c>
      <c r="B28" s="677" t="s">
        <v>1552</v>
      </c>
      <c r="C28" s="678">
        <v>174</v>
      </c>
      <c r="D28" s="678">
        <v>174</v>
      </c>
      <c r="E28" s="678">
        <v>0</v>
      </c>
      <c r="F28" s="679"/>
    </row>
    <row r="29" spans="1:6" s="675" customFormat="1">
      <c r="A29" s="676">
        <v>23</v>
      </c>
      <c r="B29" s="677" t="s">
        <v>1553</v>
      </c>
      <c r="C29" s="678">
        <v>13297.144</v>
      </c>
      <c r="D29" s="678">
        <v>13035.5175</v>
      </c>
      <c r="E29" s="678">
        <v>259.68</v>
      </c>
      <c r="F29" s="679"/>
    </row>
    <row r="30" spans="1:6" s="675" customFormat="1">
      <c r="A30" s="676">
        <v>24</v>
      </c>
      <c r="B30" s="677" t="s">
        <v>1554</v>
      </c>
      <c r="C30" s="678">
        <v>9648.6015439999992</v>
      </c>
      <c r="D30" s="678">
        <v>9354.3345439999994</v>
      </c>
      <c r="E30" s="678">
        <v>217.08799999999999</v>
      </c>
      <c r="F30" s="679"/>
    </row>
    <row r="31" spans="1:6" s="675" customFormat="1">
      <c r="A31" s="676">
        <v>25</v>
      </c>
      <c r="B31" s="677" t="s">
        <v>1555</v>
      </c>
      <c r="C31" s="678">
        <v>10265.341289</v>
      </c>
      <c r="D31" s="678">
        <v>10254.137289</v>
      </c>
      <c r="E31" s="678">
        <v>0</v>
      </c>
      <c r="F31" s="679"/>
    </row>
    <row r="32" spans="1:6" s="675" customFormat="1">
      <c r="A32" s="676">
        <v>26</v>
      </c>
      <c r="B32" s="677" t="s">
        <v>2340</v>
      </c>
      <c r="C32" s="678">
        <v>4674.1509999999998</v>
      </c>
      <c r="D32" s="678">
        <v>4672.8509999999997</v>
      </c>
      <c r="E32" s="678">
        <v>0</v>
      </c>
      <c r="F32" s="679"/>
    </row>
    <row r="33" spans="1:6" s="675" customFormat="1">
      <c r="A33" s="676">
        <v>27</v>
      </c>
      <c r="B33" s="677" t="s">
        <v>2341</v>
      </c>
      <c r="C33" s="678">
        <v>19244.305</v>
      </c>
      <c r="D33" s="678">
        <v>17731.562688000002</v>
      </c>
      <c r="E33" s="678">
        <v>1291.217451</v>
      </c>
      <c r="F33" s="679"/>
    </row>
    <row r="34" spans="1:6" s="675" customFormat="1">
      <c r="A34" s="676">
        <v>28</v>
      </c>
      <c r="B34" s="677" t="s">
        <v>2342</v>
      </c>
      <c r="C34" s="678">
        <v>6933.3577130000003</v>
      </c>
      <c r="D34" s="678">
        <v>6814.3828089999997</v>
      </c>
      <c r="E34" s="678">
        <v>117.461304</v>
      </c>
      <c r="F34" s="679"/>
    </row>
    <row r="35" spans="1:6" s="675" customFormat="1">
      <c r="A35" s="676">
        <v>29</v>
      </c>
      <c r="B35" s="677" t="s">
        <v>2343</v>
      </c>
      <c r="C35" s="678">
        <v>13165.032836</v>
      </c>
      <c r="D35" s="678">
        <v>13004.0304</v>
      </c>
      <c r="E35" s="678">
        <v>0</v>
      </c>
      <c r="F35" s="679"/>
    </row>
    <row r="36" spans="1:6" s="675" customFormat="1">
      <c r="A36" s="676">
        <v>30</v>
      </c>
      <c r="B36" s="677" t="s">
        <v>1556</v>
      </c>
      <c r="C36" s="678">
        <v>1285.9671639999999</v>
      </c>
      <c r="D36" s="678">
        <v>1285.9671639999999</v>
      </c>
      <c r="E36" s="678">
        <v>0</v>
      </c>
      <c r="F36" s="679"/>
    </row>
    <row r="37" spans="1:6" s="675" customFormat="1" ht="30">
      <c r="A37" s="676">
        <v>31</v>
      </c>
      <c r="B37" s="677" t="s">
        <v>2344</v>
      </c>
      <c r="C37" s="678">
        <v>5748.143</v>
      </c>
      <c r="D37" s="678">
        <v>5737.6253999999999</v>
      </c>
      <c r="E37" s="678">
        <v>0</v>
      </c>
      <c r="F37" s="679"/>
    </row>
    <row r="38" spans="1:6" s="675" customFormat="1">
      <c r="A38" s="676">
        <v>32</v>
      </c>
      <c r="B38" s="677" t="s">
        <v>2345</v>
      </c>
      <c r="C38" s="678">
        <v>2361.6</v>
      </c>
      <c r="D38" s="678">
        <v>2296.901034</v>
      </c>
      <c r="E38" s="678">
        <v>0</v>
      </c>
      <c r="F38" s="679"/>
    </row>
    <row r="39" spans="1:6" s="675" customFormat="1">
      <c r="A39" s="676">
        <v>33</v>
      </c>
      <c r="B39" s="677" t="s">
        <v>1969</v>
      </c>
      <c r="C39" s="678">
        <v>1985</v>
      </c>
      <c r="D39" s="678">
        <v>1952.11851</v>
      </c>
      <c r="E39" s="678">
        <v>0</v>
      </c>
      <c r="F39" s="679"/>
    </row>
    <row r="40" spans="1:6" s="675" customFormat="1">
      <c r="A40" s="676">
        <v>34</v>
      </c>
      <c r="B40" s="677" t="s">
        <v>2346</v>
      </c>
      <c r="C40" s="678">
        <v>16148.894294</v>
      </c>
      <c r="D40" s="678">
        <v>15833.37528</v>
      </c>
      <c r="E40" s="678">
        <v>0</v>
      </c>
      <c r="F40" s="679"/>
    </row>
    <row r="41" spans="1:6" s="675" customFormat="1">
      <c r="A41" s="676">
        <v>35</v>
      </c>
      <c r="B41" s="677" t="s">
        <v>2347</v>
      </c>
      <c r="C41" s="678">
        <v>6504.4412490000004</v>
      </c>
      <c r="D41" s="678">
        <v>6494.2312490000004</v>
      </c>
      <c r="E41" s="678">
        <v>0</v>
      </c>
      <c r="F41" s="679"/>
    </row>
    <row r="42" spans="1:6" s="675" customFormat="1" ht="30">
      <c r="A42" s="676">
        <v>36</v>
      </c>
      <c r="B42" s="677" t="s">
        <v>2348</v>
      </c>
      <c r="C42" s="678">
        <v>741.1</v>
      </c>
      <c r="D42" s="678">
        <v>741.1</v>
      </c>
      <c r="E42" s="678">
        <v>0</v>
      </c>
      <c r="F42" s="679"/>
    </row>
    <row r="43" spans="1:6" s="675" customFormat="1" ht="30">
      <c r="A43" s="676">
        <v>37</v>
      </c>
      <c r="B43" s="677" t="s">
        <v>2349</v>
      </c>
      <c r="C43" s="678">
        <v>1257.2908319999999</v>
      </c>
      <c r="D43" s="678">
        <v>1257.2908319999999</v>
      </c>
      <c r="E43" s="678">
        <v>0</v>
      </c>
      <c r="F43" s="679"/>
    </row>
    <row r="44" spans="1:6" s="675" customFormat="1">
      <c r="A44" s="676">
        <v>38</v>
      </c>
      <c r="B44" s="677" t="s">
        <v>2350</v>
      </c>
      <c r="C44" s="678">
        <v>1977</v>
      </c>
      <c r="D44" s="678">
        <v>1854.1733650000001</v>
      </c>
      <c r="E44" s="678">
        <v>0</v>
      </c>
      <c r="F44" s="679"/>
    </row>
    <row r="45" spans="1:6" s="675" customFormat="1" ht="30">
      <c r="A45" s="676">
        <v>39</v>
      </c>
      <c r="B45" s="677" t="s">
        <v>2351</v>
      </c>
      <c r="C45" s="678">
        <v>12625.843000000001</v>
      </c>
      <c r="D45" s="678">
        <v>12034.001</v>
      </c>
      <c r="E45" s="678">
        <v>507.79199999999997</v>
      </c>
      <c r="F45" s="679"/>
    </row>
    <row r="46" spans="1:6" s="675" customFormat="1">
      <c r="A46" s="676">
        <v>40</v>
      </c>
      <c r="B46" s="677" t="s">
        <v>2352</v>
      </c>
      <c r="C46" s="678">
        <v>1608.8</v>
      </c>
      <c r="D46" s="678">
        <v>1608.6966179999999</v>
      </c>
      <c r="E46" s="678">
        <v>0</v>
      </c>
      <c r="F46" s="679"/>
    </row>
    <row r="47" spans="1:6" s="675" customFormat="1" ht="30">
      <c r="A47" s="676">
        <v>41</v>
      </c>
      <c r="B47" s="677" t="s">
        <v>2353</v>
      </c>
      <c r="C47" s="678">
        <v>724.92667700000004</v>
      </c>
      <c r="D47" s="678">
        <v>724.92667700000004</v>
      </c>
      <c r="E47" s="678">
        <v>0</v>
      </c>
      <c r="F47" s="679"/>
    </row>
    <row r="48" spans="1:6" s="675" customFormat="1">
      <c r="A48" s="676">
        <v>42</v>
      </c>
      <c r="B48" s="677" t="s">
        <v>2354</v>
      </c>
      <c r="C48" s="678">
        <v>5208.8999999999996</v>
      </c>
      <c r="D48" s="678">
        <v>5179.5434999999998</v>
      </c>
      <c r="E48" s="678">
        <v>0</v>
      </c>
      <c r="F48" s="679"/>
    </row>
    <row r="49" spans="1:6" s="675" customFormat="1">
      <c r="A49" s="676">
        <v>43</v>
      </c>
      <c r="B49" s="677" t="s">
        <v>2355</v>
      </c>
      <c r="C49" s="678">
        <v>1879.3400140000001</v>
      </c>
      <c r="D49" s="678">
        <v>1879.3400140000001</v>
      </c>
      <c r="E49" s="678">
        <v>0</v>
      </c>
      <c r="F49" s="679"/>
    </row>
    <row r="50" spans="1:6" s="675" customFormat="1">
      <c r="A50" s="676">
        <v>44</v>
      </c>
      <c r="B50" s="677" t="s">
        <v>1958</v>
      </c>
      <c r="C50" s="678">
        <v>15279.7</v>
      </c>
      <c r="D50" s="678">
        <v>11565</v>
      </c>
      <c r="E50" s="678">
        <v>0</v>
      </c>
      <c r="F50" s="679"/>
    </row>
    <row r="51" spans="1:6" s="675" customFormat="1">
      <c r="A51" s="676">
        <v>45</v>
      </c>
      <c r="B51" s="677" t="s">
        <v>1482</v>
      </c>
      <c r="C51" s="678">
        <v>1916.1590000000001</v>
      </c>
      <c r="D51" s="678">
        <v>1916.1590000000001</v>
      </c>
      <c r="E51" s="678">
        <v>0</v>
      </c>
      <c r="F51" s="679"/>
    </row>
    <row r="52" spans="1:6" s="675" customFormat="1">
      <c r="A52" s="676">
        <v>46</v>
      </c>
      <c r="B52" s="677" t="s">
        <v>2356</v>
      </c>
      <c r="C52" s="678">
        <v>372</v>
      </c>
      <c r="D52" s="678">
        <v>372</v>
      </c>
      <c r="E52" s="678">
        <v>0</v>
      </c>
      <c r="F52" s="679"/>
    </row>
    <row r="53" spans="1:6" s="675" customFormat="1">
      <c r="A53" s="676">
        <v>47</v>
      </c>
      <c r="B53" s="677" t="s">
        <v>1484</v>
      </c>
      <c r="C53" s="678">
        <v>2768.2779999999998</v>
      </c>
      <c r="D53" s="678">
        <v>2768.2779999999998</v>
      </c>
      <c r="E53" s="678">
        <v>0</v>
      </c>
      <c r="F53" s="679"/>
    </row>
    <row r="54" spans="1:6" s="675" customFormat="1">
      <c r="A54" s="676">
        <v>48</v>
      </c>
      <c r="B54" s="677" t="s">
        <v>2357</v>
      </c>
      <c r="C54" s="678">
        <v>3131</v>
      </c>
      <c r="D54" s="678">
        <v>3131</v>
      </c>
      <c r="E54" s="678">
        <v>0</v>
      </c>
      <c r="F54" s="679"/>
    </row>
    <row r="55" spans="1:6" s="675" customFormat="1">
      <c r="A55" s="676">
        <v>49</v>
      </c>
      <c r="B55" s="677" t="s">
        <v>2358</v>
      </c>
      <c r="C55" s="678">
        <v>4482.4052920000004</v>
      </c>
      <c r="D55" s="678">
        <v>4234.5924059999998</v>
      </c>
      <c r="E55" s="678">
        <v>247.81288599999999</v>
      </c>
      <c r="F55" s="679"/>
    </row>
    <row r="56" spans="1:6" s="675" customFormat="1">
      <c r="A56" s="676">
        <v>50</v>
      </c>
      <c r="B56" s="677" t="s">
        <v>2359</v>
      </c>
      <c r="C56" s="678">
        <v>2599.8739999999998</v>
      </c>
      <c r="D56" s="678">
        <v>2558.817</v>
      </c>
      <c r="E56" s="678">
        <v>0</v>
      </c>
      <c r="F56" s="679"/>
    </row>
    <row r="57" spans="1:6" s="675" customFormat="1">
      <c r="A57" s="676">
        <v>51</v>
      </c>
      <c r="B57" s="677" t="s">
        <v>2360</v>
      </c>
      <c r="C57" s="678">
        <v>1127.0670419999999</v>
      </c>
      <c r="D57" s="678">
        <v>1127.0670419999999</v>
      </c>
      <c r="E57" s="678">
        <v>0</v>
      </c>
      <c r="F57" s="679"/>
    </row>
    <row r="58" spans="1:6" s="675" customFormat="1">
      <c r="A58" s="676">
        <v>52</v>
      </c>
      <c r="B58" s="677" t="s">
        <v>2361</v>
      </c>
      <c r="C58" s="678">
        <v>12245.18</v>
      </c>
      <c r="D58" s="678">
        <v>12073.090131999999</v>
      </c>
      <c r="E58" s="678">
        <v>154.108</v>
      </c>
      <c r="F58" s="679"/>
    </row>
    <row r="59" spans="1:6" s="675" customFormat="1" ht="30">
      <c r="A59" s="676">
        <v>53</v>
      </c>
      <c r="B59" s="677" t="s">
        <v>2362</v>
      </c>
      <c r="C59" s="678">
        <v>13452.7</v>
      </c>
      <c r="D59" s="678">
        <v>13416.308230000001</v>
      </c>
      <c r="E59" s="678">
        <v>0</v>
      </c>
      <c r="F59" s="679"/>
    </row>
    <row r="60" spans="1:6" s="675" customFormat="1">
      <c r="A60" s="676">
        <v>54</v>
      </c>
      <c r="B60" s="677" t="s">
        <v>1578</v>
      </c>
      <c r="C60" s="678">
        <v>24966.489615999999</v>
      </c>
      <c r="D60" s="678">
        <v>24439.348537000002</v>
      </c>
      <c r="E60" s="678">
        <v>0</v>
      </c>
      <c r="F60" s="679"/>
    </row>
    <row r="61" spans="1:6" s="675" customFormat="1">
      <c r="A61" s="676">
        <v>56</v>
      </c>
      <c r="B61" s="677" t="s">
        <v>1579</v>
      </c>
      <c r="C61" s="678">
        <v>1386</v>
      </c>
      <c r="D61" s="678">
        <v>1255.2935</v>
      </c>
      <c r="E61" s="678">
        <v>0</v>
      </c>
      <c r="F61" s="679"/>
    </row>
    <row r="62" spans="1:6" s="675" customFormat="1">
      <c r="A62" s="676">
        <v>57</v>
      </c>
      <c r="B62" s="677" t="s">
        <v>2364</v>
      </c>
      <c r="C62" s="678">
        <v>4943.4610000000002</v>
      </c>
      <c r="D62" s="678">
        <v>4700.3407790000001</v>
      </c>
      <c r="E62" s="678">
        <v>0</v>
      </c>
      <c r="F62" s="679"/>
    </row>
    <row r="63" spans="1:6" s="675" customFormat="1" ht="30">
      <c r="A63" s="676">
        <v>58</v>
      </c>
      <c r="B63" s="677" t="s">
        <v>2365</v>
      </c>
      <c r="C63" s="678">
        <v>2345.5030000000002</v>
      </c>
      <c r="D63" s="678">
        <v>2345.5030000000002</v>
      </c>
      <c r="E63" s="678">
        <v>0</v>
      </c>
      <c r="F63" s="679"/>
    </row>
    <row r="64" spans="1:6" s="675" customFormat="1">
      <c r="A64" s="676">
        <v>59</v>
      </c>
      <c r="B64" s="677" t="s">
        <v>2366</v>
      </c>
      <c r="C64" s="678">
        <v>5388.4970000000003</v>
      </c>
      <c r="D64" s="678">
        <v>5388.4970000000003</v>
      </c>
      <c r="E64" s="678">
        <v>0</v>
      </c>
      <c r="F64" s="679"/>
    </row>
    <row r="65" spans="1:6" s="675" customFormat="1">
      <c r="A65" s="676">
        <v>60</v>
      </c>
      <c r="B65" s="677" t="s">
        <v>2367</v>
      </c>
      <c r="C65" s="678">
        <v>1274.45856</v>
      </c>
      <c r="D65" s="678">
        <v>1274.45856</v>
      </c>
      <c r="E65" s="678">
        <v>0</v>
      </c>
      <c r="F65" s="679"/>
    </row>
    <row r="66" spans="1:6" s="675" customFormat="1">
      <c r="A66" s="676">
        <v>61</v>
      </c>
      <c r="B66" s="677" t="s">
        <v>1904</v>
      </c>
      <c r="C66" s="678">
        <v>2222</v>
      </c>
      <c r="D66" s="678">
        <v>2222</v>
      </c>
      <c r="E66" s="678">
        <v>0</v>
      </c>
      <c r="F66" s="679"/>
    </row>
    <row r="67" spans="1:6" s="675" customFormat="1">
      <c r="A67" s="676">
        <v>62</v>
      </c>
      <c r="B67" s="677" t="s">
        <v>2368</v>
      </c>
      <c r="C67" s="678">
        <v>2759.3942740000002</v>
      </c>
      <c r="D67" s="678">
        <v>2707.5463030000001</v>
      </c>
      <c r="E67" s="678">
        <v>0</v>
      </c>
      <c r="F67" s="679"/>
    </row>
    <row r="68" spans="1:6" s="675" customFormat="1">
      <c r="A68" s="676">
        <v>63</v>
      </c>
      <c r="B68" s="677" t="s">
        <v>2369</v>
      </c>
      <c r="C68" s="678">
        <v>6203.2</v>
      </c>
      <c r="D68" s="678">
        <v>6019.4917999999998</v>
      </c>
      <c r="E68" s="678">
        <v>0</v>
      </c>
      <c r="F68" s="679"/>
    </row>
    <row r="69" spans="1:6" s="675" customFormat="1">
      <c r="A69" s="676">
        <v>64</v>
      </c>
      <c r="B69" s="677" t="s">
        <v>2370</v>
      </c>
      <c r="C69" s="678">
        <v>2561</v>
      </c>
      <c r="D69" s="678">
        <v>2561</v>
      </c>
      <c r="E69" s="678">
        <v>0</v>
      </c>
      <c r="F69" s="679"/>
    </row>
    <row r="70" spans="1:6" s="675" customFormat="1" ht="30">
      <c r="A70" s="676">
        <v>65</v>
      </c>
      <c r="B70" s="677" t="s">
        <v>2371</v>
      </c>
      <c r="C70" s="678">
        <v>8691</v>
      </c>
      <c r="D70" s="678">
        <v>8690.2000000000007</v>
      </c>
      <c r="E70" s="678">
        <v>0</v>
      </c>
      <c r="F70" s="679"/>
    </row>
    <row r="71" spans="1:6" s="675" customFormat="1">
      <c r="A71" s="676">
        <v>66</v>
      </c>
      <c r="B71" s="677" t="s">
        <v>2372</v>
      </c>
      <c r="C71" s="678">
        <v>10355.5</v>
      </c>
      <c r="D71" s="678">
        <v>10156.71255</v>
      </c>
      <c r="E71" s="678">
        <v>159.73599999999999</v>
      </c>
      <c r="F71" s="679"/>
    </row>
    <row r="72" spans="1:6" s="675" customFormat="1">
      <c r="A72" s="676">
        <v>67</v>
      </c>
      <c r="B72" s="677" t="s">
        <v>2373</v>
      </c>
      <c r="C72" s="678">
        <v>1691.1070649999999</v>
      </c>
      <c r="D72" s="678">
        <v>1691.1070649999999</v>
      </c>
      <c r="E72" s="678">
        <v>0</v>
      </c>
      <c r="F72" s="679"/>
    </row>
    <row r="73" spans="1:6" s="675" customFormat="1">
      <c r="A73" s="676">
        <v>68</v>
      </c>
      <c r="B73" s="677" t="s">
        <v>2374</v>
      </c>
      <c r="C73" s="678">
        <v>5401.2518680000003</v>
      </c>
      <c r="D73" s="678">
        <v>5249.6487459999998</v>
      </c>
      <c r="E73" s="678">
        <v>0</v>
      </c>
      <c r="F73" s="679"/>
    </row>
    <row r="74" spans="1:6" s="675" customFormat="1">
      <c r="A74" s="676">
        <v>69</v>
      </c>
      <c r="B74" s="677" t="s">
        <v>1486</v>
      </c>
      <c r="C74" s="678">
        <v>1614.7583770000001</v>
      </c>
      <c r="D74" s="678">
        <v>1614.7583770000001</v>
      </c>
      <c r="E74" s="678">
        <v>0</v>
      </c>
      <c r="F74" s="679"/>
    </row>
    <row r="75" spans="1:6" s="675" customFormat="1">
      <c r="A75" s="676">
        <v>70</v>
      </c>
      <c r="B75" s="677" t="s">
        <v>2375</v>
      </c>
      <c r="C75" s="678">
        <v>7237.5249459999995</v>
      </c>
      <c r="D75" s="678">
        <v>7237.5249459999995</v>
      </c>
      <c r="E75" s="678">
        <v>0</v>
      </c>
      <c r="F75" s="679"/>
    </row>
    <row r="76" spans="1:6" s="675" customFormat="1">
      <c r="A76" s="676">
        <v>71</v>
      </c>
      <c r="B76" s="677" t="s">
        <v>1487</v>
      </c>
      <c r="C76" s="678">
        <v>1383.0716970000001</v>
      </c>
      <c r="D76" s="678">
        <v>1161.7524969999999</v>
      </c>
      <c r="E76" s="678">
        <v>0</v>
      </c>
      <c r="F76" s="679"/>
    </row>
    <row r="77" spans="1:6" s="675" customFormat="1">
      <c r="A77" s="676">
        <v>72</v>
      </c>
      <c r="B77" s="677" t="s">
        <v>1588</v>
      </c>
      <c r="C77" s="678">
        <v>11838.8</v>
      </c>
      <c r="D77" s="678">
        <v>11335.2</v>
      </c>
      <c r="E77" s="678">
        <v>487.8</v>
      </c>
      <c r="F77" s="679"/>
    </row>
    <row r="78" spans="1:6" s="675" customFormat="1" ht="30">
      <c r="A78" s="676">
        <v>73</v>
      </c>
      <c r="B78" s="677" t="s">
        <v>1589</v>
      </c>
      <c r="C78" s="678">
        <v>8572</v>
      </c>
      <c r="D78" s="678">
        <v>8572</v>
      </c>
      <c r="E78" s="678">
        <v>0</v>
      </c>
      <c r="F78" s="679"/>
    </row>
    <row r="79" spans="1:6" s="675" customFormat="1">
      <c r="A79" s="676">
        <v>74</v>
      </c>
      <c r="B79" s="677" t="s">
        <v>2376</v>
      </c>
      <c r="C79" s="678">
        <v>5213</v>
      </c>
      <c r="D79" s="678">
        <v>5153.972874</v>
      </c>
      <c r="E79" s="678">
        <v>0</v>
      </c>
      <c r="F79" s="679"/>
    </row>
    <row r="80" spans="1:6" s="675" customFormat="1" ht="30">
      <c r="A80" s="676">
        <v>75</v>
      </c>
      <c r="B80" s="677" t="s">
        <v>2377</v>
      </c>
      <c r="C80" s="678">
        <v>10062.678</v>
      </c>
      <c r="D80" s="678">
        <v>9841.4483340000006</v>
      </c>
      <c r="E80" s="678">
        <v>121.663</v>
      </c>
      <c r="F80" s="679"/>
    </row>
    <row r="81" spans="1:6" s="675" customFormat="1">
      <c r="A81" s="676">
        <v>76</v>
      </c>
      <c r="B81" s="677" t="s">
        <v>2378</v>
      </c>
      <c r="C81" s="678">
        <v>180.9</v>
      </c>
      <c r="D81" s="678">
        <v>104</v>
      </c>
      <c r="E81" s="678">
        <v>76.900000000000006</v>
      </c>
      <c r="F81" s="679"/>
    </row>
    <row r="82" spans="1:6" s="675" customFormat="1">
      <c r="A82" s="676">
        <v>77</v>
      </c>
      <c r="B82" s="677" t="s">
        <v>2379</v>
      </c>
      <c r="C82" s="678">
        <v>4707.6000000000004</v>
      </c>
      <c r="D82" s="678">
        <v>4387.93</v>
      </c>
      <c r="E82" s="678">
        <v>250</v>
      </c>
      <c r="F82" s="679"/>
    </row>
    <row r="83" spans="1:6" s="675" customFormat="1" ht="30">
      <c r="A83" s="676">
        <v>78</v>
      </c>
      <c r="B83" s="677" t="s">
        <v>2380</v>
      </c>
      <c r="C83" s="678">
        <v>4453.6000000000004</v>
      </c>
      <c r="D83" s="678">
        <v>4333.6000000000004</v>
      </c>
      <c r="E83" s="678">
        <v>0</v>
      </c>
      <c r="F83" s="679"/>
    </row>
    <row r="84" spans="1:6" s="675" customFormat="1">
      <c r="A84" s="676">
        <v>79</v>
      </c>
      <c r="B84" s="677" t="s">
        <v>2381</v>
      </c>
      <c r="C84" s="678">
        <v>11942.856</v>
      </c>
      <c r="D84" s="678">
        <v>11873.290668</v>
      </c>
      <c r="E84" s="678">
        <v>35.5</v>
      </c>
      <c r="F84" s="679"/>
    </row>
    <row r="85" spans="1:6" s="675" customFormat="1">
      <c r="A85" s="676">
        <v>80</v>
      </c>
      <c r="B85" s="677" t="s">
        <v>1491</v>
      </c>
      <c r="C85" s="678">
        <v>6164.3991130000004</v>
      </c>
      <c r="D85" s="678">
        <v>6164.3917279999996</v>
      </c>
      <c r="E85" s="678">
        <v>0</v>
      </c>
      <c r="F85" s="679"/>
    </row>
    <row r="86" spans="1:6" s="675" customFormat="1">
      <c r="A86" s="676">
        <v>81</v>
      </c>
      <c r="B86" s="677" t="s">
        <v>2382</v>
      </c>
      <c r="C86" s="678">
        <v>13856.045077000001</v>
      </c>
      <c r="D86" s="678">
        <v>13118.352785999999</v>
      </c>
      <c r="E86" s="678">
        <v>2.2885550000000001</v>
      </c>
      <c r="F86" s="679"/>
    </row>
    <row r="87" spans="1:6" s="675" customFormat="1" ht="30">
      <c r="A87" s="676">
        <v>82</v>
      </c>
      <c r="B87" s="677" t="s">
        <v>2383</v>
      </c>
      <c r="C87" s="678">
        <v>3380</v>
      </c>
      <c r="D87" s="678">
        <v>3371.9023769999999</v>
      </c>
      <c r="E87" s="678">
        <v>0</v>
      </c>
      <c r="F87" s="679"/>
    </row>
    <row r="88" spans="1:6" s="675" customFormat="1">
      <c r="A88" s="676">
        <v>83</v>
      </c>
      <c r="B88" s="677" t="s">
        <v>2384</v>
      </c>
      <c r="C88" s="678">
        <v>10752.87</v>
      </c>
      <c r="D88" s="678">
        <v>10489.118947000001</v>
      </c>
      <c r="E88" s="678">
        <v>0</v>
      </c>
      <c r="F88" s="679"/>
    </row>
    <row r="89" spans="1:6" s="675" customFormat="1">
      <c r="A89" s="676">
        <v>84</v>
      </c>
      <c r="B89" s="677" t="s">
        <v>2385</v>
      </c>
      <c r="C89" s="678">
        <v>15077.461343999999</v>
      </c>
      <c r="D89" s="678">
        <v>13896.4912</v>
      </c>
      <c r="E89" s="678">
        <v>500</v>
      </c>
      <c r="F89" s="679"/>
    </row>
    <row r="90" spans="1:6" s="675" customFormat="1">
      <c r="A90" s="676">
        <v>85</v>
      </c>
      <c r="B90" s="677" t="s">
        <v>2386</v>
      </c>
      <c r="C90" s="678">
        <v>15304.295944</v>
      </c>
      <c r="D90" s="678">
        <v>14938.65238</v>
      </c>
      <c r="E90" s="678">
        <v>257.35594400000002</v>
      </c>
      <c r="F90" s="679"/>
    </row>
    <row r="91" spans="1:6" s="675" customFormat="1">
      <c r="A91" s="676">
        <v>86</v>
      </c>
      <c r="B91" s="677" t="s">
        <v>2387</v>
      </c>
      <c r="C91" s="678">
        <v>17728.097000000002</v>
      </c>
      <c r="D91" s="678">
        <v>15353.949031</v>
      </c>
      <c r="E91" s="678">
        <v>1200</v>
      </c>
      <c r="F91" s="679"/>
    </row>
    <row r="92" spans="1:6" s="675" customFormat="1">
      <c r="A92" s="676">
        <v>87</v>
      </c>
      <c r="B92" s="677" t="s">
        <v>2388</v>
      </c>
      <c r="C92" s="678">
        <v>10277.844999999999</v>
      </c>
      <c r="D92" s="678">
        <v>9905.5079999999998</v>
      </c>
      <c r="E92" s="678">
        <v>0</v>
      </c>
      <c r="F92" s="679"/>
    </row>
    <row r="93" spans="1:6" s="675" customFormat="1">
      <c r="A93" s="676">
        <v>88</v>
      </c>
      <c r="B93" s="677" t="s">
        <v>2389</v>
      </c>
      <c r="C93" s="678">
        <v>28948.901486999999</v>
      </c>
      <c r="D93" s="678">
        <v>28317.392114999999</v>
      </c>
      <c r="E93" s="678">
        <v>2.44</v>
      </c>
      <c r="F93" s="679"/>
    </row>
    <row r="94" spans="1:6" s="675" customFormat="1">
      <c r="A94" s="676">
        <v>89</v>
      </c>
      <c r="B94" s="677" t="s">
        <v>2390</v>
      </c>
      <c r="C94" s="678">
        <v>12106.946</v>
      </c>
      <c r="D94" s="678">
        <v>11482.476361000001</v>
      </c>
      <c r="E94" s="678">
        <v>93.127559000000005</v>
      </c>
      <c r="F94" s="679"/>
    </row>
    <row r="95" spans="1:6" s="675" customFormat="1">
      <c r="A95" s="676">
        <v>90</v>
      </c>
      <c r="B95" s="677" t="s">
        <v>1492</v>
      </c>
      <c r="C95" s="678">
        <v>959</v>
      </c>
      <c r="D95" s="678">
        <v>958.82825400000002</v>
      </c>
      <c r="E95" s="678">
        <v>0</v>
      </c>
      <c r="F95" s="679"/>
    </row>
    <row r="96" spans="1:6" s="675" customFormat="1">
      <c r="A96" s="676">
        <v>91</v>
      </c>
      <c r="B96" s="677" t="s">
        <v>2391</v>
      </c>
      <c r="C96" s="678">
        <v>5636.19</v>
      </c>
      <c r="D96" s="678">
        <v>5636.19</v>
      </c>
      <c r="E96" s="678">
        <v>0</v>
      </c>
      <c r="F96" s="679"/>
    </row>
    <row r="97" spans="1:6" s="675" customFormat="1">
      <c r="A97" s="676">
        <v>92</v>
      </c>
      <c r="B97" s="677" t="s">
        <v>2392</v>
      </c>
      <c r="C97" s="678">
        <v>2339.4499999999998</v>
      </c>
      <c r="D97" s="678">
        <v>1857.376096</v>
      </c>
      <c r="E97" s="678">
        <v>0</v>
      </c>
      <c r="F97" s="679"/>
    </row>
    <row r="98" spans="1:6" s="675" customFormat="1">
      <c r="A98" s="676">
        <v>93</v>
      </c>
      <c r="B98" s="677" t="s">
        <v>2393</v>
      </c>
      <c r="C98" s="678">
        <v>7143</v>
      </c>
      <c r="D98" s="678">
        <v>6607.3732760000003</v>
      </c>
      <c r="E98" s="678">
        <v>0</v>
      </c>
      <c r="F98" s="679"/>
    </row>
    <row r="99" spans="1:6" s="675" customFormat="1">
      <c r="A99" s="676">
        <v>94</v>
      </c>
      <c r="B99" s="677" t="s">
        <v>476</v>
      </c>
      <c r="C99" s="678">
        <v>7235</v>
      </c>
      <c r="D99" s="678">
        <v>7102.6887699999997</v>
      </c>
      <c r="E99" s="678">
        <v>106.26</v>
      </c>
      <c r="F99" s="679"/>
    </row>
    <row r="100" spans="1:6" s="675" customFormat="1">
      <c r="A100" s="676">
        <v>95</v>
      </c>
      <c r="B100" s="677" t="s">
        <v>2394</v>
      </c>
      <c r="C100" s="678">
        <v>48690.740619999997</v>
      </c>
      <c r="D100" s="678">
        <v>47216.530208999997</v>
      </c>
      <c r="E100" s="678">
        <v>0</v>
      </c>
      <c r="F100" s="679"/>
    </row>
    <row r="101" spans="1:6" s="675" customFormat="1">
      <c r="A101" s="676">
        <v>96</v>
      </c>
      <c r="B101" s="677" t="s">
        <v>2395</v>
      </c>
      <c r="C101" s="678">
        <v>14119.51</v>
      </c>
      <c r="D101" s="678">
        <v>13772.34081</v>
      </c>
      <c r="E101" s="678">
        <v>237.93199999999999</v>
      </c>
      <c r="F101" s="679"/>
    </row>
    <row r="102" spans="1:6" s="675" customFormat="1">
      <c r="A102" s="676">
        <v>97</v>
      </c>
      <c r="B102" s="677" t="s">
        <v>2396</v>
      </c>
      <c r="C102" s="678">
        <v>18057.587</v>
      </c>
      <c r="D102" s="678">
        <v>17351.067999999999</v>
      </c>
      <c r="E102" s="678">
        <v>535.32399999999996</v>
      </c>
      <c r="F102" s="679"/>
    </row>
    <row r="103" spans="1:6" s="675" customFormat="1">
      <c r="A103" s="676">
        <v>98</v>
      </c>
      <c r="B103" s="677" t="s">
        <v>2397</v>
      </c>
      <c r="C103" s="678">
        <v>13236.9</v>
      </c>
      <c r="D103" s="678">
        <v>13231.096</v>
      </c>
      <c r="E103" s="678">
        <v>0</v>
      </c>
      <c r="F103" s="679"/>
    </row>
    <row r="104" spans="1:6" s="675" customFormat="1">
      <c r="A104" s="676">
        <v>99</v>
      </c>
      <c r="B104" s="677" t="s">
        <v>1493</v>
      </c>
      <c r="C104" s="678">
        <v>5150.4830000000002</v>
      </c>
      <c r="D104" s="678">
        <v>4998.4179999999997</v>
      </c>
      <c r="E104" s="678">
        <v>0</v>
      </c>
      <c r="F104" s="679"/>
    </row>
    <row r="105" spans="1:6" s="675" customFormat="1">
      <c r="A105" s="676">
        <v>100</v>
      </c>
      <c r="B105" s="677" t="s">
        <v>2398</v>
      </c>
      <c r="C105" s="678">
        <v>2799</v>
      </c>
      <c r="D105" s="678">
        <v>2799</v>
      </c>
      <c r="E105" s="678">
        <v>0</v>
      </c>
      <c r="F105" s="679"/>
    </row>
    <row r="106" spans="1:6" s="675" customFormat="1">
      <c r="A106" s="676">
        <v>101</v>
      </c>
      <c r="B106" s="677" t="s">
        <v>1601</v>
      </c>
      <c r="C106" s="678">
        <v>11532.941728</v>
      </c>
      <c r="D106" s="678">
        <v>10992.885526</v>
      </c>
      <c r="E106" s="678">
        <v>0</v>
      </c>
      <c r="F106" s="679"/>
    </row>
    <row r="107" spans="1:6" s="675" customFormat="1">
      <c r="A107" s="676">
        <v>102</v>
      </c>
      <c r="B107" s="677" t="s">
        <v>2399</v>
      </c>
      <c r="C107" s="678">
        <v>26597.1</v>
      </c>
      <c r="D107" s="678">
        <v>26597.1</v>
      </c>
      <c r="E107" s="678">
        <v>0</v>
      </c>
      <c r="F107" s="679"/>
    </row>
    <row r="108" spans="1:6" s="675" customFormat="1">
      <c r="A108" s="676">
        <v>103</v>
      </c>
      <c r="B108" s="677" t="s">
        <v>2400</v>
      </c>
      <c r="C108" s="678">
        <v>50215.3</v>
      </c>
      <c r="D108" s="678">
        <v>43950.3</v>
      </c>
      <c r="E108" s="678">
        <v>4500</v>
      </c>
      <c r="F108" s="679"/>
    </row>
    <row r="109" spans="1:6" s="675" customFormat="1">
      <c r="A109" s="676">
        <v>104</v>
      </c>
      <c r="B109" s="677" t="s">
        <v>2401</v>
      </c>
      <c r="C109" s="678">
        <v>6458.2</v>
      </c>
      <c r="D109" s="678">
        <v>6235.3955999999998</v>
      </c>
      <c r="E109" s="678">
        <v>0</v>
      </c>
      <c r="F109" s="679"/>
    </row>
    <row r="110" spans="1:6" s="675" customFormat="1">
      <c r="A110" s="676">
        <v>105</v>
      </c>
      <c r="B110" s="677" t="s">
        <v>494</v>
      </c>
      <c r="C110" s="678">
        <v>1645.4190000000001</v>
      </c>
      <c r="D110" s="678">
        <v>1645.4190000000001</v>
      </c>
      <c r="E110" s="678">
        <v>0</v>
      </c>
      <c r="F110" s="679"/>
    </row>
    <row r="111" spans="1:6" s="675" customFormat="1" ht="30">
      <c r="A111" s="676">
        <v>106</v>
      </c>
      <c r="B111" s="677" t="s">
        <v>2402</v>
      </c>
      <c r="C111" s="678">
        <v>2563.5390000000002</v>
      </c>
      <c r="D111" s="678">
        <v>2550.951</v>
      </c>
      <c r="E111" s="678">
        <v>0</v>
      </c>
      <c r="F111" s="679"/>
    </row>
    <row r="112" spans="1:6" s="675" customFormat="1">
      <c r="A112" s="676">
        <v>107</v>
      </c>
      <c r="B112" s="677" t="s">
        <v>1495</v>
      </c>
      <c r="C112" s="678">
        <v>11018.033347000001</v>
      </c>
      <c r="D112" s="678">
        <v>10437.505347</v>
      </c>
      <c r="E112" s="678">
        <v>339.76799999999997</v>
      </c>
      <c r="F112" s="679"/>
    </row>
    <row r="113" spans="1:6" s="675" customFormat="1">
      <c r="A113" s="676">
        <v>108</v>
      </c>
      <c r="B113" s="677" t="s">
        <v>1496</v>
      </c>
      <c r="C113" s="678">
        <v>1223.2380000000001</v>
      </c>
      <c r="D113" s="678">
        <v>1223.2380000000001</v>
      </c>
      <c r="E113" s="678">
        <v>0</v>
      </c>
      <c r="F113" s="679"/>
    </row>
    <row r="114" spans="1:6" s="675" customFormat="1">
      <c r="A114" s="676">
        <v>109</v>
      </c>
      <c r="B114" s="677" t="s">
        <v>2403</v>
      </c>
      <c r="C114" s="678">
        <v>17328.416256</v>
      </c>
      <c r="D114" s="678">
        <v>15787.459067</v>
      </c>
      <c r="E114" s="678">
        <v>1000</v>
      </c>
      <c r="F114" s="679"/>
    </row>
    <row r="115" spans="1:6" s="675" customFormat="1">
      <c r="A115" s="676">
        <v>110</v>
      </c>
      <c r="B115" s="677" t="s">
        <v>1497</v>
      </c>
      <c r="C115" s="678">
        <v>2991</v>
      </c>
      <c r="D115" s="678">
        <v>2990.3</v>
      </c>
      <c r="E115" s="678">
        <v>0</v>
      </c>
      <c r="F115" s="679"/>
    </row>
    <row r="116" spans="1:6" s="675" customFormat="1" ht="30">
      <c r="A116" s="676">
        <v>111</v>
      </c>
      <c r="B116" s="677" t="s">
        <v>2404</v>
      </c>
      <c r="C116" s="678">
        <v>6555.8</v>
      </c>
      <c r="D116" s="678">
        <v>6545.0550000000003</v>
      </c>
      <c r="E116" s="678">
        <v>0</v>
      </c>
      <c r="F116" s="679"/>
    </row>
    <row r="117" spans="1:6" s="675" customFormat="1" ht="30">
      <c r="A117" s="676">
        <v>112</v>
      </c>
      <c r="B117" s="677" t="s">
        <v>2405</v>
      </c>
      <c r="C117" s="678">
        <v>767.18320000000006</v>
      </c>
      <c r="D117" s="678">
        <v>767.18320000000006</v>
      </c>
      <c r="E117" s="678">
        <v>0</v>
      </c>
      <c r="F117" s="679"/>
    </row>
    <row r="118" spans="1:6" s="675" customFormat="1">
      <c r="A118" s="676">
        <v>113</v>
      </c>
      <c r="B118" s="677" t="s">
        <v>2406</v>
      </c>
      <c r="C118" s="678">
        <v>1735</v>
      </c>
      <c r="D118" s="678">
        <v>1699.8887199999999</v>
      </c>
      <c r="E118" s="678">
        <v>0</v>
      </c>
      <c r="F118" s="679"/>
    </row>
    <row r="119" spans="1:6" s="675" customFormat="1">
      <c r="A119" s="676">
        <v>114</v>
      </c>
      <c r="B119" s="677" t="s">
        <v>2407</v>
      </c>
      <c r="C119" s="678">
        <v>7690.66</v>
      </c>
      <c r="D119" s="678">
        <v>7690.66</v>
      </c>
      <c r="E119" s="678">
        <v>0</v>
      </c>
      <c r="F119" s="679"/>
    </row>
    <row r="120" spans="1:6" s="675" customFormat="1">
      <c r="A120" s="676">
        <v>115</v>
      </c>
      <c r="B120" s="677" t="s">
        <v>2408</v>
      </c>
      <c r="C120" s="678">
        <v>9423.8727839999992</v>
      </c>
      <c r="D120" s="678">
        <v>7801.053766</v>
      </c>
      <c r="E120" s="678">
        <v>1096.4545800000001</v>
      </c>
      <c r="F120" s="679"/>
    </row>
    <row r="121" spans="1:6" s="675" customFormat="1">
      <c r="A121" s="676">
        <v>116</v>
      </c>
      <c r="B121" s="677" t="s">
        <v>2409</v>
      </c>
      <c r="C121" s="678">
        <v>426</v>
      </c>
      <c r="D121" s="678">
        <v>426</v>
      </c>
      <c r="E121" s="678">
        <v>0</v>
      </c>
      <c r="F121" s="679"/>
    </row>
    <row r="122" spans="1:6" s="675" customFormat="1">
      <c r="A122" s="676">
        <v>117</v>
      </c>
      <c r="B122" s="677" t="s">
        <v>2410</v>
      </c>
      <c r="C122" s="678">
        <v>7341.6220000000003</v>
      </c>
      <c r="D122" s="678">
        <v>7337.0766149999999</v>
      </c>
      <c r="E122" s="678">
        <v>0</v>
      </c>
      <c r="F122" s="679"/>
    </row>
    <row r="123" spans="1:6" s="675" customFormat="1">
      <c r="A123" s="676">
        <v>118</v>
      </c>
      <c r="B123" s="677" t="s">
        <v>1640</v>
      </c>
      <c r="C123" s="678">
        <v>764.52</v>
      </c>
      <c r="D123" s="678">
        <v>764.52</v>
      </c>
      <c r="E123" s="678">
        <v>0</v>
      </c>
      <c r="F123" s="679"/>
    </row>
    <row r="124" spans="1:6" s="675" customFormat="1">
      <c r="A124" s="676">
        <v>119</v>
      </c>
      <c r="B124" s="677" t="s">
        <v>2411</v>
      </c>
      <c r="C124" s="678">
        <v>6179.0050000000001</v>
      </c>
      <c r="D124" s="678">
        <v>6159.4780000000001</v>
      </c>
      <c r="E124" s="678">
        <v>0</v>
      </c>
      <c r="F124" s="679"/>
    </row>
    <row r="125" spans="1:6" s="675" customFormat="1" ht="30">
      <c r="A125" s="676">
        <v>120</v>
      </c>
      <c r="B125" s="677" t="s">
        <v>2412</v>
      </c>
      <c r="C125" s="678">
        <v>17771.947725999999</v>
      </c>
      <c r="D125" s="678">
        <v>17017.656781000002</v>
      </c>
      <c r="E125" s="678">
        <v>0</v>
      </c>
      <c r="F125" s="679"/>
    </row>
    <row r="126" spans="1:6" s="675" customFormat="1" ht="30">
      <c r="A126" s="676">
        <v>121</v>
      </c>
      <c r="B126" s="677" t="s">
        <v>2413</v>
      </c>
      <c r="C126" s="678">
        <v>4007.04</v>
      </c>
      <c r="D126" s="678">
        <v>3962.6503120000002</v>
      </c>
      <c r="E126" s="678">
        <v>0</v>
      </c>
      <c r="F126" s="679"/>
    </row>
    <row r="127" spans="1:6" s="675" customFormat="1" ht="30">
      <c r="A127" s="676">
        <v>122</v>
      </c>
      <c r="B127" s="677" t="s">
        <v>2414</v>
      </c>
      <c r="C127" s="678">
        <v>5230</v>
      </c>
      <c r="D127" s="678">
        <v>5152.424</v>
      </c>
      <c r="E127" s="678">
        <v>0</v>
      </c>
      <c r="F127" s="679"/>
    </row>
    <row r="128" spans="1:6" s="675" customFormat="1">
      <c r="A128" s="676">
        <v>123</v>
      </c>
      <c r="B128" s="677" t="s">
        <v>2415</v>
      </c>
      <c r="C128" s="678">
        <v>2989</v>
      </c>
      <c r="D128" s="678">
        <v>2989</v>
      </c>
      <c r="E128" s="678">
        <v>0</v>
      </c>
      <c r="F128" s="679"/>
    </row>
    <row r="129" spans="1:6" s="675" customFormat="1">
      <c r="A129" s="676">
        <v>124</v>
      </c>
      <c r="B129" s="677" t="s">
        <v>2416</v>
      </c>
      <c r="C129" s="678">
        <v>2277</v>
      </c>
      <c r="D129" s="678">
        <v>2277</v>
      </c>
      <c r="E129" s="678">
        <v>0</v>
      </c>
      <c r="F129" s="679"/>
    </row>
    <row r="130" spans="1:6" s="675" customFormat="1" ht="30">
      <c r="A130" s="676">
        <v>125</v>
      </c>
      <c r="B130" s="677" t="s">
        <v>2417</v>
      </c>
      <c r="C130" s="678">
        <v>3507.6</v>
      </c>
      <c r="D130" s="678">
        <v>2709.6</v>
      </c>
      <c r="E130" s="678">
        <v>0</v>
      </c>
      <c r="F130" s="679"/>
    </row>
    <row r="131" spans="1:6" s="675" customFormat="1">
      <c r="A131" s="676">
        <v>126</v>
      </c>
      <c r="B131" s="677" t="s">
        <v>2418</v>
      </c>
      <c r="C131" s="678">
        <v>6718</v>
      </c>
      <c r="D131" s="678">
        <v>6682.4294099999997</v>
      </c>
      <c r="E131" s="678">
        <v>0</v>
      </c>
      <c r="F131" s="679"/>
    </row>
    <row r="132" spans="1:6" s="675" customFormat="1">
      <c r="A132" s="676">
        <v>127</v>
      </c>
      <c r="B132" s="677" t="s">
        <v>2419</v>
      </c>
      <c r="C132" s="678">
        <v>1556</v>
      </c>
      <c r="D132" s="678">
        <v>469.11576500000001</v>
      </c>
      <c r="E132" s="678">
        <v>1000</v>
      </c>
      <c r="F132" s="679"/>
    </row>
    <row r="133" spans="1:6" s="675" customFormat="1">
      <c r="A133" s="676">
        <v>128</v>
      </c>
      <c r="B133" s="677" t="s">
        <v>2420</v>
      </c>
      <c r="C133" s="678">
        <v>442</v>
      </c>
      <c r="D133" s="678">
        <v>442</v>
      </c>
      <c r="E133" s="678">
        <v>0</v>
      </c>
      <c r="F133" s="679"/>
    </row>
    <row r="134" spans="1:6" s="675" customFormat="1">
      <c r="A134" s="676">
        <v>129</v>
      </c>
      <c r="B134" s="677" t="s">
        <v>1645</v>
      </c>
      <c r="C134" s="678">
        <v>1949.2</v>
      </c>
      <c r="D134" s="678">
        <v>1949.2</v>
      </c>
      <c r="E134" s="678">
        <v>0</v>
      </c>
      <c r="F134" s="679"/>
    </row>
    <row r="135" spans="1:6" s="675" customFormat="1">
      <c r="A135" s="676">
        <v>130</v>
      </c>
      <c r="B135" s="677" t="s">
        <v>2421</v>
      </c>
      <c r="C135" s="678">
        <v>25.2</v>
      </c>
      <c r="D135" s="678">
        <v>25.2</v>
      </c>
      <c r="E135" s="678">
        <v>0</v>
      </c>
      <c r="F135" s="679"/>
    </row>
    <row r="136" spans="1:6" s="675" customFormat="1">
      <c r="A136" s="676">
        <v>131</v>
      </c>
      <c r="B136" s="677" t="s">
        <v>1646</v>
      </c>
      <c r="C136" s="678">
        <v>333.15</v>
      </c>
      <c r="D136" s="678">
        <v>333.15</v>
      </c>
      <c r="E136" s="678">
        <v>0</v>
      </c>
      <c r="F136" s="679"/>
    </row>
    <row r="137" spans="1:6" s="675" customFormat="1">
      <c r="A137" s="676">
        <v>132</v>
      </c>
      <c r="B137" s="677" t="s">
        <v>2422</v>
      </c>
      <c r="C137" s="678">
        <v>283</v>
      </c>
      <c r="D137" s="678">
        <v>283</v>
      </c>
      <c r="E137" s="678">
        <v>0</v>
      </c>
      <c r="F137" s="679"/>
    </row>
    <row r="138" spans="1:6" s="675" customFormat="1">
      <c r="A138" s="676">
        <v>133</v>
      </c>
      <c r="B138" s="677" t="s">
        <v>2423</v>
      </c>
      <c r="C138" s="678">
        <v>2458</v>
      </c>
      <c r="D138" s="678">
        <v>2458</v>
      </c>
      <c r="E138" s="678">
        <v>0</v>
      </c>
      <c r="F138" s="679"/>
    </row>
    <row r="139" spans="1:6" s="675" customFormat="1" ht="30">
      <c r="A139" s="676">
        <v>134</v>
      </c>
      <c r="B139" s="677" t="s">
        <v>2424</v>
      </c>
      <c r="C139" s="678">
        <v>9772.2000000000007</v>
      </c>
      <c r="D139" s="678">
        <v>9614.4539999999997</v>
      </c>
      <c r="E139" s="678">
        <v>127.072</v>
      </c>
      <c r="F139" s="679"/>
    </row>
    <row r="140" spans="1:6" s="675" customFormat="1">
      <c r="A140" s="676">
        <v>135</v>
      </c>
      <c r="B140" s="677" t="s">
        <v>1500</v>
      </c>
      <c r="C140" s="678">
        <v>3332</v>
      </c>
      <c r="D140" s="678">
        <v>2353.419633</v>
      </c>
      <c r="E140" s="678">
        <v>0</v>
      </c>
      <c r="F140" s="679"/>
    </row>
    <row r="141" spans="1:6" s="675" customFormat="1" ht="30">
      <c r="A141" s="676">
        <v>136</v>
      </c>
      <c r="B141" s="677" t="s">
        <v>2425</v>
      </c>
      <c r="C141" s="678">
        <v>466</v>
      </c>
      <c r="D141" s="678">
        <v>466</v>
      </c>
      <c r="E141" s="678">
        <v>0</v>
      </c>
      <c r="F141" s="679"/>
    </row>
    <row r="142" spans="1:6" s="675" customFormat="1">
      <c r="A142" s="676">
        <v>137</v>
      </c>
      <c r="B142" s="677" t="s">
        <v>2426</v>
      </c>
      <c r="C142" s="678">
        <v>355</v>
      </c>
      <c r="D142" s="678">
        <v>355</v>
      </c>
      <c r="E142" s="678">
        <v>0</v>
      </c>
      <c r="F142" s="679"/>
    </row>
    <row r="143" spans="1:6" s="675" customFormat="1">
      <c r="A143" s="676">
        <v>138</v>
      </c>
      <c r="B143" s="677" t="s">
        <v>2427</v>
      </c>
      <c r="C143" s="678">
        <v>4825</v>
      </c>
      <c r="D143" s="678">
        <v>4821.7601999999997</v>
      </c>
      <c r="E143" s="678">
        <v>0</v>
      </c>
      <c r="F143" s="679"/>
    </row>
    <row r="144" spans="1:6" s="675" customFormat="1" ht="30">
      <c r="A144" s="676">
        <v>139</v>
      </c>
      <c r="B144" s="677" t="s">
        <v>2428</v>
      </c>
      <c r="C144" s="678">
        <v>1382.6</v>
      </c>
      <c r="D144" s="678">
        <v>1382.6</v>
      </c>
      <c r="E144" s="678">
        <v>0</v>
      </c>
      <c r="F144" s="679"/>
    </row>
    <row r="145" spans="1:6" s="675" customFormat="1">
      <c r="A145" s="676">
        <v>140</v>
      </c>
      <c r="B145" s="677" t="s">
        <v>2429</v>
      </c>
      <c r="C145" s="678">
        <v>90</v>
      </c>
      <c r="D145" s="678">
        <v>90</v>
      </c>
      <c r="E145" s="678">
        <v>0</v>
      </c>
      <c r="F145" s="679"/>
    </row>
    <row r="146" spans="1:6" s="675" customFormat="1">
      <c r="A146" s="676">
        <v>141</v>
      </c>
      <c r="B146" s="677" t="s">
        <v>486</v>
      </c>
      <c r="C146" s="678">
        <v>1027</v>
      </c>
      <c r="D146" s="678">
        <v>932.86883399999999</v>
      </c>
      <c r="E146" s="678">
        <v>0</v>
      </c>
      <c r="F146" s="679"/>
    </row>
    <row r="147" spans="1:6" s="675" customFormat="1">
      <c r="A147" s="676">
        <v>142</v>
      </c>
      <c r="B147" s="677" t="s">
        <v>2430</v>
      </c>
      <c r="C147" s="678">
        <v>225</v>
      </c>
      <c r="D147" s="678">
        <v>225</v>
      </c>
      <c r="E147" s="678">
        <v>0</v>
      </c>
      <c r="F147" s="679"/>
    </row>
    <row r="148" spans="1:6" s="675" customFormat="1" ht="30">
      <c r="A148" s="676">
        <v>143</v>
      </c>
      <c r="B148" s="677" t="s">
        <v>2431</v>
      </c>
      <c r="C148" s="678">
        <v>9212.2520000000004</v>
      </c>
      <c r="D148" s="678">
        <v>9111.1380000000008</v>
      </c>
      <c r="E148" s="678">
        <v>0</v>
      </c>
      <c r="F148" s="679"/>
    </row>
    <row r="149" spans="1:6" s="675" customFormat="1">
      <c r="A149" s="676">
        <v>144</v>
      </c>
      <c r="B149" s="677" t="s">
        <v>2432</v>
      </c>
      <c r="C149" s="678">
        <v>3636</v>
      </c>
      <c r="D149" s="678">
        <v>2512.0672100000002</v>
      </c>
      <c r="E149" s="678">
        <v>0</v>
      </c>
      <c r="F149" s="679"/>
    </row>
    <row r="150" spans="1:6" s="675" customFormat="1" ht="30">
      <c r="A150" s="676">
        <v>145</v>
      </c>
      <c r="B150" s="677" t="s">
        <v>2433</v>
      </c>
      <c r="C150" s="678">
        <v>162</v>
      </c>
      <c r="D150" s="678">
        <v>162</v>
      </c>
      <c r="E150" s="678">
        <v>0</v>
      </c>
      <c r="F150" s="679"/>
    </row>
    <row r="151" spans="1:6" s="675" customFormat="1" ht="30">
      <c r="A151" s="676">
        <v>146</v>
      </c>
      <c r="B151" s="677" t="s">
        <v>2434</v>
      </c>
      <c r="C151" s="678">
        <v>3101.3</v>
      </c>
      <c r="D151" s="678">
        <v>2446.1087499999999</v>
      </c>
      <c r="E151" s="678">
        <v>0</v>
      </c>
      <c r="F151" s="679"/>
    </row>
    <row r="152" spans="1:6" s="675" customFormat="1">
      <c r="A152" s="676">
        <v>147</v>
      </c>
      <c r="B152" s="677" t="s">
        <v>2435</v>
      </c>
      <c r="C152" s="678">
        <v>9756</v>
      </c>
      <c r="D152" s="678">
        <v>9756</v>
      </c>
      <c r="E152" s="678">
        <v>0</v>
      </c>
      <c r="F152" s="679"/>
    </row>
    <row r="153" spans="1:6" s="675" customFormat="1" ht="30">
      <c r="A153" s="676">
        <v>148</v>
      </c>
      <c r="B153" s="677" t="s">
        <v>1962</v>
      </c>
      <c r="C153" s="678">
        <v>157</v>
      </c>
      <c r="D153" s="678">
        <v>141.39400000000001</v>
      </c>
      <c r="E153" s="678">
        <v>15.606</v>
      </c>
      <c r="F153" s="679"/>
    </row>
    <row r="154" spans="1:6" s="675" customFormat="1">
      <c r="A154" s="676">
        <v>149</v>
      </c>
      <c r="B154" s="677" t="s">
        <v>2436</v>
      </c>
      <c r="C154" s="678">
        <v>852.07957199999998</v>
      </c>
      <c r="D154" s="678">
        <v>852.07957199999998</v>
      </c>
      <c r="E154" s="678">
        <v>0</v>
      </c>
      <c r="F154" s="679"/>
    </row>
    <row r="155" spans="1:6" s="675" customFormat="1" ht="30">
      <c r="A155" s="676">
        <v>150</v>
      </c>
      <c r="B155" s="677" t="s">
        <v>2437</v>
      </c>
      <c r="C155" s="678">
        <v>7124</v>
      </c>
      <c r="D155" s="678">
        <v>7084.3220000000001</v>
      </c>
      <c r="E155" s="678">
        <v>0</v>
      </c>
      <c r="F155" s="679"/>
    </row>
    <row r="156" spans="1:6" s="675" customFormat="1" ht="30">
      <c r="A156" s="676">
        <v>151</v>
      </c>
      <c r="B156" s="677" t="s">
        <v>2438</v>
      </c>
      <c r="C156" s="678">
        <v>6389</v>
      </c>
      <c r="D156" s="678">
        <v>4083</v>
      </c>
      <c r="E156" s="678">
        <v>2306</v>
      </c>
      <c r="F156" s="679"/>
    </row>
    <row r="157" spans="1:6" s="675" customFormat="1">
      <c r="A157" s="676">
        <v>152</v>
      </c>
      <c r="B157" s="677" t="s">
        <v>2439</v>
      </c>
      <c r="C157" s="678">
        <v>414</v>
      </c>
      <c r="D157" s="678">
        <v>413.999841</v>
      </c>
      <c r="E157" s="678">
        <v>0</v>
      </c>
      <c r="F157" s="679"/>
    </row>
    <row r="158" spans="1:6" s="675" customFormat="1" ht="30">
      <c r="A158" s="676">
        <v>153</v>
      </c>
      <c r="B158" s="677" t="s">
        <v>2440</v>
      </c>
      <c r="C158" s="678">
        <v>3582.7750000000001</v>
      </c>
      <c r="D158" s="678">
        <v>3581.9720000000002</v>
      </c>
      <c r="E158" s="678">
        <v>0</v>
      </c>
      <c r="F158" s="679"/>
    </row>
    <row r="159" spans="1:6" s="675" customFormat="1" ht="30">
      <c r="A159" s="676">
        <v>154</v>
      </c>
      <c r="B159" s="677" t="s">
        <v>2441</v>
      </c>
      <c r="C159" s="678">
        <v>3557.18</v>
      </c>
      <c r="D159" s="678">
        <v>3516.6621209999998</v>
      </c>
      <c r="E159" s="678">
        <v>1.3818790000000001</v>
      </c>
      <c r="F159" s="679"/>
    </row>
    <row r="160" spans="1:6" s="675" customFormat="1" ht="30">
      <c r="A160" s="676">
        <v>155</v>
      </c>
      <c r="B160" s="677" t="s">
        <v>2442</v>
      </c>
      <c r="C160" s="678">
        <v>252</v>
      </c>
      <c r="D160" s="678">
        <v>179.37970000000001</v>
      </c>
      <c r="E160" s="678">
        <v>0</v>
      </c>
      <c r="F160" s="679"/>
    </row>
    <row r="161" spans="1:6" s="675" customFormat="1" ht="30">
      <c r="A161" s="676">
        <v>156</v>
      </c>
      <c r="B161" s="677" t="s">
        <v>2443</v>
      </c>
      <c r="C161" s="678">
        <v>28106</v>
      </c>
      <c r="D161" s="678">
        <v>25604.337</v>
      </c>
      <c r="E161" s="678">
        <v>2500</v>
      </c>
      <c r="F161" s="679"/>
    </row>
    <row r="162" spans="1:6" s="675" customFormat="1">
      <c r="A162" s="676">
        <v>157</v>
      </c>
      <c r="B162" s="677" t="s">
        <v>2444</v>
      </c>
      <c r="C162" s="678">
        <v>1593.5160000000001</v>
      </c>
      <c r="D162" s="678">
        <v>1513.2113999999999</v>
      </c>
      <c r="E162" s="678">
        <v>0</v>
      </c>
      <c r="F162" s="679"/>
    </row>
    <row r="163" spans="1:6" s="675" customFormat="1" ht="30">
      <c r="A163" s="676">
        <v>158</v>
      </c>
      <c r="B163" s="677" t="s">
        <v>2024</v>
      </c>
      <c r="C163" s="678">
        <v>45768</v>
      </c>
      <c r="D163" s="678">
        <v>45768</v>
      </c>
      <c r="E163" s="678">
        <v>0</v>
      </c>
      <c r="F163" s="679"/>
    </row>
    <row r="164" spans="1:6" s="675" customFormat="1" ht="30">
      <c r="A164" s="676">
        <v>159</v>
      </c>
      <c r="B164" s="677" t="s">
        <v>2445</v>
      </c>
      <c r="C164" s="678">
        <v>5547.0749999999998</v>
      </c>
      <c r="D164" s="678">
        <v>4915.6915140000001</v>
      </c>
      <c r="E164" s="678">
        <v>0</v>
      </c>
      <c r="F164" s="679"/>
    </row>
    <row r="165" spans="1:6" s="675" customFormat="1" ht="30">
      <c r="A165" s="676">
        <v>160</v>
      </c>
      <c r="B165" s="677" t="s">
        <v>2446</v>
      </c>
      <c r="C165" s="678">
        <v>96</v>
      </c>
      <c r="D165" s="678">
        <v>96</v>
      </c>
      <c r="E165" s="678">
        <v>0</v>
      </c>
      <c r="F165" s="679"/>
    </row>
    <row r="166" spans="1:6" s="675" customFormat="1" ht="30">
      <c r="A166" s="676">
        <v>161</v>
      </c>
      <c r="B166" s="677" t="s">
        <v>2447</v>
      </c>
      <c r="C166" s="678">
        <v>53657.374000000003</v>
      </c>
      <c r="D166" s="678">
        <v>8557.3739999999998</v>
      </c>
      <c r="E166" s="678">
        <v>45100</v>
      </c>
      <c r="F166" s="679"/>
    </row>
    <row r="167" spans="1:6" s="675" customFormat="1" ht="30">
      <c r="A167" s="676">
        <v>162</v>
      </c>
      <c r="B167" s="677" t="s">
        <v>2448</v>
      </c>
      <c r="C167" s="678">
        <v>20</v>
      </c>
      <c r="D167" s="678">
        <v>20</v>
      </c>
      <c r="E167" s="678">
        <v>0</v>
      </c>
      <c r="F167" s="679"/>
    </row>
    <row r="168" spans="1:6" s="675" customFormat="1" ht="30">
      <c r="A168" s="676">
        <v>163</v>
      </c>
      <c r="B168" s="677" t="s">
        <v>2449</v>
      </c>
      <c r="C168" s="678">
        <v>4103.2330000000002</v>
      </c>
      <c r="D168" s="678">
        <v>4048.9944999999998</v>
      </c>
      <c r="E168" s="678">
        <v>16.232500000000002</v>
      </c>
      <c r="F168" s="679"/>
    </row>
    <row r="169" spans="1:6" s="675" customFormat="1" ht="30">
      <c r="A169" s="676">
        <v>164</v>
      </c>
      <c r="B169" s="677" t="s">
        <v>2450</v>
      </c>
      <c r="C169" s="678">
        <v>3474.2</v>
      </c>
      <c r="D169" s="678">
        <v>3440.4958849999998</v>
      </c>
      <c r="E169" s="678">
        <v>11.098615000000001</v>
      </c>
      <c r="F169" s="679"/>
    </row>
    <row r="170" spans="1:6" s="675" customFormat="1">
      <c r="A170" s="676">
        <v>165</v>
      </c>
      <c r="B170" s="677" t="s">
        <v>1907</v>
      </c>
      <c r="C170" s="678">
        <v>96</v>
      </c>
      <c r="D170" s="678">
        <v>88.109945999999994</v>
      </c>
      <c r="E170" s="678">
        <v>0</v>
      </c>
      <c r="F170" s="679"/>
    </row>
    <row r="171" spans="1:6" s="675" customFormat="1">
      <c r="A171" s="676">
        <v>166</v>
      </c>
      <c r="B171" s="677" t="s">
        <v>2451</v>
      </c>
      <c r="C171" s="678">
        <v>3169.2</v>
      </c>
      <c r="D171" s="678">
        <v>3169.2</v>
      </c>
      <c r="E171" s="678">
        <v>0</v>
      </c>
      <c r="F171" s="679"/>
    </row>
    <row r="172" spans="1:6" s="675" customFormat="1">
      <c r="A172" s="676">
        <v>167</v>
      </c>
      <c r="B172" s="677" t="s">
        <v>2452</v>
      </c>
      <c r="C172" s="678">
        <v>7450.8555999999999</v>
      </c>
      <c r="D172" s="678">
        <v>7147.2158239999999</v>
      </c>
      <c r="E172" s="678">
        <v>0</v>
      </c>
      <c r="F172" s="679"/>
    </row>
    <row r="173" spans="1:6" s="675" customFormat="1" ht="30">
      <c r="A173" s="676">
        <v>168</v>
      </c>
      <c r="B173" s="677" t="s">
        <v>2453</v>
      </c>
      <c r="C173" s="678">
        <v>5153.1899999999996</v>
      </c>
      <c r="D173" s="678">
        <v>4203.7799429999995</v>
      </c>
      <c r="E173" s="678">
        <v>0</v>
      </c>
      <c r="F173" s="679"/>
    </row>
    <row r="174" spans="1:6" s="675" customFormat="1" ht="30">
      <c r="A174" s="676">
        <v>169</v>
      </c>
      <c r="B174" s="677" t="s">
        <v>2454</v>
      </c>
      <c r="C174" s="678">
        <v>2995.6779999999999</v>
      </c>
      <c r="D174" s="678">
        <v>2981.7965800000002</v>
      </c>
      <c r="E174" s="678">
        <v>0</v>
      </c>
      <c r="F174" s="679"/>
    </row>
    <row r="175" spans="1:6" s="675" customFormat="1">
      <c r="A175" s="676">
        <v>170</v>
      </c>
      <c r="B175" s="677" t="s">
        <v>2455</v>
      </c>
      <c r="C175" s="678">
        <v>2437.4</v>
      </c>
      <c r="D175" s="678">
        <v>2437.4</v>
      </c>
      <c r="E175" s="678">
        <v>0</v>
      </c>
      <c r="F175" s="679"/>
    </row>
    <row r="176" spans="1:6" s="675" customFormat="1">
      <c r="A176" s="676">
        <v>171</v>
      </c>
      <c r="B176" s="677" t="s">
        <v>1572</v>
      </c>
      <c r="C176" s="678">
        <v>710</v>
      </c>
      <c r="D176" s="678">
        <v>710</v>
      </c>
      <c r="E176" s="678">
        <v>0</v>
      </c>
      <c r="F176" s="679"/>
    </row>
    <row r="177" spans="1:6" s="675" customFormat="1" ht="45">
      <c r="A177" s="676">
        <v>172</v>
      </c>
      <c r="B177" s="677" t="s">
        <v>2025</v>
      </c>
      <c r="C177" s="678">
        <v>13979.277</v>
      </c>
      <c r="D177" s="678">
        <v>880.047506</v>
      </c>
      <c r="E177" s="678">
        <v>0</v>
      </c>
      <c r="F177" s="679"/>
    </row>
    <row r="178" spans="1:6" s="675" customFormat="1" ht="30">
      <c r="A178" s="676">
        <v>173</v>
      </c>
      <c r="B178" s="677" t="s">
        <v>2456</v>
      </c>
      <c r="C178" s="678">
        <v>446</v>
      </c>
      <c r="D178" s="678">
        <v>445.80630100000002</v>
      </c>
      <c r="E178" s="678">
        <v>0.19359999999999999</v>
      </c>
      <c r="F178" s="679"/>
    </row>
    <row r="179" spans="1:6" s="675" customFormat="1">
      <c r="A179" s="676">
        <v>174</v>
      </c>
      <c r="B179" s="677" t="s">
        <v>2457</v>
      </c>
      <c r="C179" s="678">
        <v>1165</v>
      </c>
      <c r="D179" s="678">
        <v>1165</v>
      </c>
      <c r="E179" s="678">
        <v>0</v>
      </c>
      <c r="F179" s="679"/>
    </row>
    <row r="180" spans="1:6" s="675" customFormat="1">
      <c r="A180" s="676">
        <v>175</v>
      </c>
      <c r="B180" s="677" t="s">
        <v>2458</v>
      </c>
      <c r="C180" s="678">
        <v>1355</v>
      </c>
      <c r="D180" s="678">
        <v>1333</v>
      </c>
      <c r="E180" s="678">
        <v>0</v>
      </c>
      <c r="F180" s="679"/>
    </row>
    <row r="181" spans="1:6" s="675" customFormat="1" ht="30">
      <c r="A181" s="676">
        <v>176</v>
      </c>
      <c r="B181" s="677" t="s">
        <v>2459</v>
      </c>
      <c r="C181" s="678">
        <v>143.77387999999999</v>
      </c>
      <c r="D181" s="678">
        <v>143.77387999999999</v>
      </c>
      <c r="E181" s="678">
        <v>0</v>
      </c>
      <c r="F181" s="679"/>
    </row>
    <row r="182" spans="1:6" s="675" customFormat="1">
      <c r="A182" s="676">
        <v>177</v>
      </c>
      <c r="B182" s="677" t="s">
        <v>2460</v>
      </c>
      <c r="C182" s="678">
        <v>1009.296</v>
      </c>
      <c r="D182" s="678">
        <v>979.91925800000001</v>
      </c>
      <c r="E182" s="678">
        <v>0</v>
      </c>
      <c r="F182" s="679"/>
    </row>
    <row r="183" spans="1:6" s="675" customFormat="1" ht="30">
      <c r="A183" s="676">
        <v>178</v>
      </c>
      <c r="B183" s="677" t="s">
        <v>2035</v>
      </c>
      <c r="C183" s="678">
        <v>981.00317900000005</v>
      </c>
      <c r="D183" s="678">
        <v>981.00317900000005</v>
      </c>
      <c r="E183" s="678">
        <v>0</v>
      </c>
      <c r="F183" s="679"/>
    </row>
    <row r="184" spans="1:6" s="675" customFormat="1" ht="30">
      <c r="A184" s="676">
        <v>179</v>
      </c>
      <c r="B184" s="677" t="s">
        <v>1506</v>
      </c>
      <c r="C184" s="678">
        <v>737.01005799999996</v>
      </c>
      <c r="D184" s="678">
        <v>737.01005799999996</v>
      </c>
      <c r="E184" s="678">
        <v>0</v>
      </c>
      <c r="F184" s="679"/>
    </row>
    <row r="185" spans="1:6" s="675" customFormat="1" ht="30">
      <c r="A185" s="676">
        <v>180</v>
      </c>
      <c r="B185" s="677" t="s">
        <v>2461</v>
      </c>
      <c r="C185" s="678">
        <v>2549.826</v>
      </c>
      <c r="D185" s="678">
        <v>2502.8139999999999</v>
      </c>
      <c r="E185" s="678">
        <v>42.02</v>
      </c>
      <c r="F185" s="679"/>
    </row>
    <row r="186" spans="1:6" s="675" customFormat="1" ht="30">
      <c r="A186" s="676">
        <v>181</v>
      </c>
      <c r="B186" s="677" t="s">
        <v>2036</v>
      </c>
      <c r="C186" s="678">
        <v>1569.9529050000001</v>
      </c>
      <c r="D186" s="678">
        <v>1231.579</v>
      </c>
      <c r="E186" s="678">
        <v>0</v>
      </c>
      <c r="F186" s="679"/>
    </row>
    <row r="187" spans="1:6" s="675" customFormat="1">
      <c r="A187" s="676">
        <v>182</v>
      </c>
      <c r="B187" s="677" t="s">
        <v>2462</v>
      </c>
      <c r="C187" s="678">
        <v>12935.022986</v>
      </c>
      <c r="D187" s="678">
        <v>9512.8979859999999</v>
      </c>
      <c r="E187" s="678">
        <v>3188</v>
      </c>
      <c r="F187" s="679"/>
    </row>
    <row r="188" spans="1:6" s="675" customFormat="1">
      <c r="A188" s="676">
        <v>183</v>
      </c>
      <c r="B188" s="677" t="s">
        <v>2463</v>
      </c>
      <c r="C188" s="678">
        <v>1972.8030000000001</v>
      </c>
      <c r="D188" s="678">
        <v>1969.161742</v>
      </c>
      <c r="E188" s="678">
        <v>3.297615</v>
      </c>
      <c r="F188" s="679"/>
    </row>
    <row r="189" spans="1:6" s="675" customFormat="1">
      <c r="A189" s="676">
        <v>184</v>
      </c>
      <c r="B189" s="677" t="s">
        <v>2464</v>
      </c>
      <c r="C189" s="678">
        <v>30</v>
      </c>
      <c r="D189" s="678">
        <v>30</v>
      </c>
      <c r="E189" s="678">
        <v>0</v>
      </c>
      <c r="F189" s="679"/>
    </row>
    <row r="190" spans="1:6" s="675" customFormat="1" ht="30">
      <c r="A190" s="676">
        <v>185</v>
      </c>
      <c r="B190" s="677" t="s">
        <v>2465</v>
      </c>
      <c r="C190" s="678">
        <v>1069.2</v>
      </c>
      <c r="D190" s="678">
        <v>1044.0820000000001</v>
      </c>
      <c r="E190" s="678">
        <v>0</v>
      </c>
      <c r="F190" s="679"/>
    </row>
    <row r="191" spans="1:6" s="675" customFormat="1">
      <c r="A191" s="676">
        <v>186</v>
      </c>
      <c r="B191" s="677" t="s">
        <v>2466</v>
      </c>
      <c r="C191" s="678">
        <v>477</v>
      </c>
      <c r="D191" s="678">
        <v>417</v>
      </c>
      <c r="E191" s="678">
        <v>0</v>
      </c>
      <c r="F191" s="679"/>
    </row>
    <row r="192" spans="1:6" s="675" customFormat="1" ht="45">
      <c r="A192" s="676">
        <v>187</v>
      </c>
      <c r="B192" s="677" t="s">
        <v>2467</v>
      </c>
      <c r="C192" s="678">
        <v>45934</v>
      </c>
      <c r="D192" s="678">
        <v>17416.337525999999</v>
      </c>
      <c r="E192" s="678">
        <v>0</v>
      </c>
      <c r="F192" s="679"/>
    </row>
    <row r="193" spans="1:6" s="675" customFormat="1" ht="30">
      <c r="A193" s="676">
        <v>188</v>
      </c>
      <c r="B193" s="677" t="s">
        <v>2468</v>
      </c>
      <c r="C193" s="678">
        <v>20</v>
      </c>
      <c r="D193" s="678">
        <v>20</v>
      </c>
      <c r="E193" s="678">
        <v>0</v>
      </c>
      <c r="F193" s="679"/>
    </row>
    <row r="194" spans="1:6" s="675" customFormat="1">
      <c r="A194" s="676">
        <v>189</v>
      </c>
      <c r="B194" s="677" t="s">
        <v>2034</v>
      </c>
      <c r="C194" s="678">
        <v>30</v>
      </c>
      <c r="D194" s="678">
        <v>30</v>
      </c>
      <c r="E194" s="678">
        <v>0</v>
      </c>
      <c r="F194" s="679"/>
    </row>
    <row r="195" spans="1:6" s="675" customFormat="1" ht="30">
      <c r="A195" s="676">
        <v>190</v>
      </c>
      <c r="B195" s="677" t="s">
        <v>2469</v>
      </c>
      <c r="C195" s="678">
        <v>1530</v>
      </c>
      <c r="D195" s="678">
        <v>674.68</v>
      </c>
      <c r="E195" s="678">
        <v>0</v>
      </c>
      <c r="F195" s="679"/>
    </row>
    <row r="196" spans="1:6" s="675" customFormat="1" ht="30">
      <c r="A196" s="676">
        <v>191</v>
      </c>
      <c r="B196" s="677" t="s">
        <v>2032</v>
      </c>
      <c r="C196" s="678">
        <v>1500</v>
      </c>
      <c r="D196" s="678">
        <v>1250.417569</v>
      </c>
      <c r="E196" s="678">
        <v>0</v>
      </c>
      <c r="F196" s="679"/>
    </row>
    <row r="197" spans="1:6" s="675" customFormat="1">
      <c r="A197" s="676">
        <v>192</v>
      </c>
      <c r="B197" s="677" t="s">
        <v>1566</v>
      </c>
      <c r="C197" s="678">
        <v>3854.0050000000001</v>
      </c>
      <c r="D197" s="678">
        <v>3854.0050000000001</v>
      </c>
      <c r="E197" s="678">
        <v>0</v>
      </c>
      <c r="F197" s="679"/>
    </row>
    <row r="198" spans="1:6" s="675" customFormat="1" ht="30">
      <c r="A198" s="676">
        <v>193</v>
      </c>
      <c r="B198" s="677" t="s">
        <v>1488</v>
      </c>
      <c r="C198" s="678">
        <v>1246.8579999999999</v>
      </c>
      <c r="D198" s="678">
        <v>1229.2322119999999</v>
      </c>
      <c r="E198" s="678">
        <v>0</v>
      </c>
      <c r="F198" s="679"/>
    </row>
    <row r="199" spans="1:6" s="675" customFormat="1">
      <c r="A199" s="676">
        <v>194</v>
      </c>
      <c r="B199" s="677" t="s">
        <v>1490</v>
      </c>
      <c r="C199" s="678">
        <v>2640.32</v>
      </c>
      <c r="D199" s="678">
        <v>2640.32</v>
      </c>
      <c r="E199" s="678">
        <v>0</v>
      </c>
      <c r="F199" s="679"/>
    </row>
    <row r="200" spans="1:6" s="675" customFormat="1">
      <c r="A200" s="676">
        <v>195</v>
      </c>
      <c r="B200" s="677" t="s">
        <v>2470</v>
      </c>
      <c r="C200" s="678">
        <v>230</v>
      </c>
      <c r="D200" s="678">
        <v>230</v>
      </c>
      <c r="E200" s="678">
        <v>0</v>
      </c>
      <c r="F200" s="679"/>
    </row>
    <row r="201" spans="1:6" s="675" customFormat="1">
      <c r="A201" s="676">
        <v>196</v>
      </c>
      <c r="B201" s="677" t="s">
        <v>2471</v>
      </c>
      <c r="C201" s="678">
        <v>425.7</v>
      </c>
      <c r="D201" s="678">
        <v>425.7</v>
      </c>
      <c r="E201" s="678">
        <v>0</v>
      </c>
      <c r="F201" s="679"/>
    </row>
    <row r="202" spans="1:6" s="675" customFormat="1" ht="30">
      <c r="A202" s="676">
        <v>197</v>
      </c>
      <c r="B202" s="677" t="s">
        <v>606</v>
      </c>
      <c r="C202" s="678">
        <v>218</v>
      </c>
      <c r="D202" s="678">
        <v>214.34</v>
      </c>
      <c r="E202" s="678">
        <v>0</v>
      </c>
      <c r="F202" s="679"/>
    </row>
    <row r="203" spans="1:6" s="675" customFormat="1" ht="30">
      <c r="A203" s="676">
        <v>198</v>
      </c>
      <c r="B203" s="677" t="s">
        <v>2472</v>
      </c>
      <c r="C203" s="678">
        <v>304.09001499999999</v>
      </c>
      <c r="D203" s="678">
        <v>304.09001499999999</v>
      </c>
      <c r="E203" s="678">
        <v>0</v>
      </c>
      <c r="F203" s="679"/>
    </row>
    <row r="204" spans="1:6" s="675" customFormat="1">
      <c r="A204" s="676">
        <v>199</v>
      </c>
      <c r="B204" s="682" t="s">
        <v>2473</v>
      </c>
      <c r="C204" s="683">
        <v>738</v>
      </c>
      <c r="D204" s="683">
        <v>738</v>
      </c>
      <c r="E204" s="683">
        <v>0</v>
      </c>
      <c r="F204" s="679"/>
    </row>
    <row r="205" spans="1:6" s="675" customFormat="1"/>
    <row r="206" spans="1:6" s="675" customFormat="1"/>
    <row r="207" spans="1:6" s="675" customFormat="1"/>
    <row r="208" spans="1:6" s="675" customFormat="1"/>
    <row r="209" s="675" customFormat="1"/>
    <row r="210" s="675" customFormat="1"/>
    <row r="211" s="675" customFormat="1"/>
    <row r="212" s="675" customFormat="1"/>
  </sheetData>
  <sortState ref="A5:I20">
    <sortCondition ref="B5:B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3:E69"/>
  <sheetViews>
    <sheetView workbookViewId="0">
      <selection activeCell="B24" sqref="B24"/>
    </sheetView>
  </sheetViews>
  <sheetFormatPr defaultRowHeight="14.4"/>
  <cols>
    <col min="2" max="2" width="43" customWidth="1"/>
    <col min="3" max="3" width="13.33203125" bestFit="1" customWidth="1"/>
    <col min="4" max="4" width="12.44140625" bestFit="1" customWidth="1"/>
    <col min="5" max="5" width="9.33203125" bestFit="1" customWidth="1"/>
  </cols>
  <sheetData>
    <row r="3" spans="1:5" ht="31.2">
      <c r="A3" s="673" t="s">
        <v>2</v>
      </c>
      <c r="B3" s="673" t="s">
        <v>2328</v>
      </c>
      <c r="C3" s="674" t="s">
        <v>1461</v>
      </c>
      <c r="D3" s="674" t="s">
        <v>1462</v>
      </c>
      <c r="E3" s="674" t="s">
        <v>2329</v>
      </c>
    </row>
    <row r="4" spans="1:5" ht="15.6">
      <c r="A4" s="673"/>
      <c r="B4" s="673" t="s">
        <v>355</v>
      </c>
      <c r="C4" s="693">
        <f>SUM(C5:C26)</f>
        <v>366242.55456499994</v>
      </c>
      <c r="D4" s="693">
        <f t="shared" ref="D4:E4" si="0">SUM(D5:D26)</f>
        <v>345383.55456499994</v>
      </c>
      <c r="E4" s="693">
        <f t="shared" si="0"/>
        <v>22297</v>
      </c>
    </row>
    <row r="5" spans="1:5" ht="27.6">
      <c r="A5" s="684" t="s">
        <v>2474</v>
      </c>
      <c r="B5" s="685" t="s">
        <v>2475</v>
      </c>
      <c r="C5" s="694">
        <v>14</v>
      </c>
      <c r="D5" s="694">
        <v>14</v>
      </c>
      <c r="E5" s="694">
        <v>0</v>
      </c>
    </row>
    <row r="6" spans="1:5">
      <c r="A6" s="684" t="s">
        <v>2476</v>
      </c>
      <c r="B6" s="685" t="s">
        <v>2477</v>
      </c>
      <c r="C6" s="694">
        <v>67</v>
      </c>
      <c r="D6" s="694">
        <v>67</v>
      </c>
      <c r="E6" s="694">
        <v>0</v>
      </c>
    </row>
    <row r="7" spans="1:5">
      <c r="A7" s="684" t="s">
        <v>2478</v>
      </c>
      <c r="B7" s="685" t="s">
        <v>2479</v>
      </c>
      <c r="C7" s="694">
        <v>954</v>
      </c>
      <c r="D7" s="694">
        <v>954</v>
      </c>
      <c r="E7" s="694">
        <v>0</v>
      </c>
    </row>
    <row r="8" spans="1:5">
      <c r="A8" s="684" t="s">
        <v>2480</v>
      </c>
      <c r="B8" s="685" t="s">
        <v>2481</v>
      </c>
      <c r="C8" s="694">
        <v>13</v>
      </c>
      <c r="D8" s="694">
        <v>13</v>
      </c>
      <c r="E8" s="694">
        <v>0</v>
      </c>
    </row>
    <row r="9" spans="1:5" ht="27.6">
      <c r="A9" s="684" t="s">
        <v>2482</v>
      </c>
      <c r="B9" s="685" t="s">
        <v>2483</v>
      </c>
      <c r="C9" s="694">
        <v>11</v>
      </c>
      <c r="D9" s="694">
        <v>11</v>
      </c>
      <c r="E9" s="694">
        <v>0</v>
      </c>
    </row>
    <row r="10" spans="1:5">
      <c r="A10" s="684" t="s">
        <v>2484</v>
      </c>
      <c r="B10" s="685" t="s">
        <v>2486</v>
      </c>
      <c r="C10" s="694">
        <v>11</v>
      </c>
      <c r="D10" s="694">
        <v>11</v>
      </c>
      <c r="E10" s="694">
        <v>0</v>
      </c>
    </row>
    <row r="11" spans="1:5">
      <c r="A11" s="684" t="s">
        <v>2485</v>
      </c>
      <c r="B11" s="685" t="s">
        <v>2487</v>
      </c>
      <c r="C11" s="694">
        <v>11</v>
      </c>
      <c r="D11" s="694">
        <v>11</v>
      </c>
      <c r="E11" s="694">
        <v>0</v>
      </c>
    </row>
    <row r="12" spans="1:5">
      <c r="A12" s="684" t="s">
        <v>2488</v>
      </c>
      <c r="B12" s="685" t="s">
        <v>2489</v>
      </c>
      <c r="C12" s="694">
        <v>18</v>
      </c>
      <c r="D12" s="694">
        <v>18</v>
      </c>
      <c r="E12" s="694">
        <v>0</v>
      </c>
    </row>
    <row r="13" spans="1:5">
      <c r="A13" s="684" t="s">
        <v>2490</v>
      </c>
      <c r="B13" s="685" t="s">
        <v>2491</v>
      </c>
      <c r="C13" s="694">
        <v>215301.398865</v>
      </c>
      <c r="D13" s="694">
        <v>215301.398865</v>
      </c>
      <c r="E13" s="694">
        <v>0</v>
      </c>
    </row>
    <row r="14" spans="1:5" ht="27.6">
      <c r="A14" s="684" t="s">
        <v>2492</v>
      </c>
      <c r="B14" s="685" t="s">
        <v>2039</v>
      </c>
      <c r="C14" s="694">
        <v>557</v>
      </c>
      <c r="D14" s="694">
        <v>557</v>
      </c>
      <c r="E14" s="694">
        <v>0</v>
      </c>
    </row>
    <row r="15" spans="1:5" ht="27.6">
      <c r="A15" s="684" t="s">
        <v>2493</v>
      </c>
      <c r="B15" s="685" t="s">
        <v>2494</v>
      </c>
      <c r="C15" s="694">
        <v>8882</v>
      </c>
      <c r="D15" s="694">
        <v>8882</v>
      </c>
      <c r="E15" s="694">
        <v>0</v>
      </c>
    </row>
    <row r="16" spans="1:5">
      <c r="A16" s="684" t="s">
        <v>2495</v>
      </c>
      <c r="B16" s="685" t="s">
        <v>2496</v>
      </c>
      <c r="C16" s="694">
        <f>17779+19004+198</f>
        <v>36981</v>
      </c>
      <c r="D16" s="695">
        <f>17779+105</f>
        <v>17884</v>
      </c>
      <c r="E16" s="694">
        <f>93+19004</f>
        <v>19097</v>
      </c>
    </row>
    <row r="17" spans="1:5">
      <c r="A17" s="684" t="s">
        <v>2497</v>
      </c>
      <c r="B17" s="685" t="s">
        <v>2498</v>
      </c>
      <c r="C17" s="694">
        <v>50</v>
      </c>
      <c r="D17" s="694">
        <v>50</v>
      </c>
      <c r="E17" s="694">
        <v>0</v>
      </c>
    </row>
    <row r="18" spans="1:5">
      <c r="A18" s="684" t="s">
        <v>2499</v>
      </c>
      <c r="B18" s="685" t="s">
        <v>2500</v>
      </c>
      <c r="C18" s="694">
        <v>512</v>
      </c>
      <c r="D18" s="694">
        <v>512</v>
      </c>
      <c r="E18" s="694">
        <v>0</v>
      </c>
    </row>
    <row r="19" spans="1:5">
      <c r="A19" s="684" t="s">
        <v>2501</v>
      </c>
      <c r="B19" s="685" t="s">
        <v>2502</v>
      </c>
      <c r="C19" s="694">
        <v>778.8</v>
      </c>
      <c r="D19" s="694">
        <v>778.8</v>
      </c>
      <c r="E19" s="694">
        <v>0</v>
      </c>
    </row>
    <row r="20" spans="1:5">
      <c r="A20" s="684" t="s">
        <v>2503</v>
      </c>
      <c r="B20" s="686"/>
      <c r="C20" s="694">
        <v>1000</v>
      </c>
      <c r="D20" s="694">
        <v>1000</v>
      </c>
      <c r="E20" s="694">
        <v>0</v>
      </c>
    </row>
    <row r="21" spans="1:5">
      <c r="A21" s="684" t="s">
        <v>2504</v>
      </c>
      <c r="B21" s="686"/>
      <c r="C21" s="694">
        <v>1000</v>
      </c>
      <c r="D21" s="694">
        <v>1000</v>
      </c>
      <c r="E21" s="694">
        <v>0</v>
      </c>
    </row>
    <row r="22" spans="1:5">
      <c r="A22" s="684" t="s">
        <v>2505</v>
      </c>
      <c r="B22" s="686" t="s">
        <v>543</v>
      </c>
      <c r="C22" s="694">
        <v>30</v>
      </c>
      <c r="D22" s="694">
        <v>30</v>
      </c>
      <c r="E22" s="694">
        <v>0</v>
      </c>
    </row>
    <row r="23" spans="1:5">
      <c r="A23" s="684" t="s">
        <v>2506</v>
      </c>
      <c r="B23" s="686" t="s">
        <v>2507</v>
      </c>
      <c r="C23" s="694">
        <v>59160</v>
      </c>
      <c r="D23" s="695">
        <v>57398</v>
      </c>
      <c r="E23" s="694">
        <v>3200</v>
      </c>
    </row>
    <row r="24" spans="1:5">
      <c r="A24" s="684" t="s">
        <v>2508</v>
      </c>
      <c r="B24" s="686" t="s">
        <v>179</v>
      </c>
      <c r="C24" s="694">
        <v>1093.8050000000001</v>
      </c>
      <c r="D24" s="694">
        <v>1093.8050000000001</v>
      </c>
      <c r="E24" s="694">
        <v>0</v>
      </c>
    </row>
    <row r="25" spans="1:5">
      <c r="A25" s="684" t="s">
        <v>2509</v>
      </c>
      <c r="B25" s="686" t="s">
        <v>2041</v>
      </c>
      <c r="C25" s="694">
        <v>18929.599999999999</v>
      </c>
      <c r="D25" s="694">
        <v>18929.599999999999</v>
      </c>
      <c r="E25" s="694">
        <v>0</v>
      </c>
    </row>
    <row r="26" spans="1:5" ht="39.6">
      <c r="A26" s="684" t="s">
        <v>2510</v>
      </c>
      <c r="B26" s="686" t="s">
        <v>2511</v>
      </c>
      <c r="C26" s="694">
        <v>20867.950700000001</v>
      </c>
      <c r="D26" s="694">
        <v>20867.950700000001</v>
      </c>
      <c r="E26" s="694">
        <v>0</v>
      </c>
    </row>
    <row r="27" spans="1:5">
      <c r="C27" s="29"/>
      <c r="D27" s="29"/>
      <c r="E27" s="29"/>
    </row>
    <row r="28" spans="1:5">
      <c r="C28" s="29"/>
      <c r="D28" s="29"/>
      <c r="E28" s="29"/>
    </row>
    <row r="29" spans="1:5">
      <c r="C29" s="29"/>
      <c r="D29" s="29"/>
      <c r="E29" s="29"/>
    </row>
    <row r="30" spans="1:5">
      <c r="C30" s="29"/>
      <c r="D30" s="29"/>
      <c r="E30" s="29"/>
    </row>
    <row r="31" spans="1:5">
      <c r="C31" s="29"/>
      <c r="D31" s="29"/>
      <c r="E31" s="29"/>
    </row>
    <row r="32" spans="1:5">
      <c r="C32" s="29"/>
      <c r="D32" s="29"/>
      <c r="E32" s="29"/>
    </row>
    <row r="33" spans="3:5">
      <c r="C33" s="29"/>
      <c r="D33" s="29"/>
      <c r="E33" s="29"/>
    </row>
    <row r="34" spans="3:5">
      <c r="C34" s="29"/>
      <c r="D34" s="29"/>
      <c r="E34" s="29"/>
    </row>
    <row r="35" spans="3:5">
      <c r="C35" s="29"/>
      <c r="D35" s="29"/>
      <c r="E35" s="29"/>
    </row>
    <row r="36" spans="3:5">
      <c r="C36" s="29"/>
      <c r="D36" s="29"/>
      <c r="E36" s="29"/>
    </row>
    <row r="37" spans="3:5">
      <c r="C37" s="29"/>
      <c r="D37" s="29"/>
      <c r="E37" s="29"/>
    </row>
    <row r="38" spans="3:5">
      <c r="C38" s="29"/>
      <c r="D38" s="29"/>
      <c r="E38" s="29"/>
    </row>
    <row r="39" spans="3:5">
      <c r="C39" s="29"/>
      <c r="D39" s="29"/>
      <c r="E39" s="29"/>
    </row>
    <row r="40" spans="3:5">
      <c r="C40" s="29"/>
      <c r="D40" s="29"/>
      <c r="E40" s="29"/>
    </row>
    <row r="41" spans="3:5">
      <c r="C41" s="29"/>
      <c r="D41" s="29"/>
      <c r="E41" s="29"/>
    </row>
    <row r="42" spans="3:5">
      <c r="C42" s="29"/>
      <c r="D42" s="29"/>
      <c r="E42" s="29"/>
    </row>
    <row r="43" spans="3:5">
      <c r="C43" s="29"/>
      <c r="D43" s="29"/>
      <c r="E43" s="29"/>
    </row>
    <row r="44" spans="3:5">
      <c r="C44" s="29"/>
      <c r="D44" s="29"/>
      <c r="E44" s="29"/>
    </row>
    <row r="45" spans="3:5">
      <c r="C45" s="29"/>
      <c r="D45" s="29"/>
      <c r="E45" s="29"/>
    </row>
    <row r="46" spans="3:5">
      <c r="C46" s="29"/>
      <c r="D46" s="29"/>
      <c r="E46" s="29"/>
    </row>
    <row r="47" spans="3:5">
      <c r="C47" s="29"/>
      <c r="D47" s="29"/>
      <c r="E47" s="29"/>
    </row>
    <row r="48" spans="3:5">
      <c r="C48" s="29"/>
      <c r="D48" s="29"/>
      <c r="E48" s="29"/>
    </row>
    <row r="49" spans="3:5">
      <c r="C49" s="29"/>
      <c r="D49" s="29"/>
      <c r="E49" s="29"/>
    </row>
    <row r="50" spans="3:5">
      <c r="C50" s="29"/>
      <c r="D50" s="29"/>
      <c r="E50" s="29"/>
    </row>
    <row r="51" spans="3:5">
      <c r="C51" s="29"/>
      <c r="D51" s="29"/>
      <c r="E51" s="29"/>
    </row>
    <row r="52" spans="3:5">
      <c r="C52" s="29"/>
      <c r="D52" s="29"/>
      <c r="E52" s="29"/>
    </row>
    <row r="53" spans="3:5">
      <c r="C53" s="29"/>
      <c r="D53" s="29"/>
      <c r="E53" s="29"/>
    </row>
    <row r="54" spans="3:5">
      <c r="C54" s="29"/>
      <c r="D54" s="29"/>
      <c r="E54" s="29"/>
    </row>
    <row r="55" spans="3:5">
      <c r="C55" s="29"/>
      <c r="D55" s="29"/>
      <c r="E55" s="29"/>
    </row>
    <row r="56" spans="3:5">
      <c r="C56" s="29"/>
      <c r="D56" s="29"/>
      <c r="E56" s="29"/>
    </row>
    <row r="57" spans="3:5">
      <c r="C57" s="29"/>
      <c r="D57" s="29"/>
      <c r="E57" s="29"/>
    </row>
    <row r="58" spans="3:5">
      <c r="C58" s="29"/>
      <c r="D58" s="29"/>
      <c r="E58" s="29"/>
    </row>
    <row r="59" spans="3:5">
      <c r="C59" s="29"/>
      <c r="D59" s="29"/>
      <c r="E59" s="29"/>
    </row>
    <row r="60" spans="3:5">
      <c r="C60" s="29"/>
      <c r="D60" s="29"/>
      <c r="E60" s="29"/>
    </row>
    <row r="61" spans="3:5">
      <c r="C61" s="29"/>
      <c r="D61" s="29"/>
      <c r="E61" s="29"/>
    </row>
    <row r="62" spans="3:5">
      <c r="C62" s="29"/>
      <c r="D62" s="29"/>
      <c r="E62" s="29"/>
    </row>
    <row r="63" spans="3:5">
      <c r="C63" s="29"/>
      <c r="D63" s="29"/>
      <c r="E63" s="29"/>
    </row>
    <row r="64" spans="3:5">
      <c r="C64" s="29"/>
      <c r="D64" s="29"/>
      <c r="E64" s="29"/>
    </row>
    <row r="65" spans="3:5">
      <c r="C65" s="29"/>
      <c r="D65" s="29"/>
      <c r="E65" s="29"/>
    </row>
    <row r="66" spans="3:5">
      <c r="C66" s="29"/>
      <c r="D66" s="29"/>
      <c r="E66" s="29"/>
    </row>
    <row r="67" spans="3:5">
      <c r="C67" s="29"/>
      <c r="D67" s="29"/>
      <c r="E67" s="29"/>
    </row>
    <row r="68" spans="3:5">
      <c r="C68" s="29"/>
      <c r="D68" s="29"/>
      <c r="E68" s="29"/>
    </row>
    <row r="69" spans="3:5">
      <c r="C69" s="29"/>
      <c r="D69" s="29"/>
      <c r="E69" s="2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M271"/>
  <sheetViews>
    <sheetView zoomScale="90" zoomScaleNormal="90" workbookViewId="0">
      <pane xSplit="3" ySplit="9" topLeftCell="L253" activePane="bottomRight" state="frozen"/>
      <selection pane="topRight" activeCell="D1" sqref="D1"/>
      <selection pane="bottomLeft" activeCell="A10" sqref="A10"/>
      <selection pane="bottomRight" activeCell="L264" sqref="L264"/>
    </sheetView>
  </sheetViews>
  <sheetFormatPr defaultRowHeight="15.6" outlineLevelCol="1"/>
  <cols>
    <col min="1" max="1" width="5.44140625" style="279" customWidth="1"/>
    <col min="2" max="2" width="45.109375" style="279" customWidth="1"/>
    <col min="3" max="4" width="12" style="279" customWidth="1"/>
    <col min="5" max="5" width="13.33203125" style="306" customWidth="1"/>
    <col min="6" max="7" width="13.109375" style="306" customWidth="1" outlineLevel="1"/>
    <col min="8" max="8" width="10.33203125" style="279" customWidth="1"/>
    <col min="9" max="9" width="12" style="279" customWidth="1"/>
    <col min="10" max="10" width="10.109375" style="279" customWidth="1"/>
    <col min="11" max="11" width="12" style="279" customWidth="1"/>
    <col min="12" max="12" width="11.33203125" style="279" customWidth="1"/>
    <col min="13" max="14" width="12" style="279" customWidth="1"/>
    <col min="15" max="15" width="17.109375" style="306" customWidth="1"/>
    <col min="16" max="17" width="17.109375" style="306" hidden="1" customWidth="1" outlineLevel="1"/>
    <col min="18" max="18" width="11.88671875" style="279" customWidth="1" collapsed="1"/>
    <col min="19" max="19" width="12" style="279" customWidth="1"/>
    <col min="20" max="20" width="9" style="279" customWidth="1"/>
    <col min="21" max="21" width="12.5546875" style="279" customWidth="1"/>
    <col min="22" max="22" width="9.88671875" style="306" customWidth="1"/>
    <col min="23" max="23" width="11.6640625" style="279" customWidth="1"/>
    <col min="24" max="24" width="7.88671875" style="279" customWidth="1"/>
    <col min="25" max="25" width="8.5546875" style="279" customWidth="1"/>
    <col min="26" max="26" width="7.88671875" style="279" customWidth="1"/>
    <col min="27" max="27" width="8.6640625" style="279" customWidth="1"/>
    <col min="28" max="260" width="9.109375" style="279"/>
    <col min="261" max="261" width="5.44140625" style="279" customWidth="1"/>
    <col min="262" max="262" width="45.109375" style="279" customWidth="1"/>
    <col min="263" max="264" width="12" style="279" customWidth="1"/>
    <col min="265" max="265" width="16.109375" style="279" customWidth="1"/>
    <col min="266" max="266" width="7.6640625" style="279" customWidth="1"/>
    <col min="267" max="267" width="12" style="279" customWidth="1"/>
    <col min="268" max="269" width="9" style="279" customWidth="1"/>
    <col min="270" max="270" width="11.33203125" style="279" customWidth="1"/>
    <col min="271" max="272" width="12" style="279" customWidth="1"/>
    <col min="273" max="273" width="17.109375" style="279" customWidth="1"/>
    <col min="274" max="274" width="9" style="279" customWidth="1"/>
    <col min="275" max="275" width="12" style="279" customWidth="1"/>
    <col min="276" max="277" width="9" style="279" customWidth="1"/>
    <col min="278" max="278" width="9.88671875" style="279" customWidth="1"/>
    <col min="279" max="279" width="10.109375" style="279" customWidth="1"/>
    <col min="280" max="280" width="7.88671875" style="279" customWidth="1"/>
    <col min="281" max="281" width="8.5546875" style="279" customWidth="1"/>
    <col min="282" max="282" width="7.88671875" style="279" customWidth="1"/>
    <col min="283" max="283" width="8.6640625" style="279" customWidth="1"/>
    <col min="284" max="516" width="9.109375" style="279"/>
    <col min="517" max="517" width="5.44140625" style="279" customWidth="1"/>
    <col min="518" max="518" width="45.109375" style="279" customWidth="1"/>
    <col min="519" max="520" width="12" style="279" customWidth="1"/>
    <col min="521" max="521" width="16.109375" style="279" customWidth="1"/>
    <col min="522" max="522" width="7.6640625" style="279" customWidth="1"/>
    <col min="523" max="523" width="12" style="279" customWidth="1"/>
    <col min="524" max="525" width="9" style="279" customWidth="1"/>
    <col min="526" max="526" width="11.33203125" style="279" customWidth="1"/>
    <col min="527" max="528" width="12" style="279" customWidth="1"/>
    <col min="529" max="529" width="17.109375" style="279" customWidth="1"/>
    <col min="530" max="530" width="9" style="279" customWidth="1"/>
    <col min="531" max="531" width="12" style="279" customWidth="1"/>
    <col min="532" max="533" width="9" style="279" customWidth="1"/>
    <col min="534" max="534" width="9.88671875" style="279" customWidth="1"/>
    <col min="535" max="535" width="10.109375" style="279" customWidth="1"/>
    <col min="536" max="536" width="7.88671875" style="279" customWidth="1"/>
    <col min="537" max="537" width="8.5546875" style="279" customWidth="1"/>
    <col min="538" max="538" width="7.88671875" style="279" customWidth="1"/>
    <col min="539" max="539" width="8.6640625" style="279" customWidth="1"/>
    <col min="540" max="772" width="9.109375" style="279"/>
    <col min="773" max="773" width="5.44140625" style="279" customWidth="1"/>
    <col min="774" max="774" width="45.109375" style="279" customWidth="1"/>
    <col min="775" max="776" width="12" style="279" customWidth="1"/>
    <col min="777" max="777" width="16.109375" style="279" customWidth="1"/>
    <col min="778" max="778" width="7.6640625" style="279" customWidth="1"/>
    <col min="779" max="779" width="12" style="279" customWidth="1"/>
    <col min="780" max="781" width="9" style="279" customWidth="1"/>
    <col min="782" max="782" width="11.33203125" style="279" customWidth="1"/>
    <col min="783" max="784" width="12" style="279" customWidth="1"/>
    <col min="785" max="785" width="17.109375" style="279" customWidth="1"/>
    <col min="786" max="786" width="9" style="279" customWidth="1"/>
    <col min="787" max="787" width="12" style="279" customWidth="1"/>
    <col min="788" max="789" width="9" style="279" customWidth="1"/>
    <col min="790" max="790" width="9.88671875" style="279" customWidth="1"/>
    <col min="791" max="791" width="10.109375" style="279" customWidth="1"/>
    <col min="792" max="792" width="7.88671875" style="279" customWidth="1"/>
    <col min="793" max="793" width="8.5546875" style="279" customWidth="1"/>
    <col min="794" max="794" width="7.88671875" style="279" customWidth="1"/>
    <col min="795" max="795" width="8.6640625" style="279" customWidth="1"/>
    <col min="796" max="1028" width="9.109375" style="279"/>
    <col min="1029" max="1029" width="5.44140625" style="279" customWidth="1"/>
    <col min="1030" max="1030" width="45.109375" style="279" customWidth="1"/>
    <col min="1031" max="1032" width="12" style="279" customWidth="1"/>
    <col min="1033" max="1033" width="16.109375" style="279" customWidth="1"/>
    <col min="1034" max="1034" width="7.6640625" style="279" customWidth="1"/>
    <col min="1035" max="1035" width="12" style="279" customWidth="1"/>
    <col min="1036" max="1037" width="9" style="279" customWidth="1"/>
    <col min="1038" max="1038" width="11.33203125" style="279" customWidth="1"/>
    <col min="1039" max="1040" width="12" style="279" customWidth="1"/>
    <col min="1041" max="1041" width="17.109375" style="279" customWidth="1"/>
    <col min="1042" max="1042" width="9" style="279" customWidth="1"/>
    <col min="1043" max="1043" width="12" style="279" customWidth="1"/>
    <col min="1044" max="1045" width="9" style="279" customWidth="1"/>
    <col min="1046" max="1046" width="9.88671875" style="279" customWidth="1"/>
    <col min="1047" max="1047" width="10.109375" style="279" customWidth="1"/>
    <col min="1048" max="1048" width="7.88671875" style="279" customWidth="1"/>
    <col min="1049" max="1049" width="8.5546875" style="279" customWidth="1"/>
    <col min="1050" max="1050" width="7.88671875" style="279" customWidth="1"/>
    <col min="1051" max="1051" width="8.6640625" style="279" customWidth="1"/>
    <col min="1052" max="1284" width="9.109375" style="279"/>
    <col min="1285" max="1285" width="5.44140625" style="279" customWidth="1"/>
    <col min="1286" max="1286" width="45.109375" style="279" customWidth="1"/>
    <col min="1287" max="1288" width="12" style="279" customWidth="1"/>
    <col min="1289" max="1289" width="16.109375" style="279" customWidth="1"/>
    <col min="1290" max="1290" width="7.6640625" style="279" customWidth="1"/>
    <col min="1291" max="1291" width="12" style="279" customWidth="1"/>
    <col min="1292" max="1293" width="9" style="279" customWidth="1"/>
    <col min="1294" max="1294" width="11.33203125" style="279" customWidth="1"/>
    <col min="1295" max="1296" width="12" style="279" customWidth="1"/>
    <col min="1297" max="1297" width="17.109375" style="279" customWidth="1"/>
    <col min="1298" max="1298" width="9" style="279" customWidth="1"/>
    <col min="1299" max="1299" width="12" style="279" customWidth="1"/>
    <col min="1300" max="1301" width="9" style="279" customWidth="1"/>
    <col min="1302" max="1302" width="9.88671875" style="279" customWidth="1"/>
    <col min="1303" max="1303" width="10.109375" style="279" customWidth="1"/>
    <col min="1304" max="1304" width="7.88671875" style="279" customWidth="1"/>
    <col min="1305" max="1305" width="8.5546875" style="279" customWidth="1"/>
    <col min="1306" max="1306" width="7.88671875" style="279" customWidth="1"/>
    <col min="1307" max="1307" width="8.6640625" style="279" customWidth="1"/>
    <col min="1308" max="1540" width="9.109375" style="279"/>
    <col min="1541" max="1541" width="5.44140625" style="279" customWidth="1"/>
    <col min="1542" max="1542" width="45.109375" style="279" customWidth="1"/>
    <col min="1543" max="1544" width="12" style="279" customWidth="1"/>
    <col min="1545" max="1545" width="16.109375" style="279" customWidth="1"/>
    <col min="1546" max="1546" width="7.6640625" style="279" customWidth="1"/>
    <col min="1547" max="1547" width="12" style="279" customWidth="1"/>
    <col min="1548" max="1549" width="9" style="279" customWidth="1"/>
    <col min="1550" max="1550" width="11.33203125" style="279" customWidth="1"/>
    <col min="1551" max="1552" width="12" style="279" customWidth="1"/>
    <col min="1553" max="1553" width="17.109375" style="279" customWidth="1"/>
    <col min="1554" max="1554" width="9" style="279" customWidth="1"/>
    <col min="1555" max="1555" width="12" style="279" customWidth="1"/>
    <col min="1556" max="1557" width="9" style="279" customWidth="1"/>
    <col min="1558" max="1558" width="9.88671875" style="279" customWidth="1"/>
    <col min="1559" max="1559" width="10.109375" style="279" customWidth="1"/>
    <col min="1560" max="1560" width="7.88671875" style="279" customWidth="1"/>
    <col min="1561" max="1561" width="8.5546875" style="279" customWidth="1"/>
    <col min="1562" max="1562" width="7.88671875" style="279" customWidth="1"/>
    <col min="1563" max="1563" width="8.6640625" style="279" customWidth="1"/>
    <col min="1564" max="1796" width="9.109375" style="279"/>
    <col min="1797" max="1797" width="5.44140625" style="279" customWidth="1"/>
    <col min="1798" max="1798" width="45.109375" style="279" customWidth="1"/>
    <col min="1799" max="1800" width="12" style="279" customWidth="1"/>
    <col min="1801" max="1801" width="16.109375" style="279" customWidth="1"/>
    <col min="1802" max="1802" width="7.6640625" style="279" customWidth="1"/>
    <col min="1803" max="1803" width="12" style="279" customWidth="1"/>
    <col min="1804" max="1805" width="9" style="279" customWidth="1"/>
    <col min="1806" max="1806" width="11.33203125" style="279" customWidth="1"/>
    <col min="1807" max="1808" width="12" style="279" customWidth="1"/>
    <col min="1809" max="1809" width="17.109375" style="279" customWidth="1"/>
    <col min="1810" max="1810" width="9" style="279" customWidth="1"/>
    <col min="1811" max="1811" width="12" style="279" customWidth="1"/>
    <col min="1812" max="1813" width="9" style="279" customWidth="1"/>
    <col min="1814" max="1814" width="9.88671875" style="279" customWidth="1"/>
    <col min="1815" max="1815" width="10.109375" style="279" customWidth="1"/>
    <col min="1816" max="1816" width="7.88671875" style="279" customWidth="1"/>
    <col min="1817" max="1817" width="8.5546875" style="279" customWidth="1"/>
    <col min="1818" max="1818" width="7.88671875" style="279" customWidth="1"/>
    <col min="1819" max="1819" width="8.6640625" style="279" customWidth="1"/>
    <col min="1820" max="2052" width="9.109375" style="279"/>
    <col min="2053" max="2053" width="5.44140625" style="279" customWidth="1"/>
    <col min="2054" max="2054" width="45.109375" style="279" customWidth="1"/>
    <col min="2055" max="2056" width="12" style="279" customWidth="1"/>
    <col min="2057" max="2057" width="16.109375" style="279" customWidth="1"/>
    <col min="2058" max="2058" width="7.6640625" style="279" customWidth="1"/>
    <col min="2059" max="2059" width="12" style="279" customWidth="1"/>
    <col min="2060" max="2061" width="9" style="279" customWidth="1"/>
    <col min="2062" max="2062" width="11.33203125" style="279" customWidth="1"/>
    <col min="2063" max="2064" width="12" style="279" customWidth="1"/>
    <col min="2065" max="2065" width="17.109375" style="279" customWidth="1"/>
    <col min="2066" max="2066" width="9" style="279" customWidth="1"/>
    <col min="2067" max="2067" width="12" style="279" customWidth="1"/>
    <col min="2068" max="2069" width="9" style="279" customWidth="1"/>
    <col min="2070" max="2070" width="9.88671875" style="279" customWidth="1"/>
    <col min="2071" max="2071" width="10.109375" style="279" customWidth="1"/>
    <col min="2072" max="2072" width="7.88671875" style="279" customWidth="1"/>
    <col min="2073" max="2073" width="8.5546875" style="279" customWidth="1"/>
    <col min="2074" max="2074" width="7.88671875" style="279" customWidth="1"/>
    <col min="2075" max="2075" width="8.6640625" style="279" customWidth="1"/>
    <col min="2076" max="2308" width="9.109375" style="279"/>
    <col min="2309" max="2309" width="5.44140625" style="279" customWidth="1"/>
    <col min="2310" max="2310" width="45.109375" style="279" customWidth="1"/>
    <col min="2311" max="2312" width="12" style="279" customWidth="1"/>
    <col min="2313" max="2313" width="16.109375" style="279" customWidth="1"/>
    <col min="2314" max="2314" width="7.6640625" style="279" customWidth="1"/>
    <col min="2315" max="2315" width="12" style="279" customWidth="1"/>
    <col min="2316" max="2317" width="9" style="279" customWidth="1"/>
    <col min="2318" max="2318" width="11.33203125" style="279" customWidth="1"/>
    <col min="2319" max="2320" width="12" style="279" customWidth="1"/>
    <col min="2321" max="2321" width="17.109375" style="279" customWidth="1"/>
    <col min="2322" max="2322" width="9" style="279" customWidth="1"/>
    <col min="2323" max="2323" width="12" style="279" customWidth="1"/>
    <col min="2324" max="2325" width="9" style="279" customWidth="1"/>
    <col min="2326" max="2326" width="9.88671875" style="279" customWidth="1"/>
    <col min="2327" max="2327" width="10.109375" style="279" customWidth="1"/>
    <col min="2328" max="2328" width="7.88671875" style="279" customWidth="1"/>
    <col min="2329" max="2329" width="8.5546875" style="279" customWidth="1"/>
    <col min="2330" max="2330" width="7.88671875" style="279" customWidth="1"/>
    <col min="2331" max="2331" width="8.6640625" style="279" customWidth="1"/>
    <col min="2332" max="2564" width="9.109375" style="279"/>
    <col min="2565" max="2565" width="5.44140625" style="279" customWidth="1"/>
    <col min="2566" max="2566" width="45.109375" style="279" customWidth="1"/>
    <col min="2567" max="2568" width="12" style="279" customWidth="1"/>
    <col min="2569" max="2569" width="16.109375" style="279" customWidth="1"/>
    <col min="2570" max="2570" width="7.6640625" style="279" customWidth="1"/>
    <col min="2571" max="2571" width="12" style="279" customWidth="1"/>
    <col min="2572" max="2573" width="9" style="279" customWidth="1"/>
    <col min="2574" max="2574" width="11.33203125" style="279" customWidth="1"/>
    <col min="2575" max="2576" width="12" style="279" customWidth="1"/>
    <col min="2577" max="2577" width="17.109375" style="279" customWidth="1"/>
    <col min="2578" max="2578" width="9" style="279" customWidth="1"/>
    <col min="2579" max="2579" width="12" style="279" customWidth="1"/>
    <col min="2580" max="2581" width="9" style="279" customWidth="1"/>
    <col min="2582" max="2582" width="9.88671875" style="279" customWidth="1"/>
    <col min="2583" max="2583" width="10.109375" style="279" customWidth="1"/>
    <col min="2584" max="2584" width="7.88671875" style="279" customWidth="1"/>
    <col min="2585" max="2585" width="8.5546875" style="279" customWidth="1"/>
    <col min="2586" max="2586" width="7.88671875" style="279" customWidth="1"/>
    <col min="2587" max="2587" width="8.6640625" style="279" customWidth="1"/>
    <col min="2588" max="2820" width="9.109375" style="279"/>
    <col min="2821" max="2821" width="5.44140625" style="279" customWidth="1"/>
    <col min="2822" max="2822" width="45.109375" style="279" customWidth="1"/>
    <col min="2823" max="2824" width="12" style="279" customWidth="1"/>
    <col min="2825" max="2825" width="16.109375" style="279" customWidth="1"/>
    <col min="2826" max="2826" width="7.6640625" style="279" customWidth="1"/>
    <col min="2827" max="2827" width="12" style="279" customWidth="1"/>
    <col min="2828" max="2829" width="9" style="279" customWidth="1"/>
    <col min="2830" max="2830" width="11.33203125" style="279" customWidth="1"/>
    <col min="2831" max="2832" width="12" style="279" customWidth="1"/>
    <col min="2833" max="2833" width="17.109375" style="279" customWidth="1"/>
    <col min="2834" max="2834" width="9" style="279" customWidth="1"/>
    <col min="2835" max="2835" width="12" style="279" customWidth="1"/>
    <col min="2836" max="2837" width="9" style="279" customWidth="1"/>
    <col min="2838" max="2838" width="9.88671875" style="279" customWidth="1"/>
    <col min="2839" max="2839" width="10.109375" style="279" customWidth="1"/>
    <col min="2840" max="2840" width="7.88671875" style="279" customWidth="1"/>
    <col min="2841" max="2841" width="8.5546875" style="279" customWidth="1"/>
    <col min="2842" max="2842" width="7.88671875" style="279" customWidth="1"/>
    <col min="2843" max="2843" width="8.6640625" style="279" customWidth="1"/>
    <col min="2844" max="3076" width="9.109375" style="279"/>
    <col min="3077" max="3077" width="5.44140625" style="279" customWidth="1"/>
    <col min="3078" max="3078" width="45.109375" style="279" customWidth="1"/>
    <col min="3079" max="3080" width="12" style="279" customWidth="1"/>
    <col min="3081" max="3081" width="16.109375" style="279" customWidth="1"/>
    <col min="3082" max="3082" width="7.6640625" style="279" customWidth="1"/>
    <col min="3083" max="3083" width="12" style="279" customWidth="1"/>
    <col min="3084" max="3085" width="9" style="279" customWidth="1"/>
    <col min="3086" max="3086" width="11.33203125" style="279" customWidth="1"/>
    <col min="3087" max="3088" width="12" style="279" customWidth="1"/>
    <col min="3089" max="3089" width="17.109375" style="279" customWidth="1"/>
    <col min="3090" max="3090" width="9" style="279" customWidth="1"/>
    <col min="3091" max="3091" width="12" style="279" customWidth="1"/>
    <col min="3092" max="3093" width="9" style="279" customWidth="1"/>
    <col min="3094" max="3094" width="9.88671875" style="279" customWidth="1"/>
    <col min="3095" max="3095" width="10.109375" style="279" customWidth="1"/>
    <col min="3096" max="3096" width="7.88671875" style="279" customWidth="1"/>
    <col min="3097" max="3097" width="8.5546875" style="279" customWidth="1"/>
    <col min="3098" max="3098" width="7.88671875" style="279" customWidth="1"/>
    <col min="3099" max="3099" width="8.6640625" style="279" customWidth="1"/>
    <col min="3100" max="3332" width="9.109375" style="279"/>
    <col min="3333" max="3333" width="5.44140625" style="279" customWidth="1"/>
    <col min="3334" max="3334" width="45.109375" style="279" customWidth="1"/>
    <col min="3335" max="3336" width="12" style="279" customWidth="1"/>
    <col min="3337" max="3337" width="16.109375" style="279" customWidth="1"/>
    <col min="3338" max="3338" width="7.6640625" style="279" customWidth="1"/>
    <col min="3339" max="3339" width="12" style="279" customWidth="1"/>
    <col min="3340" max="3341" width="9" style="279" customWidth="1"/>
    <col min="3342" max="3342" width="11.33203125" style="279" customWidth="1"/>
    <col min="3343" max="3344" width="12" style="279" customWidth="1"/>
    <col min="3345" max="3345" width="17.109375" style="279" customWidth="1"/>
    <col min="3346" max="3346" width="9" style="279" customWidth="1"/>
    <col min="3347" max="3347" width="12" style="279" customWidth="1"/>
    <col min="3348" max="3349" width="9" style="279" customWidth="1"/>
    <col min="3350" max="3350" width="9.88671875" style="279" customWidth="1"/>
    <col min="3351" max="3351" width="10.109375" style="279" customWidth="1"/>
    <col min="3352" max="3352" width="7.88671875" style="279" customWidth="1"/>
    <col min="3353" max="3353" width="8.5546875" style="279" customWidth="1"/>
    <col min="3354" max="3354" width="7.88671875" style="279" customWidth="1"/>
    <col min="3355" max="3355" width="8.6640625" style="279" customWidth="1"/>
    <col min="3356" max="3588" width="9.109375" style="279"/>
    <col min="3589" max="3589" width="5.44140625" style="279" customWidth="1"/>
    <col min="3590" max="3590" width="45.109375" style="279" customWidth="1"/>
    <col min="3591" max="3592" width="12" style="279" customWidth="1"/>
    <col min="3593" max="3593" width="16.109375" style="279" customWidth="1"/>
    <col min="3594" max="3594" width="7.6640625" style="279" customWidth="1"/>
    <col min="3595" max="3595" width="12" style="279" customWidth="1"/>
    <col min="3596" max="3597" width="9" style="279" customWidth="1"/>
    <col min="3598" max="3598" width="11.33203125" style="279" customWidth="1"/>
    <col min="3599" max="3600" width="12" style="279" customWidth="1"/>
    <col min="3601" max="3601" width="17.109375" style="279" customWidth="1"/>
    <col min="3602" max="3602" width="9" style="279" customWidth="1"/>
    <col min="3603" max="3603" width="12" style="279" customWidth="1"/>
    <col min="3604" max="3605" width="9" style="279" customWidth="1"/>
    <col min="3606" max="3606" width="9.88671875" style="279" customWidth="1"/>
    <col min="3607" max="3607" width="10.109375" style="279" customWidth="1"/>
    <col min="3608" max="3608" width="7.88671875" style="279" customWidth="1"/>
    <col min="3609" max="3609" width="8.5546875" style="279" customWidth="1"/>
    <col min="3610" max="3610" width="7.88671875" style="279" customWidth="1"/>
    <col min="3611" max="3611" width="8.6640625" style="279" customWidth="1"/>
    <col min="3612" max="3844" width="9.109375" style="279"/>
    <col min="3845" max="3845" width="5.44140625" style="279" customWidth="1"/>
    <col min="3846" max="3846" width="45.109375" style="279" customWidth="1"/>
    <col min="3847" max="3848" width="12" style="279" customWidth="1"/>
    <col min="3849" max="3849" width="16.109375" style="279" customWidth="1"/>
    <col min="3850" max="3850" width="7.6640625" style="279" customWidth="1"/>
    <col min="3851" max="3851" width="12" style="279" customWidth="1"/>
    <col min="3852" max="3853" width="9" style="279" customWidth="1"/>
    <col min="3854" max="3854" width="11.33203125" style="279" customWidth="1"/>
    <col min="3855" max="3856" width="12" style="279" customWidth="1"/>
    <col min="3857" max="3857" width="17.109375" style="279" customWidth="1"/>
    <col min="3858" max="3858" width="9" style="279" customWidth="1"/>
    <col min="3859" max="3859" width="12" style="279" customWidth="1"/>
    <col min="3860" max="3861" width="9" style="279" customWidth="1"/>
    <col min="3862" max="3862" width="9.88671875" style="279" customWidth="1"/>
    <col min="3863" max="3863" width="10.109375" style="279" customWidth="1"/>
    <col min="3864" max="3864" width="7.88671875" style="279" customWidth="1"/>
    <col min="3865" max="3865" width="8.5546875" style="279" customWidth="1"/>
    <col min="3866" max="3866" width="7.88671875" style="279" customWidth="1"/>
    <col min="3867" max="3867" width="8.6640625" style="279" customWidth="1"/>
    <col min="3868" max="4100" width="9.109375" style="279"/>
    <col min="4101" max="4101" width="5.44140625" style="279" customWidth="1"/>
    <col min="4102" max="4102" width="45.109375" style="279" customWidth="1"/>
    <col min="4103" max="4104" width="12" style="279" customWidth="1"/>
    <col min="4105" max="4105" width="16.109375" style="279" customWidth="1"/>
    <col min="4106" max="4106" width="7.6640625" style="279" customWidth="1"/>
    <col min="4107" max="4107" width="12" style="279" customWidth="1"/>
    <col min="4108" max="4109" width="9" style="279" customWidth="1"/>
    <col min="4110" max="4110" width="11.33203125" style="279" customWidth="1"/>
    <col min="4111" max="4112" width="12" style="279" customWidth="1"/>
    <col min="4113" max="4113" width="17.109375" style="279" customWidth="1"/>
    <col min="4114" max="4114" width="9" style="279" customWidth="1"/>
    <col min="4115" max="4115" width="12" style="279" customWidth="1"/>
    <col min="4116" max="4117" width="9" style="279" customWidth="1"/>
    <col min="4118" max="4118" width="9.88671875" style="279" customWidth="1"/>
    <col min="4119" max="4119" width="10.109375" style="279" customWidth="1"/>
    <col min="4120" max="4120" width="7.88671875" style="279" customWidth="1"/>
    <col min="4121" max="4121" width="8.5546875" style="279" customWidth="1"/>
    <col min="4122" max="4122" width="7.88671875" style="279" customWidth="1"/>
    <col min="4123" max="4123" width="8.6640625" style="279" customWidth="1"/>
    <col min="4124" max="4356" width="9.109375" style="279"/>
    <col min="4357" max="4357" width="5.44140625" style="279" customWidth="1"/>
    <col min="4358" max="4358" width="45.109375" style="279" customWidth="1"/>
    <col min="4359" max="4360" width="12" style="279" customWidth="1"/>
    <col min="4361" max="4361" width="16.109375" style="279" customWidth="1"/>
    <col min="4362" max="4362" width="7.6640625" style="279" customWidth="1"/>
    <col min="4363" max="4363" width="12" style="279" customWidth="1"/>
    <col min="4364" max="4365" width="9" style="279" customWidth="1"/>
    <col min="4366" max="4366" width="11.33203125" style="279" customWidth="1"/>
    <col min="4367" max="4368" width="12" style="279" customWidth="1"/>
    <col min="4369" max="4369" width="17.109375" style="279" customWidth="1"/>
    <col min="4370" max="4370" width="9" style="279" customWidth="1"/>
    <col min="4371" max="4371" width="12" style="279" customWidth="1"/>
    <col min="4372" max="4373" width="9" style="279" customWidth="1"/>
    <col min="4374" max="4374" width="9.88671875" style="279" customWidth="1"/>
    <col min="4375" max="4375" width="10.109375" style="279" customWidth="1"/>
    <col min="4376" max="4376" width="7.88671875" style="279" customWidth="1"/>
    <col min="4377" max="4377" width="8.5546875" style="279" customWidth="1"/>
    <col min="4378" max="4378" width="7.88671875" style="279" customWidth="1"/>
    <col min="4379" max="4379" width="8.6640625" style="279" customWidth="1"/>
    <col min="4380" max="4612" width="9.109375" style="279"/>
    <col min="4613" max="4613" width="5.44140625" style="279" customWidth="1"/>
    <col min="4614" max="4614" width="45.109375" style="279" customWidth="1"/>
    <col min="4615" max="4616" width="12" style="279" customWidth="1"/>
    <col min="4617" max="4617" width="16.109375" style="279" customWidth="1"/>
    <col min="4618" max="4618" width="7.6640625" style="279" customWidth="1"/>
    <col min="4619" max="4619" width="12" style="279" customWidth="1"/>
    <col min="4620" max="4621" width="9" style="279" customWidth="1"/>
    <col min="4622" max="4622" width="11.33203125" style="279" customWidth="1"/>
    <col min="4623" max="4624" width="12" style="279" customWidth="1"/>
    <col min="4625" max="4625" width="17.109375" style="279" customWidth="1"/>
    <col min="4626" max="4626" width="9" style="279" customWidth="1"/>
    <col min="4627" max="4627" width="12" style="279" customWidth="1"/>
    <col min="4628" max="4629" width="9" style="279" customWidth="1"/>
    <col min="4630" max="4630" width="9.88671875" style="279" customWidth="1"/>
    <col min="4631" max="4631" width="10.109375" style="279" customWidth="1"/>
    <col min="4632" max="4632" width="7.88671875" style="279" customWidth="1"/>
    <col min="4633" max="4633" width="8.5546875" style="279" customWidth="1"/>
    <col min="4634" max="4634" width="7.88671875" style="279" customWidth="1"/>
    <col min="4635" max="4635" width="8.6640625" style="279" customWidth="1"/>
    <col min="4636" max="4868" width="9.109375" style="279"/>
    <col min="4869" max="4869" width="5.44140625" style="279" customWidth="1"/>
    <col min="4870" max="4870" width="45.109375" style="279" customWidth="1"/>
    <col min="4871" max="4872" width="12" style="279" customWidth="1"/>
    <col min="4873" max="4873" width="16.109375" style="279" customWidth="1"/>
    <col min="4874" max="4874" width="7.6640625" style="279" customWidth="1"/>
    <col min="4875" max="4875" width="12" style="279" customWidth="1"/>
    <col min="4876" max="4877" width="9" style="279" customWidth="1"/>
    <col min="4878" max="4878" width="11.33203125" style="279" customWidth="1"/>
    <col min="4879" max="4880" width="12" style="279" customWidth="1"/>
    <col min="4881" max="4881" width="17.109375" style="279" customWidth="1"/>
    <col min="4882" max="4882" width="9" style="279" customWidth="1"/>
    <col min="4883" max="4883" width="12" style="279" customWidth="1"/>
    <col min="4884" max="4885" width="9" style="279" customWidth="1"/>
    <col min="4886" max="4886" width="9.88671875" style="279" customWidth="1"/>
    <col min="4887" max="4887" width="10.109375" style="279" customWidth="1"/>
    <col min="4888" max="4888" width="7.88671875" style="279" customWidth="1"/>
    <col min="4889" max="4889" width="8.5546875" style="279" customWidth="1"/>
    <col min="4890" max="4890" width="7.88671875" style="279" customWidth="1"/>
    <col min="4891" max="4891" width="8.6640625" style="279" customWidth="1"/>
    <col min="4892" max="5124" width="9.109375" style="279"/>
    <col min="5125" max="5125" width="5.44140625" style="279" customWidth="1"/>
    <col min="5126" max="5126" width="45.109375" style="279" customWidth="1"/>
    <col min="5127" max="5128" width="12" style="279" customWidth="1"/>
    <col min="5129" max="5129" width="16.109375" style="279" customWidth="1"/>
    <col min="5130" max="5130" width="7.6640625" style="279" customWidth="1"/>
    <col min="5131" max="5131" width="12" style="279" customWidth="1"/>
    <col min="5132" max="5133" width="9" style="279" customWidth="1"/>
    <col min="5134" max="5134" width="11.33203125" style="279" customWidth="1"/>
    <col min="5135" max="5136" width="12" style="279" customWidth="1"/>
    <col min="5137" max="5137" width="17.109375" style="279" customWidth="1"/>
    <col min="5138" max="5138" width="9" style="279" customWidth="1"/>
    <col min="5139" max="5139" width="12" style="279" customWidth="1"/>
    <col min="5140" max="5141" width="9" style="279" customWidth="1"/>
    <col min="5142" max="5142" width="9.88671875" style="279" customWidth="1"/>
    <col min="5143" max="5143" width="10.109375" style="279" customWidth="1"/>
    <col min="5144" max="5144" width="7.88671875" style="279" customWidth="1"/>
    <col min="5145" max="5145" width="8.5546875" style="279" customWidth="1"/>
    <col min="5146" max="5146" width="7.88671875" style="279" customWidth="1"/>
    <col min="5147" max="5147" width="8.6640625" style="279" customWidth="1"/>
    <col min="5148" max="5380" width="9.109375" style="279"/>
    <col min="5381" max="5381" width="5.44140625" style="279" customWidth="1"/>
    <col min="5382" max="5382" width="45.109375" style="279" customWidth="1"/>
    <col min="5383" max="5384" width="12" style="279" customWidth="1"/>
    <col min="5385" max="5385" width="16.109375" style="279" customWidth="1"/>
    <col min="5386" max="5386" width="7.6640625" style="279" customWidth="1"/>
    <col min="5387" max="5387" width="12" style="279" customWidth="1"/>
    <col min="5388" max="5389" width="9" style="279" customWidth="1"/>
    <col min="5390" max="5390" width="11.33203125" style="279" customWidth="1"/>
    <col min="5391" max="5392" width="12" style="279" customWidth="1"/>
    <col min="5393" max="5393" width="17.109375" style="279" customWidth="1"/>
    <col min="5394" max="5394" width="9" style="279" customWidth="1"/>
    <col min="5395" max="5395" width="12" style="279" customWidth="1"/>
    <col min="5396" max="5397" width="9" style="279" customWidth="1"/>
    <col min="5398" max="5398" width="9.88671875" style="279" customWidth="1"/>
    <col min="5399" max="5399" width="10.109375" style="279" customWidth="1"/>
    <col min="5400" max="5400" width="7.88671875" style="279" customWidth="1"/>
    <col min="5401" max="5401" width="8.5546875" style="279" customWidth="1"/>
    <col min="5402" max="5402" width="7.88671875" style="279" customWidth="1"/>
    <col min="5403" max="5403" width="8.6640625" style="279" customWidth="1"/>
    <col min="5404" max="5636" width="9.109375" style="279"/>
    <col min="5637" max="5637" width="5.44140625" style="279" customWidth="1"/>
    <col min="5638" max="5638" width="45.109375" style="279" customWidth="1"/>
    <col min="5639" max="5640" width="12" style="279" customWidth="1"/>
    <col min="5641" max="5641" width="16.109375" style="279" customWidth="1"/>
    <col min="5642" max="5642" width="7.6640625" style="279" customWidth="1"/>
    <col min="5643" max="5643" width="12" style="279" customWidth="1"/>
    <col min="5644" max="5645" width="9" style="279" customWidth="1"/>
    <col min="5646" max="5646" width="11.33203125" style="279" customWidth="1"/>
    <col min="5647" max="5648" width="12" style="279" customWidth="1"/>
    <col min="5649" max="5649" width="17.109375" style="279" customWidth="1"/>
    <col min="5650" max="5650" width="9" style="279" customWidth="1"/>
    <col min="5651" max="5651" width="12" style="279" customWidth="1"/>
    <col min="5652" max="5653" width="9" style="279" customWidth="1"/>
    <col min="5654" max="5654" width="9.88671875" style="279" customWidth="1"/>
    <col min="5655" max="5655" width="10.109375" style="279" customWidth="1"/>
    <col min="5656" max="5656" width="7.88671875" style="279" customWidth="1"/>
    <col min="5657" max="5657" width="8.5546875" style="279" customWidth="1"/>
    <col min="5658" max="5658" width="7.88671875" style="279" customWidth="1"/>
    <col min="5659" max="5659" width="8.6640625" style="279" customWidth="1"/>
    <col min="5660" max="5892" width="9.109375" style="279"/>
    <col min="5893" max="5893" width="5.44140625" style="279" customWidth="1"/>
    <col min="5894" max="5894" width="45.109375" style="279" customWidth="1"/>
    <col min="5895" max="5896" width="12" style="279" customWidth="1"/>
    <col min="5897" max="5897" width="16.109375" style="279" customWidth="1"/>
    <col min="5898" max="5898" width="7.6640625" style="279" customWidth="1"/>
    <col min="5899" max="5899" width="12" style="279" customWidth="1"/>
    <col min="5900" max="5901" width="9" style="279" customWidth="1"/>
    <col min="5902" max="5902" width="11.33203125" style="279" customWidth="1"/>
    <col min="5903" max="5904" width="12" style="279" customWidth="1"/>
    <col min="5905" max="5905" width="17.109375" style="279" customWidth="1"/>
    <col min="5906" max="5906" width="9" style="279" customWidth="1"/>
    <col min="5907" max="5907" width="12" style="279" customWidth="1"/>
    <col min="5908" max="5909" width="9" style="279" customWidth="1"/>
    <col min="5910" max="5910" width="9.88671875" style="279" customWidth="1"/>
    <col min="5911" max="5911" width="10.109375" style="279" customWidth="1"/>
    <col min="5912" max="5912" width="7.88671875" style="279" customWidth="1"/>
    <col min="5913" max="5913" width="8.5546875" style="279" customWidth="1"/>
    <col min="5914" max="5914" width="7.88671875" style="279" customWidth="1"/>
    <col min="5915" max="5915" width="8.6640625" style="279" customWidth="1"/>
    <col min="5916" max="6148" width="9.109375" style="279"/>
    <col min="6149" max="6149" width="5.44140625" style="279" customWidth="1"/>
    <col min="6150" max="6150" width="45.109375" style="279" customWidth="1"/>
    <col min="6151" max="6152" width="12" style="279" customWidth="1"/>
    <col min="6153" max="6153" width="16.109375" style="279" customWidth="1"/>
    <col min="6154" max="6154" width="7.6640625" style="279" customWidth="1"/>
    <col min="6155" max="6155" width="12" style="279" customWidth="1"/>
    <col min="6156" max="6157" width="9" style="279" customWidth="1"/>
    <col min="6158" max="6158" width="11.33203125" style="279" customWidth="1"/>
    <col min="6159" max="6160" width="12" style="279" customWidth="1"/>
    <col min="6161" max="6161" width="17.109375" style="279" customWidth="1"/>
    <col min="6162" max="6162" width="9" style="279" customWidth="1"/>
    <col min="6163" max="6163" width="12" style="279" customWidth="1"/>
    <col min="6164" max="6165" width="9" style="279" customWidth="1"/>
    <col min="6166" max="6166" width="9.88671875" style="279" customWidth="1"/>
    <col min="6167" max="6167" width="10.109375" style="279" customWidth="1"/>
    <col min="6168" max="6168" width="7.88671875" style="279" customWidth="1"/>
    <col min="6169" max="6169" width="8.5546875" style="279" customWidth="1"/>
    <col min="6170" max="6170" width="7.88671875" style="279" customWidth="1"/>
    <col min="6171" max="6171" width="8.6640625" style="279" customWidth="1"/>
    <col min="6172" max="6404" width="9.109375" style="279"/>
    <col min="6405" max="6405" width="5.44140625" style="279" customWidth="1"/>
    <col min="6406" max="6406" width="45.109375" style="279" customWidth="1"/>
    <col min="6407" max="6408" width="12" style="279" customWidth="1"/>
    <col min="6409" max="6409" width="16.109375" style="279" customWidth="1"/>
    <col min="6410" max="6410" width="7.6640625" style="279" customWidth="1"/>
    <col min="6411" max="6411" width="12" style="279" customWidth="1"/>
    <col min="6412" max="6413" width="9" style="279" customWidth="1"/>
    <col min="6414" max="6414" width="11.33203125" style="279" customWidth="1"/>
    <col min="6415" max="6416" width="12" style="279" customWidth="1"/>
    <col min="6417" max="6417" width="17.109375" style="279" customWidth="1"/>
    <col min="6418" max="6418" width="9" style="279" customWidth="1"/>
    <col min="6419" max="6419" width="12" style="279" customWidth="1"/>
    <col min="6420" max="6421" width="9" style="279" customWidth="1"/>
    <col min="6422" max="6422" width="9.88671875" style="279" customWidth="1"/>
    <col min="6423" max="6423" width="10.109375" style="279" customWidth="1"/>
    <col min="6424" max="6424" width="7.88671875" style="279" customWidth="1"/>
    <col min="6425" max="6425" width="8.5546875" style="279" customWidth="1"/>
    <col min="6426" max="6426" width="7.88671875" style="279" customWidth="1"/>
    <col min="6427" max="6427" width="8.6640625" style="279" customWidth="1"/>
    <col min="6428" max="6660" width="9.109375" style="279"/>
    <col min="6661" max="6661" width="5.44140625" style="279" customWidth="1"/>
    <col min="6662" max="6662" width="45.109375" style="279" customWidth="1"/>
    <col min="6663" max="6664" width="12" style="279" customWidth="1"/>
    <col min="6665" max="6665" width="16.109375" style="279" customWidth="1"/>
    <col min="6666" max="6666" width="7.6640625" style="279" customWidth="1"/>
    <col min="6667" max="6667" width="12" style="279" customWidth="1"/>
    <col min="6668" max="6669" width="9" style="279" customWidth="1"/>
    <col min="6670" max="6670" width="11.33203125" style="279" customWidth="1"/>
    <col min="6671" max="6672" width="12" style="279" customWidth="1"/>
    <col min="6673" max="6673" width="17.109375" style="279" customWidth="1"/>
    <col min="6674" max="6674" width="9" style="279" customWidth="1"/>
    <col min="6675" max="6675" width="12" style="279" customWidth="1"/>
    <col min="6676" max="6677" width="9" style="279" customWidth="1"/>
    <col min="6678" max="6678" width="9.88671875" style="279" customWidth="1"/>
    <col min="6679" max="6679" width="10.109375" style="279" customWidth="1"/>
    <col min="6680" max="6680" width="7.88671875" style="279" customWidth="1"/>
    <col min="6681" max="6681" width="8.5546875" style="279" customWidth="1"/>
    <col min="6682" max="6682" width="7.88671875" style="279" customWidth="1"/>
    <col min="6683" max="6683" width="8.6640625" style="279" customWidth="1"/>
    <col min="6684" max="6916" width="9.109375" style="279"/>
    <col min="6917" max="6917" width="5.44140625" style="279" customWidth="1"/>
    <col min="6918" max="6918" width="45.109375" style="279" customWidth="1"/>
    <col min="6919" max="6920" width="12" style="279" customWidth="1"/>
    <col min="6921" max="6921" width="16.109375" style="279" customWidth="1"/>
    <col min="6922" max="6922" width="7.6640625" style="279" customWidth="1"/>
    <col min="6923" max="6923" width="12" style="279" customWidth="1"/>
    <col min="6924" max="6925" width="9" style="279" customWidth="1"/>
    <col min="6926" max="6926" width="11.33203125" style="279" customWidth="1"/>
    <col min="6927" max="6928" width="12" style="279" customWidth="1"/>
    <col min="6929" max="6929" width="17.109375" style="279" customWidth="1"/>
    <col min="6930" max="6930" width="9" style="279" customWidth="1"/>
    <col min="6931" max="6931" width="12" style="279" customWidth="1"/>
    <col min="6932" max="6933" width="9" style="279" customWidth="1"/>
    <col min="6934" max="6934" width="9.88671875" style="279" customWidth="1"/>
    <col min="6935" max="6935" width="10.109375" style="279" customWidth="1"/>
    <col min="6936" max="6936" width="7.88671875" style="279" customWidth="1"/>
    <col min="6937" max="6937" width="8.5546875" style="279" customWidth="1"/>
    <col min="6938" max="6938" width="7.88671875" style="279" customWidth="1"/>
    <col min="6939" max="6939" width="8.6640625" style="279" customWidth="1"/>
    <col min="6940" max="7172" width="9.109375" style="279"/>
    <col min="7173" max="7173" width="5.44140625" style="279" customWidth="1"/>
    <col min="7174" max="7174" width="45.109375" style="279" customWidth="1"/>
    <col min="7175" max="7176" width="12" style="279" customWidth="1"/>
    <col min="7177" max="7177" width="16.109375" style="279" customWidth="1"/>
    <col min="7178" max="7178" width="7.6640625" style="279" customWidth="1"/>
    <col min="7179" max="7179" width="12" style="279" customWidth="1"/>
    <col min="7180" max="7181" width="9" style="279" customWidth="1"/>
    <col min="7182" max="7182" width="11.33203125" style="279" customWidth="1"/>
    <col min="7183" max="7184" width="12" style="279" customWidth="1"/>
    <col min="7185" max="7185" width="17.109375" style="279" customWidth="1"/>
    <col min="7186" max="7186" width="9" style="279" customWidth="1"/>
    <col min="7187" max="7187" width="12" style="279" customWidth="1"/>
    <col min="7188" max="7189" width="9" style="279" customWidth="1"/>
    <col min="7190" max="7190" width="9.88671875" style="279" customWidth="1"/>
    <col min="7191" max="7191" width="10.109375" style="279" customWidth="1"/>
    <col min="7192" max="7192" width="7.88671875" style="279" customWidth="1"/>
    <col min="7193" max="7193" width="8.5546875" style="279" customWidth="1"/>
    <col min="7194" max="7194" width="7.88671875" style="279" customWidth="1"/>
    <col min="7195" max="7195" width="8.6640625" style="279" customWidth="1"/>
    <col min="7196" max="7428" width="9.109375" style="279"/>
    <col min="7429" max="7429" width="5.44140625" style="279" customWidth="1"/>
    <col min="7430" max="7430" width="45.109375" style="279" customWidth="1"/>
    <col min="7431" max="7432" width="12" style="279" customWidth="1"/>
    <col min="7433" max="7433" width="16.109375" style="279" customWidth="1"/>
    <col min="7434" max="7434" width="7.6640625" style="279" customWidth="1"/>
    <col min="7435" max="7435" width="12" style="279" customWidth="1"/>
    <col min="7436" max="7437" width="9" style="279" customWidth="1"/>
    <col min="7438" max="7438" width="11.33203125" style="279" customWidth="1"/>
    <col min="7439" max="7440" width="12" style="279" customWidth="1"/>
    <col min="7441" max="7441" width="17.109375" style="279" customWidth="1"/>
    <col min="7442" max="7442" width="9" style="279" customWidth="1"/>
    <col min="7443" max="7443" width="12" style="279" customWidth="1"/>
    <col min="7444" max="7445" width="9" style="279" customWidth="1"/>
    <col min="7446" max="7446" width="9.88671875" style="279" customWidth="1"/>
    <col min="7447" max="7447" width="10.109375" style="279" customWidth="1"/>
    <col min="7448" max="7448" width="7.88671875" style="279" customWidth="1"/>
    <col min="7449" max="7449" width="8.5546875" style="279" customWidth="1"/>
    <col min="7450" max="7450" width="7.88671875" style="279" customWidth="1"/>
    <col min="7451" max="7451" width="8.6640625" style="279" customWidth="1"/>
    <col min="7452" max="7684" width="9.109375" style="279"/>
    <col min="7685" max="7685" width="5.44140625" style="279" customWidth="1"/>
    <col min="7686" max="7686" width="45.109375" style="279" customWidth="1"/>
    <col min="7687" max="7688" width="12" style="279" customWidth="1"/>
    <col min="7689" max="7689" width="16.109375" style="279" customWidth="1"/>
    <col min="7690" max="7690" width="7.6640625" style="279" customWidth="1"/>
    <col min="7691" max="7691" width="12" style="279" customWidth="1"/>
    <col min="7692" max="7693" width="9" style="279" customWidth="1"/>
    <col min="7694" max="7694" width="11.33203125" style="279" customWidth="1"/>
    <col min="7695" max="7696" width="12" style="279" customWidth="1"/>
    <col min="7697" max="7697" width="17.109375" style="279" customWidth="1"/>
    <col min="7698" max="7698" width="9" style="279" customWidth="1"/>
    <col min="7699" max="7699" width="12" style="279" customWidth="1"/>
    <col min="7700" max="7701" width="9" style="279" customWidth="1"/>
    <col min="7702" max="7702" width="9.88671875" style="279" customWidth="1"/>
    <col min="7703" max="7703" width="10.109375" style="279" customWidth="1"/>
    <col min="7704" max="7704" width="7.88671875" style="279" customWidth="1"/>
    <col min="7705" max="7705" width="8.5546875" style="279" customWidth="1"/>
    <col min="7706" max="7706" width="7.88671875" style="279" customWidth="1"/>
    <col min="7707" max="7707" width="8.6640625" style="279" customWidth="1"/>
    <col min="7708" max="7940" width="9.109375" style="279"/>
    <col min="7941" max="7941" width="5.44140625" style="279" customWidth="1"/>
    <col min="7942" max="7942" width="45.109375" style="279" customWidth="1"/>
    <col min="7943" max="7944" width="12" style="279" customWidth="1"/>
    <col min="7945" max="7945" width="16.109375" style="279" customWidth="1"/>
    <col min="7946" max="7946" width="7.6640625" style="279" customWidth="1"/>
    <col min="7947" max="7947" width="12" style="279" customWidth="1"/>
    <col min="7948" max="7949" width="9" style="279" customWidth="1"/>
    <col min="7950" max="7950" width="11.33203125" style="279" customWidth="1"/>
    <col min="7951" max="7952" width="12" style="279" customWidth="1"/>
    <col min="7953" max="7953" width="17.109375" style="279" customWidth="1"/>
    <col min="7954" max="7954" width="9" style="279" customWidth="1"/>
    <col min="7955" max="7955" width="12" style="279" customWidth="1"/>
    <col min="7956" max="7957" width="9" style="279" customWidth="1"/>
    <col min="7958" max="7958" width="9.88671875" style="279" customWidth="1"/>
    <col min="7959" max="7959" width="10.109375" style="279" customWidth="1"/>
    <col min="7960" max="7960" width="7.88671875" style="279" customWidth="1"/>
    <col min="7961" max="7961" width="8.5546875" style="279" customWidth="1"/>
    <col min="7962" max="7962" width="7.88671875" style="279" customWidth="1"/>
    <col min="7963" max="7963" width="8.6640625" style="279" customWidth="1"/>
    <col min="7964" max="8196" width="9.109375" style="279"/>
    <col min="8197" max="8197" width="5.44140625" style="279" customWidth="1"/>
    <col min="8198" max="8198" width="45.109375" style="279" customWidth="1"/>
    <col min="8199" max="8200" width="12" style="279" customWidth="1"/>
    <col min="8201" max="8201" width="16.109375" style="279" customWidth="1"/>
    <col min="8202" max="8202" width="7.6640625" style="279" customWidth="1"/>
    <col min="8203" max="8203" width="12" style="279" customWidth="1"/>
    <col min="8204" max="8205" width="9" style="279" customWidth="1"/>
    <col min="8206" max="8206" width="11.33203125" style="279" customWidth="1"/>
    <col min="8207" max="8208" width="12" style="279" customWidth="1"/>
    <col min="8209" max="8209" width="17.109375" style="279" customWidth="1"/>
    <col min="8210" max="8210" width="9" style="279" customWidth="1"/>
    <col min="8211" max="8211" width="12" style="279" customWidth="1"/>
    <col min="8212" max="8213" width="9" style="279" customWidth="1"/>
    <col min="8214" max="8214" width="9.88671875" style="279" customWidth="1"/>
    <col min="8215" max="8215" width="10.109375" style="279" customWidth="1"/>
    <col min="8216" max="8216" width="7.88671875" style="279" customWidth="1"/>
    <col min="8217" max="8217" width="8.5546875" style="279" customWidth="1"/>
    <col min="8218" max="8218" width="7.88671875" style="279" customWidth="1"/>
    <col min="8219" max="8219" width="8.6640625" style="279" customWidth="1"/>
    <col min="8220" max="8452" width="9.109375" style="279"/>
    <col min="8453" max="8453" width="5.44140625" style="279" customWidth="1"/>
    <col min="8454" max="8454" width="45.109375" style="279" customWidth="1"/>
    <col min="8455" max="8456" width="12" style="279" customWidth="1"/>
    <col min="8457" max="8457" width="16.109375" style="279" customWidth="1"/>
    <col min="8458" max="8458" width="7.6640625" style="279" customWidth="1"/>
    <col min="8459" max="8459" width="12" style="279" customWidth="1"/>
    <col min="8460" max="8461" width="9" style="279" customWidth="1"/>
    <col min="8462" max="8462" width="11.33203125" style="279" customWidth="1"/>
    <col min="8463" max="8464" width="12" style="279" customWidth="1"/>
    <col min="8465" max="8465" width="17.109375" style="279" customWidth="1"/>
    <col min="8466" max="8466" width="9" style="279" customWidth="1"/>
    <col min="8467" max="8467" width="12" style="279" customWidth="1"/>
    <col min="8468" max="8469" width="9" style="279" customWidth="1"/>
    <col min="8470" max="8470" width="9.88671875" style="279" customWidth="1"/>
    <col min="8471" max="8471" width="10.109375" style="279" customWidth="1"/>
    <col min="8472" max="8472" width="7.88671875" style="279" customWidth="1"/>
    <col min="8473" max="8473" width="8.5546875" style="279" customWidth="1"/>
    <col min="8474" max="8474" width="7.88671875" style="279" customWidth="1"/>
    <col min="8475" max="8475" width="8.6640625" style="279" customWidth="1"/>
    <col min="8476" max="8708" width="9.109375" style="279"/>
    <col min="8709" max="8709" width="5.44140625" style="279" customWidth="1"/>
    <col min="8710" max="8710" width="45.109375" style="279" customWidth="1"/>
    <col min="8711" max="8712" width="12" style="279" customWidth="1"/>
    <col min="8713" max="8713" width="16.109375" style="279" customWidth="1"/>
    <col min="8714" max="8714" width="7.6640625" style="279" customWidth="1"/>
    <col min="8715" max="8715" width="12" style="279" customWidth="1"/>
    <col min="8716" max="8717" width="9" style="279" customWidth="1"/>
    <col min="8718" max="8718" width="11.33203125" style="279" customWidth="1"/>
    <col min="8719" max="8720" width="12" style="279" customWidth="1"/>
    <col min="8721" max="8721" width="17.109375" style="279" customWidth="1"/>
    <col min="8722" max="8722" width="9" style="279" customWidth="1"/>
    <col min="8723" max="8723" width="12" style="279" customWidth="1"/>
    <col min="8724" max="8725" width="9" style="279" customWidth="1"/>
    <col min="8726" max="8726" width="9.88671875" style="279" customWidth="1"/>
    <col min="8727" max="8727" width="10.109375" style="279" customWidth="1"/>
    <col min="8728" max="8728" width="7.88671875" style="279" customWidth="1"/>
    <col min="8729" max="8729" width="8.5546875" style="279" customWidth="1"/>
    <col min="8730" max="8730" width="7.88671875" style="279" customWidth="1"/>
    <col min="8731" max="8731" width="8.6640625" style="279" customWidth="1"/>
    <col min="8732" max="8964" width="9.109375" style="279"/>
    <col min="8965" max="8965" width="5.44140625" style="279" customWidth="1"/>
    <col min="8966" max="8966" width="45.109375" style="279" customWidth="1"/>
    <col min="8967" max="8968" width="12" style="279" customWidth="1"/>
    <col min="8969" max="8969" width="16.109375" style="279" customWidth="1"/>
    <col min="8970" max="8970" width="7.6640625" style="279" customWidth="1"/>
    <col min="8971" max="8971" width="12" style="279" customWidth="1"/>
    <col min="8972" max="8973" width="9" style="279" customWidth="1"/>
    <col min="8974" max="8974" width="11.33203125" style="279" customWidth="1"/>
    <col min="8975" max="8976" width="12" style="279" customWidth="1"/>
    <col min="8977" max="8977" width="17.109375" style="279" customWidth="1"/>
    <col min="8978" max="8978" width="9" style="279" customWidth="1"/>
    <col min="8979" max="8979" width="12" style="279" customWidth="1"/>
    <col min="8980" max="8981" width="9" style="279" customWidth="1"/>
    <col min="8982" max="8982" width="9.88671875" style="279" customWidth="1"/>
    <col min="8983" max="8983" width="10.109375" style="279" customWidth="1"/>
    <col min="8984" max="8984" width="7.88671875" style="279" customWidth="1"/>
    <col min="8985" max="8985" width="8.5546875" style="279" customWidth="1"/>
    <col min="8986" max="8986" width="7.88671875" style="279" customWidth="1"/>
    <col min="8987" max="8987" width="8.6640625" style="279" customWidth="1"/>
    <col min="8988" max="9220" width="9.109375" style="279"/>
    <col min="9221" max="9221" width="5.44140625" style="279" customWidth="1"/>
    <col min="9222" max="9222" width="45.109375" style="279" customWidth="1"/>
    <col min="9223" max="9224" width="12" style="279" customWidth="1"/>
    <col min="9225" max="9225" width="16.109375" style="279" customWidth="1"/>
    <col min="9226" max="9226" width="7.6640625" style="279" customWidth="1"/>
    <col min="9227" max="9227" width="12" style="279" customWidth="1"/>
    <col min="9228" max="9229" width="9" style="279" customWidth="1"/>
    <col min="9230" max="9230" width="11.33203125" style="279" customWidth="1"/>
    <col min="9231" max="9232" width="12" style="279" customWidth="1"/>
    <col min="9233" max="9233" width="17.109375" style="279" customWidth="1"/>
    <col min="9234" max="9234" width="9" style="279" customWidth="1"/>
    <col min="9235" max="9235" width="12" style="279" customWidth="1"/>
    <col min="9236" max="9237" width="9" style="279" customWidth="1"/>
    <col min="9238" max="9238" width="9.88671875" style="279" customWidth="1"/>
    <col min="9239" max="9239" width="10.109375" style="279" customWidth="1"/>
    <col min="9240" max="9240" width="7.88671875" style="279" customWidth="1"/>
    <col min="9241" max="9241" width="8.5546875" style="279" customWidth="1"/>
    <col min="9242" max="9242" width="7.88671875" style="279" customWidth="1"/>
    <col min="9243" max="9243" width="8.6640625" style="279" customWidth="1"/>
    <col min="9244" max="9476" width="9.109375" style="279"/>
    <col min="9477" max="9477" width="5.44140625" style="279" customWidth="1"/>
    <col min="9478" max="9478" width="45.109375" style="279" customWidth="1"/>
    <col min="9479" max="9480" width="12" style="279" customWidth="1"/>
    <col min="9481" max="9481" width="16.109375" style="279" customWidth="1"/>
    <col min="9482" max="9482" width="7.6640625" style="279" customWidth="1"/>
    <col min="9483" max="9483" width="12" style="279" customWidth="1"/>
    <col min="9484" max="9485" width="9" style="279" customWidth="1"/>
    <col min="9486" max="9486" width="11.33203125" style="279" customWidth="1"/>
    <col min="9487" max="9488" width="12" style="279" customWidth="1"/>
    <col min="9489" max="9489" width="17.109375" style="279" customWidth="1"/>
    <col min="9490" max="9490" width="9" style="279" customWidth="1"/>
    <col min="9491" max="9491" width="12" style="279" customWidth="1"/>
    <col min="9492" max="9493" width="9" style="279" customWidth="1"/>
    <col min="9494" max="9494" width="9.88671875" style="279" customWidth="1"/>
    <col min="9495" max="9495" width="10.109375" style="279" customWidth="1"/>
    <col min="9496" max="9496" width="7.88671875" style="279" customWidth="1"/>
    <col min="9497" max="9497" width="8.5546875" style="279" customWidth="1"/>
    <col min="9498" max="9498" width="7.88671875" style="279" customWidth="1"/>
    <col min="9499" max="9499" width="8.6640625" style="279" customWidth="1"/>
    <col min="9500" max="9732" width="9.109375" style="279"/>
    <col min="9733" max="9733" width="5.44140625" style="279" customWidth="1"/>
    <col min="9734" max="9734" width="45.109375" style="279" customWidth="1"/>
    <col min="9735" max="9736" width="12" style="279" customWidth="1"/>
    <col min="9737" max="9737" width="16.109375" style="279" customWidth="1"/>
    <col min="9738" max="9738" width="7.6640625" style="279" customWidth="1"/>
    <col min="9739" max="9739" width="12" style="279" customWidth="1"/>
    <col min="9740" max="9741" width="9" style="279" customWidth="1"/>
    <col min="9742" max="9742" width="11.33203125" style="279" customWidth="1"/>
    <col min="9743" max="9744" width="12" style="279" customWidth="1"/>
    <col min="9745" max="9745" width="17.109375" style="279" customWidth="1"/>
    <col min="9746" max="9746" width="9" style="279" customWidth="1"/>
    <col min="9747" max="9747" width="12" style="279" customWidth="1"/>
    <col min="9748" max="9749" width="9" style="279" customWidth="1"/>
    <col min="9750" max="9750" width="9.88671875" style="279" customWidth="1"/>
    <col min="9751" max="9751" width="10.109375" style="279" customWidth="1"/>
    <col min="9752" max="9752" width="7.88671875" style="279" customWidth="1"/>
    <col min="9753" max="9753" width="8.5546875" style="279" customWidth="1"/>
    <col min="9754" max="9754" width="7.88671875" style="279" customWidth="1"/>
    <col min="9755" max="9755" width="8.6640625" style="279" customWidth="1"/>
    <col min="9756" max="9988" width="9.109375" style="279"/>
    <col min="9989" max="9989" width="5.44140625" style="279" customWidth="1"/>
    <col min="9990" max="9990" width="45.109375" style="279" customWidth="1"/>
    <col min="9991" max="9992" width="12" style="279" customWidth="1"/>
    <col min="9993" max="9993" width="16.109375" style="279" customWidth="1"/>
    <col min="9994" max="9994" width="7.6640625" style="279" customWidth="1"/>
    <col min="9995" max="9995" width="12" style="279" customWidth="1"/>
    <col min="9996" max="9997" width="9" style="279" customWidth="1"/>
    <col min="9998" max="9998" width="11.33203125" style="279" customWidth="1"/>
    <col min="9999" max="10000" width="12" style="279" customWidth="1"/>
    <col min="10001" max="10001" width="17.109375" style="279" customWidth="1"/>
    <col min="10002" max="10002" width="9" style="279" customWidth="1"/>
    <col min="10003" max="10003" width="12" style="279" customWidth="1"/>
    <col min="10004" max="10005" width="9" style="279" customWidth="1"/>
    <col min="10006" max="10006" width="9.88671875" style="279" customWidth="1"/>
    <col min="10007" max="10007" width="10.109375" style="279" customWidth="1"/>
    <col min="10008" max="10008" width="7.88671875" style="279" customWidth="1"/>
    <col min="10009" max="10009" width="8.5546875" style="279" customWidth="1"/>
    <col min="10010" max="10010" width="7.88671875" style="279" customWidth="1"/>
    <col min="10011" max="10011" width="8.6640625" style="279" customWidth="1"/>
    <col min="10012" max="10244" width="9.109375" style="279"/>
    <col min="10245" max="10245" width="5.44140625" style="279" customWidth="1"/>
    <col min="10246" max="10246" width="45.109375" style="279" customWidth="1"/>
    <col min="10247" max="10248" width="12" style="279" customWidth="1"/>
    <col min="10249" max="10249" width="16.109375" style="279" customWidth="1"/>
    <col min="10250" max="10250" width="7.6640625" style="279" customWidth="1"/>
    <col min="10251" max="10251" width="12" style="279" customWidth="1"/>
    <col min="10252" max="10253" width="9" style="279" customWidth="1"/>
    <col min="10254" max="10254" width="11.33203125" style="279" customWidth="1"/>
    <col min="10255" max="10256" width="12" style="279" customWidth="1"/>
    <col min="10257" max="10257" width="17.109375" style="279" customWidth="1"/>
    <col min="10258" max="10258" width="9" style="279" customWidth="1"/>
    <col min="10259" max="10259" width="12" style="279" customWidth="1"/>
    <col min="10260" max="10261" width="9" style="279" customWidth="1"/>
    <col min="10262" max="10262" width="9.88671875" style="279" customWidth="1"/>
    <col min="10263" max="10263" width="10.109375" style="279" customWidth="1"/>
    <col min="10264" max="10264" width="7.88671875" style="279" customWidth="1"/>
    <col min="10265" max="10265" width="8.5546875" style="279" customWidth="1"/>
    <col min="10266" max="10266" width="7.88671875" style="279" customWidth="1"/>
    <col min="10267" max="10267" width="8.6640625" style="279" customWidth="1"/>
    <col min="10268" max="10500" width="9.109375" style="279"/>
    <col min="10501" max="10501" width="5.44140625" style="279" customWidth="1"/>
    <col min="10502" max="10502" width="45.109375" style="279" customWidth="1"/>
    <col min="10503" max="10504" width="12" style="279" customWidth="1"/>
    <col min="10505" max="10505" width="16.109375" style="279" customWidth="1"/>
    <col min="10506" max="10506" width="7.6640625" style="279" customWidth="1"/>
    <col min="10507" max="10507" width="12" style="279" customWidth="1"/>
    <col min="10508" max="10509" width="9" style="279" customWidth="1"/>
    <col min="10510" max="10510" width="11.33203125" style="279" customWidth="1"/>
    <col min="10511" max="10512" width="12" style="279" customWidth="1"/>
    <col min="10513" max="10513" width="17.109375" style="279" customWidth="1"/>
    <col min="10514" max="10514" width="9" style="279" customWidth="1"/>
    <col min="10515" max="10515" width="12" style="279" customWidth="1"/>
    <col min="10516" max="10517" width="9" style="279" customWidth="1"/>
    <col min="10518" max="10518" width="9.88671875" style="279" customWidth="1"/>
    <col min="10519" max="10519" width="10.109375" style="279" customWidth="1"/>
    <col min="10520" max="10520" width="7.88671875" style="279" customWidth="1"/>
    <col min="10521" max="10521" width="8.5546875" style="279" customWidth="1"/>
    <col min="10522" max="10522" width="7.88671875" style="279" customWidth="1"/>
    <col min="10523" max="10523" width="8.6640625" style="279" customWidth="1"/>
    <col min="10524" max="10756" width="9.109375" style="279"/>
    <col min="10757" max="10757" width="5.44140625" style="279" customWidth="1"/>
    <col min="10758" max="10758" width="45.109375" style="279" customWidth="1"/>
    <col min="10759" max="10760" width="12" style="279" customWidth="1"/>
    <col min="10761" max="10761" width="16.109375" style="279" customWidth="1"/>
    <col min="10762" max="10762" width="7.6640625" style="279" customWidth="1"/>
    <col min="10763" max="10763" width="12" style="279" customWidth="1"/>
    <col min="10764" max="10765" width="9" style="279" customWidth="1"/>
    <col min="10766" max="10766" width="11.33203125" style="279" customWidth="1"/>
    <col min="10767" max="10768" width="12" style="279" customWidth="1"/>
    <col min="10769" max="10769" width="17.109375" style="279" customWidth="1"/>
    <col min="10770" max="10770" width="9" style="279" customWidth="1"/>
    <col min="10771" max="10771" width="12" style="279" customWidth="1"/>
    <col min="10772" max="10773" width="9" style="279" customWidth="1"/>
    <col min="10774" max="10774" width="9.88671875" style="279" customWidth="1"/>
    <col min="10775" max="10775" width="10.109375" style="279" customWidth="1"/>
    <col min="10776" max="10776" width="7.88671875" style="279" customWidth="1"/>
    <col min="10777" max="10777" width="8.5546875" style="279" customWidth="1"/>
    <col min="10778" max="10778" width="7.88671875" style="279" customWidth="1"/>
    <col min="10779" max="10779" width="8.6640625" style="279" customWidth="1"/>
    <col min="10780" max="11012" width="9.109375" style="279"/>
    <col min="11013" max="11013" width="5.44140625" style="279" customWidth="1"/>
    <col min="11014" max="11014" width="45.109375" style="279" customWidth="1"/>
    <col min="11015" max="11016" width="12" style="279" customWidth="1"/>
    <col min="11017" max="11017" width="16.109375" style="279" customWidth="1"/>
    <col min="11018" max="11018" width="7.6640625" style="279" customWidth="1"/>
    <col min="11019" max="11019" width="12" style="279" customWidth="1"/>
    <col min="11020" max="11021" width="9" style="279" customWidth="1"/>
    <col min="11022" max="11022" width="11.33203125" style="279" customWidth="1"/>
    <col min="11023" max="11024" width="12" style="279" customWidth="1"/>
    <col min="11025" max="11025" width="17.109375" style="279" customWidth="1"/>
    <col min="11026" max="11026" width="9" style="279" customWidth="1"/>
    <col min="11027" max="11027" width="12" style="279" customWidth="1"/>
    <col min="11028" max="11029" width="9" style="279" customWidth="1"/>
    <col min="11030" max="11030" width="9.88671875" style="279" customWidth="1"/>
    <col min="11031" max="11031" width="10.109375" style="279" customWidth="1"/>
    <col min="11032" max="11032" width="7.88671875" style="279" customWidth="1"/>
    <col min="11033" max="11033" width="8.5546875" style="279" customWidth="1"/>
    <col min="11034" max="11034" width="7.88671875" style="279" customWidth="1"/>
    <col min="11035" max="11035" width="8.6640625" style="279" customWidth="1"/>
    <col min="11036" max="11268" width="9.109375" style="279"/>
    <col min="11269" max="11269" width="5.44140625" style="279" customWidth="1"/>
    <col min="11270" max="11270" width="45.109375" style="279" customWidth="1"/>
    <col min="11271" max="11272" width="12" style="279" customWidth="1"/>
    <col min="11273" max="11273" width="16.109375" style="279" customWidth="1"/>
    <col min="11274" max="11274" width="7.6640625" style="279" customWidth="1"/>
    <col min="11275" max="11275" width="12" style="279" customWidth="1"/>
    <col min="11276" max="11277" width="9" style="279" customWidth="1"/>
    <col min="11278" max="11278" width="11.33203125" style="279" customWidth="1"/>
    <col min="11279" max="11280" width="12" style="279" customWidth="1"/>
    <col min="11281" max="11281" width="17.109375" style="279" customWidth="1"/>
    <col min="11282" max="11282" width="9" style="279" customWidth="1"/>
    <col min="11283" max="11283" width="12" style="279" customWidth="1"/>
    <col min="11284" max="11285" width="9" style="279" customWidth="1"/>
    <col min="11286" max="11286" width="9.88671875" style="279" customWidth="1"/>
    <col min="11287" max="11287" width="10.109375" style="279" customWidth="1"/>
    <col min="11288" max="11288" width="7.88671875" style="279" customWidth="1"/>
    <col min="11289" max="11289" width="8.5546875" style="279" customWidth="1"/>
    <col min="11290" max="11290" width="7.88671875" style="279" customWidth="1"/>
    <col min="11291" max="11291" width="8.6640625" style="279" customWidth="1"/>
    <col min="11292" max="11524" width="9.109375" style="279"/>
    <col min="11525" max="11525" width="5.44140625" style="279" customWidth="1"/>
    <col min="11526" max="11526" width="45.109375" style="279" customWidth="1"/>
    <col min="11527" max="11528" width="12" style="279" customWidth="1"/>
    <col min="11529" max="11529" width="16.109375" style="279" customWidth="1"/>
    <col min="11530" max="11530" width="7.6640625" style="279" customWidth="1"/>
    <col min="11531" max="11531" width="12" style="279" customWidth="1"/>
    <col min="11532" max="11533" width="9" style="279" customWidth="1"/>
    <col min="11534" max="11534" width="11.33203125" style="279" customWidth="1"/>
    <col min="11535" max="11536" width="12" style="279" customWidth="1"/>
    <col min="11537" max="11537" width="17.109375" style="279" customWidth="1"/>
    <col min="11538" max="11538" width="9" style="279" customWidth="1"/>
    <col min="11539" max="11539" width="12" style="279" customWidth="1"/>
    <col min="11540" max="11541" width="9" style="279" customWidth="1"/>
    <col min="11542" max="11542" width="9.88671875" style="279" customWidth="1"/>
    <col min="11543" max="11543" width="10.109375" style="279" customWidth="1"/>
    <col min="11544" max="11544" width="7.88671875" style="279" customWidth="1"/>
    <col min="11545" max="11545" width="8.5546875" style="279" customWidth="1"/>
    <col min="11546" max="11546" width="7.88671875" style="279" customWidth="1"/>
    <col min="11547" max="11547" width="8.6640625" style="279" customWidth="1"/>
    <col min="11548" max="11780" width="9.109375" style="279"/>
    <col min="11781" max="11781" width="5.44140625" style="279" customWidth="1"/>
    <col min="11782" max="11782" width="45.109375" style="279" customWidth="1"/>
    <col min="11783" max="11784" width="12" style="279" customWidth="1"/>
    <col min="11785" max="11785" width="16.109375" style="279" customWidth="1"/>
    <col min="11786" max="11786" width="7.6640625" style="279" customWidth="1"/>
    <col min="11787" max="11787" width="12" style="279" customWidth="1"/>
    <col min="11788" max="11789" width="9" style="279" customWidth="1"/>
    <col min="11790" max="11790" width="11.33203125" style="279" customWidth="1"/>
    <col min="11791" max="11792" width="12" style="279" customWidth="1"/>
    <col min="11793" max="11793" width="17.109375" style="279" customWidth="1"/>
    <col min="11794" max="11794" width="9" style="279" customWidth="1"/>
    <col min="11795" max="11795" width="12" style="279" customWidth="1"/>
    <col min="11796" max="11797" width="9" style="279" customWidth="1"/>
    <col min="11798" max="11798" width="9.88671875" style="279" customWidth="1"/>
    <col min="11799" max="11799" width="10.109375" style="279" customWidth="1"/>
    <col min="11800" max="11800" width="7.88671875" style="279" customWidth="1"/>
    <col min="11801" max="11801" width="8.5546875" style="279" customWidth="1"/>
    <col min="11802" max="11802" width="7.88671875" style="279" customWidth="1"/>
    <col min="11803" max="11803" width="8.6640625" style="279" customWidth="1"/>
    <col min="11804" max="12036" width="9.109375" style="279"/>
    <col min="12037" max="12037" width="5.44140625" style="279" customWidth="1"/>
    <col min="12038" max="12038" width="45.109375" style="279" customWidth="1"/>
    <col min="12039" max="12040" width="12" style="279" customWidth="1"/>
    <col min="12041" max="12041" width="16.109375" style="279" customWidth="1"/>
    <col min="12042" max="12042" width="7.6640625" style="279" customWidth="1"/>
    <col min="12043" max="12043" width="12" style="279" customWidth="1"/>
    <col min="12044" max="12045" width="9" style="279" customWidth="1"/>
    <col min="12046" max="12046" width="11.33203125" style="279" customWidth="1"/>
    <col min="12047" max="12048" width="12" style="279" customWidth="1"/>
    <col min="12049" max="12049" width="17.109375" style="279" customWidth="1"/>
    <col min="12050" max="12050" width="9" style="279" customWidth="1"/>
    <col min="12051" max="12051" width="12" style="279" customWidth="1"/>
    <col min="12052" max="12053" width="9" style="279" customWidth="1"/>
    <col min="12054" max="12054" width="9.88671875" style="279" customWidth="1"/>
    <col min="12055" max="12055" width="10.109375" style="279" customWidth="1"/>
    <col min="12056" max="12056" width="7.88671875" style="279" customWidth="1"/>
    <col min="12057" max="12057" width="8.5546875" style="279" customWidth="1"/>
    <col min="12058" max="12058" width="7.88671875" style="279" customWidth="1"/>
    <col min="12059" max="12059" width="8.6640625" style="279" customWidth="1"/>
    <col min="12060" max="12292" width="9.109375" style="279"/>
    <col min="12293" max="12293" width="5.44140625" style="279" customWidth="1"/>
    <col min="12294" max="12294" width="45.109375" style="279" customWidth="1"/>
    <col min="12295" max="12296" width="12" style="279" customWidth="1"/>
    <col min="12297" max="12297" width="16.109375" style="279" customWidth="1"/>
    <col min="12298" max="12298" width="7.6640625" style="279" customWidth="1"/>
    <col min="12299" max="12299" width="12" style="279" customWidth="1"/>
    <col min="12300" max="12301" width="9" style="279" customWidth="1"/>
    <col min="12302" max="12302" width="11.33203125" style="279" customWidth="1"/>
    <col min="12303" max="12304" width="12" style="279" customWidth="1"/>
    <col min="12305" max="12305" width="17.109375" style="279" customWidth="1"/>
    <col min="12306" max="12306" width="9" style="279" customWidth="1"/>
    <col min="12307" max="12307" width="12" style="279" customWidth="1"/>
    <col min="12308" max="12309" width="9" style="279" customWidth="1"/>
    <col min="12310" max="12310" width="9.88671875" style="279" customWidth="1"/>
    <col min="12311" max="12311" width="10.109375" style="279" customWidth="1"/>
    <col min="12312" max="12312" width="7.88671875" style="279" customWidth="1"/>
    <col min="12313" max="12313" width="8.5546875" style="279" customWidth="1"/>
    <col min="12314" max="12314" width="7.88671875" style="279" customWidth="1"/>
    <col min="12315" max="12315" width="8.6640625" style="279" customWidth="1"/>
    <col min="12316" max="12548" width="9.109375" style="279"/>
    <col min="12549" max="12549" width="5.44140625" style="279" customWidth="1"/>
    <col min="12550" max="12550" width="45.109375" style="279" customWidth="1"/>
    <col min="12551" max="12552" width="12" style="279" customWidth="1"/>
    <col min="12553" max="12553" width="16.109375" style="279" customWidth="1"/>
    <col min="12554" max="12554" width="7.6640625" style="279" customWidth="1"/>
    <col min="12555" max="12555" width="12" style="279" customWidth="1"/>
    <col min="12556" max="12557" width="9" style="279" customWidth="1"/>
    <col min="12558" max="12558" width="11.33203125" style="279" customWidth="1"/>
    <col min="12559" max="12560" width="12" style="279" customWidth="1"/>
    <col min="12561" max="12561" width="17.109375" style="279" customWidth="1"/>
    <col min="12562" max="12562" width="9" style="279" customWidth="1"/>
    <col min="12563" max="12563" width="12" style="279" customWidth="1"/>
    <col min="12564" max="12565" width="9" style="279" customWidth="1"/>
    <col min="12566" max="12566" width="9.88671875" style="279" customWidth="1"/>
    <col min="12567" max="12567" width="10.109375" style="279" customWidth="1"/>
    <col min="12568" max="12568" width="7.88671875" style="279" customWidth="1"/>
    <col min="12569" max="12569" width="8.5546875" style="279" customWidth="1"/>
    <col min="12570" max="12570" width="7.88671875" style="279" customWidth="1"/>
    <col min="12571" max="12571" width="8.6640625" style="279" customWidth="1"/>
    <col min="12572" max="12804" width="9.109375" style="279"/>
    <col min="12805" max="12805" width="5.44140625" style="279" customWidth="1"/>
    <col min="12806" max="12806" width="45.109375" style="279" customWidth="1"/>
    <col min="12807" max="12808" width="12" style="279" customWidth="1"/>
    <col min="12809" max="12809" width="16.109375" style="279" customWidth="1"/>
    <col min="12810" max="12810" width="7.6640625" style="279" customWidth="1"/>
    <col min="12811" max="12811" width="12" style="279" customWidth="1"/>
    <col min="12812" max="12813" width="9" style="279" customWidth="1"/>
    <col min="12814" max="12814" width="11.33203125" style="279" customWidth="1"/>
    <col min="12815" max="12816" width="12" style="279" customWidth="1"/>
    <col min="12817" max="12817" width="17.109375" style="279" customWidth="1"/>
    <col min="12818" max="12818" width="9" style="279" customWidth="1"/>
    <col min="12819" max="12819" width="12" style="279" customWidth="1"/>
    <col min="12820" max="12821" width="9" style="279" customWidth="1"/>
    <col min="12822" max="12822" width="9.88671875" style="279" customWidth="1"/>
    <col min="12823" max="12823" width="10.109375" style="279" customWidth="1"/>
    <col min="12824" max="12824" width="7.88671875" style="279" customWidth="1"/>
    <col min="12825" max="12825" width="8.5546875" style="279" customWidth="1"/>
    <col min="12826" max="12826" width="7.88671875" style="279" customWidth="1"/>
    <col min="12827" max="12827" width="8.6640625" style="279" customWidth="1"/>
    <col min="12828" max="13060" width="9.109375" style="279"/>
    <col min="13061" max="13061" width="5.44140625" style="279" customWidth="1"/>
    <col min="13062" max="13062" width="45.109375" style="279" customWidth="1"/>
    <col min="13063" max="13064" width="12" style="279" customWidth="1"/>
    <col min="13065" max="13065" width="16.109375" style="279" customWidth="1"/>
    <col min="13066" max="13066" width="7.6640625" style="279" customWidth="1"/>
    <col min="13067" max="13067" width="12" style="279" customWidth="1"/>
    <col min="13068" max="13069" width="9" style="279" customWidth="1"/>
    <col min="13070" max="13070" width="11.33203125" style="279" customWidth="1"/>
    <col min="13071" max="13072" width="12" style="279" customWidth="1"/>
    <col min="13073" max="13073" width="17.109375" style="279" customWidth="1"/>
    <col min="13074" max="13074" width="9" style="279" customWidth="1"/>
    <col min="13075" max="13075" width="12" style="279" customWidth="1"/>
    <col min="13076" max="13077" width="9" style="279" customWidth="1"/>
    <col min="13078" max="13078" width="9.88671875" style="279" customWidth="1"/>
    <col min="13079" max="13079" width="10.109375" style="279" customWidth="1"/>
    <col min="13080" max="13080" width="7.88671875" style="279" customWidth="1"/>
    <col min="13081" max="13081" width="8.5546875" style="279" customWidth="1"/>
    <col min="13082" max="13082" width="7.88671875" style="279" customWidth="1"/>
    <col min="13083" max="13083" width="8.6640625" style="279" customWidth="1"/>
    <col min="13084" max="13316" width="9.109375" style="279"/>
    <col min="13317" max="13317" width="5.44140625" style="279" customWidth="1"/>
    <col min="13318" max="13318" width="45.109375" style="279" customWidth="1"/>
    <col min="13319" max="13320" width="12" style="279" customWidth="1"/>
    <col min="13321" max="13321" width="16.109375" style="279" customWidth="1"/>
    <col min="13322" max="13322" width="7.6640625" style="279" customWidth="1"/>
    <col min="13323" max="13323" width="12" style="279" customWidth="1"/>
    <col min="13324" max="13325" width="9" style="279" customWidth="1"/>
    <col min="13326" max="13326" width="11.33203125" style="279" customWidth="1"/>
    <col min="13327" max="13328" width="12" style="279" customWidth="1"/>
    <col min="13329" max="13329" width="17.109375" style="279" customWidth="1"/>
    <col min="13330" max="13330" width="9" style="279" customWidth="1"/>
    <col min="13331" max="13331" width="12" style="279" customWidth="1"/>
    <col min="13332" max="13333" width="9" style="279" customWidth="1"/>
    <col min="13334" max="13334" width="9.88671875" style="279" customWidth="1"/>
    <col min="13335" max="13335" width="10.109375" style="279" customWidth="1"/>
    <col min="13336" max="13336" width="7.88671875" style="279" customWidth="1"/>
    <col min="13337" max="13337" width="8.5546875" style="279" customWidth="1"/>
    <col min="13338" max="13338" width="7.88671875" style="279" customWidth="1"/>
    <col min="13339" max="13339" width="8.6640625" style="279" customWidth="1"/>
    <col min="13340" max="13572" width="9.109375" style="279"/>
    <col min="13573" max="13573" width="5.44140625" style="279" customWidth="1"/>
    <col min="13574" max="13574" width="45.109375" style="279" customWidth="1"/>
    <col min="13575" max="13576" width="12" style="279" customWidth="1"/>
    <col min="13577" max="13577" width="16.109375" style="279" customWidth="1"/>
    <col min="13578" max="13578" width="7.6640625" style="279" customWidth="1"/>
    <col min="13579" max="13579" width="12" style="279" customWidth="1"/>
    <col min="13580" max="13581" width="9" style="279" customWidth="1"/>
    <col min="13582" max="13582" width="11.33203125" style="279" customWidth="1"/>
    <col min="13583" max="13584" width="12" style="279" customWidth="1"/>
    <col min="13585" max="13585" width="17.109375" style="279" customWidth="1"/>
    <col min="13586" max="13586" width="9" style="279" customWidth="1"/>
    <col min="13587" max="13587" width="12" style="279" customWidth="1"/>
    <col min="13588" max="13589" width="9" style="279" customWidth="1"/>
    <col min="13590" max="13590" width="9.88671875" style="279" customWidth="1"/>
    <col min="13591" max="13591" width="10.109375" style="279" customWidth="1"/>
    <col min="13592" max="13592" width="7.88671875" style="279" customWidth="1"/>
    <col min="13593" max="13593" width="8.5546875" style="279" customWidth="1"/>
    <col min="13594" max="13594" width="7.88671875" style="279" customWidth="1"/>
    <col min="13595" max="13595" width="8.6640625" style="279" customWidth="1"/>
    <col min="13596" max="13828" width="9.109375" style="279"/>
    <col min="13829" max="13829" width="5.44140625" style="279" customWidth="1"/>
    <col min="13830" max="13830" width="45.109375" style="279" customWidth="1"/>
    <col min="13831" max="13832" width="12" style="279" customWidth="1"/>
    <col min="13833" max="13833" width="16.109375" style="279" customWidth="1"/>
    <col min="13834" max="13834" width="7.6640625" style="279" customWidth="1"/>
    <col min="13835" max="13835" width="12" style="279" customWidth="1"/>
    <col min="13836" max="13837" width="9" style="279" customWidth="1"/>
    <col min="13838" max="13838" width="11.33203125" style="279" customWidth="1"/>
    <col min="13839" max="13840" width="12" style="279" customWidth="1"/>
    <col min="13841" max="13841" width="17.109375" style="279" customWidth="1"/>
    <col min="13842" max="13842" width="9" style="279" customWidth="1"/>
    <col min="13843" max="13843" width="12" style="279" customWidth="1"/>
    <col min="13844" max="13845" width="9" style="279" customWidth="1"/>
    <col min="13846" max="13846" width="9.88671875" style="279" customWidth="1"/>
    <col min="13847" max="13847" width="10.109375" style="279" customWidth="1"/>
    <col min="13848" max="13848" width="7.88671875" style="279" customWidth="1"/>
    <col min="13849" max="13849" width="8.5546875" style="279" customWidth="1"/>
    <col min="13850" max="13850" width="7.88671875" style="279" customWidth="1"/>
    <col min="13851" max="13851" width="8.6640625" style="279" customWidth="1"/>
    <col min="13852" max="14084" width="9.109375" style="279"/>
    <col min="14085" max="14085" width="5.44140625" style="279" customWidth="1"/>
    <col min="14086" max="14086" width="45.109375" style="279" customWidth="1"/>
    <col min="14087" max="14088" width="12" style="279" customWidth="1"/>
    <col min="14089" max="14089" width="16.109375" style="279" customWidth="1"/>
    <col min="14090" max="14090" width="7.6640625" style="279" customWidth="1"/>
    <col min="14091" max="14091" width="12" style="279" customWidth="1"/>
    <col min="14092" max="14093" width="9" style="279" customWidth="1"/>
    <col min="14094" max="14094" width="11.33203125" style="279" customWidth="1"/>
    <col min="14095" max="14096" width="12" style="279" customWidth="1"/>
    <col min="14097" max="14097" width="17.109375" style="279" customWidth="1"/>
    <col min="14098" max="14098" width="9" style="279" customWidth="1"/>
    <col min="14099" max="14099" width="12" style="279" customWidth="1"/>
    <col min="14100" max="14101" width="9" style="279" customWidth="1"/>
    <col min="14102" max="14102" width="9.88671875" style="279" customWidth="1"/>
    <col min="14103" max="14103" width="10.109375" style="279" customWidth="1"/>
    <col min="14104" max="14104" width="7.88671875" style="279" customWidth="1"/>
    <col min="14105" max="14105" width="8.5546875" style="279" customWidth="1"/>
    <col min="14106" max="14106" width="7.88671875" style="279" customWidth="1"/>
    <col min="14107" max="14107" width="8.6640625" style="279" customWidth="1"/>
    <col min="14108" max="14340" width="9.109375" style="279"/>
    <col min="14341" max="14341" width="5.44140625" style="279" customWidth="1"/>
    <col min="14342" max="14342" width="45.109375" style="279" customWidth="1"/>
    <col min="14343" max="14344" width="12" style="279" customWidth="1"/>
    <col min="14345" max="14345" width="16.109375" style="279" customWidth="1"/>
    <col min="14346" max="14346" width="7.6640625" style="279" customWidth="1"/>
    <col min="14347" max="14347" width="12" style="279" customWidth="1"/>
    <col min="14348" max="14349" width="9" style="279" customWidth="1"/>
    <col min="14350" max="14350" width="11.33203125" style="279" customWidth="1"/>
    <col min="14351" max="14352" width="12" style="279" customWidth="1"/>
    <col min="14353" max="14353" width="17.109375" style="279" customWidth="1"/>
    <col min="14354" max="14354" width="9" style="279" customWidth="1"/>
    <col min="14355" max="14355" width="12" style="279" customWidth="1"/>
    <col min="14356" max="14357" width="9" style="279" customWidth="1"/>
    <col min="14358" max="14358" width="9.88671875" style="279" customWidth="1"/>
    <col min="14359" max="14359" width="10.109375" style="279" customWidth="1"/>
    <col min="14360" max="14360" width="7.88671875" style="279" customWidth="1"/>
    <col min="14361" max="14361" width="8.5546875" style="279" customWidth="1"/>
    <col min="14362" max="14362" width="7.88671875" style="279" customWidth="1"/>
    <col min="14363" max="14363" width="8.6640625" style="279" customWidth="1"/>
    <col min="14364" max="14596" width="9.109375" style="279"/>
    <col min="14597" max="14597" width="5.44140625" style="279" customWidth="1"/>
    <col min="14598" max="14598" width="45.109375" style="279" customWidth="1"/>
    <col min="14599" max="14600" width="12" style="279" customWidth="1"/>
    <col min="14601" max="14601" width="16.109375" style="279" customWidth="1"/>
    <col min="14602" max="14602" width="7.6640625" style="279" customWidth="1"/>
    <col min="14603" max="14603" width="12" style="279" customWidth="1"/>
    <col min="14604" max="14605" width="9" style="279" customWidth="1"/>
    <col min="14606" max="14606" width="11.33203125" style="279" customWidth="1"/>
    <col min="14607" max="14608" width="12" style="279" customWidth="1"/>
    <col min="14609" max="14609" width="17.109375" style="279" customWidth="1"/>
    <col min="14610" max="14610" width="9" style="279" customWidth="1"/>
    <col min="14611" max="14611" width="12" style="279" customWidth="1"/>
    <col min="14612" max="14613" width="9" style="279" customWidth="1"/>
    <col min="14614" max="14614" width="9.88671875" style="279" customWidth="1"/>
    <col min="14615" max="14615" width="10.109375" style="279" customWidth="1"/>
    <col min="14616" max="14616" width="7.88671875" style="279" customWidth="1"/>
    <col min="14617" max="14617" width="8.5546875" style="279" customWidth="1"/>
    <col min="14618" max="14618" width="7.88671875" style="279" customWidth="1"/>
    <col min="14619" max="14619" width="8.6640625" style="279" customWidth="1"/>
    <col min="14620" max="14852" width="9.109375" style="279"/>
    <col min="14853" max="14853" width="5.44140625" style="279" customWidth="1"/>
    <col min="14854" max="14854" width="45.109375" style="279" customWidth="1"/>
    <col min="14855" max="14856" width="12" style="279" customWidth="1"/>
    <col min="14857" max="14857" width="16.109375" style="279" customWidth="1"/>
    <col min="14858" max="14858" width="7.6640625" style="279" customWidth="1"/>
    <col min="14859" max="14859" width="12" style="279" customWidth="1"/>
    <col min="14860" max="14861" width="9" style="279" customWidth="1"/>
    <col min="14862" max="14862" width="11.33203125" style="279" customWidth="1"/>
    <col min="14863" max="14864" width="12" style="279" customWidth="1"/>
    <col min="14865" max="14865" width="17.109375" style="279" customWidth="1"/>
    <col min="14866" max="14866" width="9" style="279" customWidth="1"/>
    <col min="14867" max="14867" width="12" style="279" customWidth="1"/>
    <col min="14868" max="14869" width="9" style="279" customWidth="1"/>
    <col min="14870" max="14870" width="9.88671875" style="279" customWidth="1"/>
    <col min="14871" max="14871" width="10.109375" style="279" customWidth="1"/>
    <col min="14872" max="14872" width="7.88671875" style="279" customWidth="1"/>
    <col min="14873" max="14873" width="8.5546875" style="279" customWidth="1"/>
    <col min="14874" max="14874" width="7.88671875" style="279" customWidth="1"/>
    <col min="14875" max="14875" width="8.6640625" style="279" customWidth="1"/>
    <col min="14876" max="15108" width="9.109375" style="279"/>
    <col min="15109" max="15109" width="5.44140625" style="279" customWidth="1"/>
    <col min="15110" max="15110" width="45.109375" style="279" customWidth="1"/>
    <col min="15111" max="15112" width="12" style="279" customWidth="1"/>
    <col min="15113" max="15113" width="16.109375" style="279" customWidth="1"/>
    <col min="15114" max="15114" width="7.6640625" style="279" customWidth="1"/>
    <col min="15115" max="15115" width="12" style="279" customWidth="1"/>
    <col min="15116" max="15117" width="9" style="279" customWidth="1"/>
    <col min="15118" max="15118" width="11.33203125" style="279" customWidth="1"/>
    <col min="15119" max="15120" width="12" style="279" customWidth="1"/>
    <col min="15121" max="15121" width="17.109375" style="279" customWidth="1"/>
    <col min="15122" max="15122" width="9" style="279" customWidth="1"/>
    <col min="15123" max="15123" width="12" style="279" customWidth="1"/>
    <col min="15124" max="15125" width="9" style="279" customWidth="1"/>
    <col min="15126" max="15126" width="9.88671875" style="279" customWidth="1"/>
    <col min="15127" max="15127" width="10.109375" style="279" customWidth="1"/>
    <col min="15128" max="15128" width="7.88671875" style="279" customWidth="1"/>
    <col min="15129" max="15129" width="8.5546875" style="279" customWidth="1"/>
    <col min="15130" max="15130" width="7.88671875" style="279" customWidth="1"/>
    <col min="15131" max="15131" width="8.6640625" style="279" customWidth="1"/>
    <col min="15132" max="15364" width="9.109375" style="279"/>
    <col min="15365" max="15365" width="5.44140625" style="279" customWidth="1"/>
    <col min="15366" max="15366" width="45.109375" style="279" customWidth="1"/>
    <col min="15367" max="15368" width="12" style="279" customWidth="1"/>
    <col min="15369" max="15369" width="16.109375" style="279" customWidth="1"/>
    <col min="15370" max="15370" width="7.6640625" style="279" customWidth="1"/>
    <col min="15371" max="15371" width="12" style="279" customWidth="1"/>
    <col min="15372" max="15373" width="9" style="279" customWidth="1"/>
    <col min="15374" max="15374" width="11.33203125" style="279" customWidth="1"/>
    <col min="15375" max="15376" width="12" style="279" customWidth="1"/>
    <col min="15377" max="15377" width="17.109375" style="279" customWidth="1"/>
    <col min="15378" max="15378" width="9" style="279" customWidth="1"/>
    <col min="15379" max="15379" width="12" style="279" customWidth="1"/>
    <col min="15380" max="15381" width="9" style="279" customWidth="1"/>
    <col min="15382" max="15382" width="9.88671875" style="279" customWidth="1"/>
    <col min="15383" max="15383" width="10.109375" style="279" customWidth="1"/>
    <col min="15384" max="15384" width="7.88671875" style="279" customWidth="1"/>
    <col min="15385" max="15385" width="8.5546875" style="279" customWidth="1"/>
    <col min="15386" max="15386" width="7.88671875" style="279" customWidth="1"/>
    <col min="15387" max="15387" width="8.6640625" style="279" customWidth="1"/>
    <col min="15388" max="15620" width="9.109375" style="279"/>
    <col min="15621" max="15621" width="5.44140625" style="279" customWidth="1"/>
    <col min="15622" max="15622" width="45.109375" style="279" customWidth="1"/>
    <col min="15623" max="15624" width="12" style="279" customWidth="1"/>
    <col min="15625" max="15625" width="16.109375" style="279" customWidth="1"/>
    <col min="15626" max="15626" width="7.6640625" style="279" customWidth="1"/>
    <col min="15627" max="15627" width="12" style="279" customWidth="1"/>
    <col min="15628" max="15629" width="9" style="279" customWidth="1"/>
    <col min="15630" max="15630" width="11.33203125" style="279" customWidth="1"/>
    <col min="15631" max="15632" width="12" style="279" customWidth="1"/>
    <col min="15633" max="15633" width="17.109375" style="279" customWidth="1"/>
    <col min="15634" max="15634" width="9" style="279" customWidth="1"/>
    <col min="15635" max="15635" width="12" style="279" customWidth="1"/>
    <col min="15636" max="15637" width="9" style="279" customWidth="1"/>
    <col min="15638" max="15638" width="9.88671875" style="279" customWidth="1"/>
    <col min="15639" max="15639" width="10.109375" style="279" customWidth="1"/>
    <col min="15640" max="15640" width="7.88671875" style="279" customWidth="1"/>
    <col min="15641" max="15641" width="8.5546875" style="279" customWidth="1"/>
    <col min="15642" max="15642" width="7.88671875" style="279" customWidth="1"/>
    <col min="15643" max="15643" width="8.6640625" style="279" customWidth="1"/>
    <col min="15644" max="15876" width="9.109375" style="279"/>
    <col min="15877" max="15877" width="5.44140625" style="279" customWidth="1"/>
    <col min="15878" max="15878" width="45.109375" style="279" customWidth="1"/>
    <col min="15879" max="15880" width="12" style="279" customWidth="1"/>
    <col min="15881" max="15881" width="16.109375" style="279" customWidth="1"/>
    <col min="15882" max="15882" width="7.6640625" style="279" customWidth="1"/>
    <col min="15883" max="15883" width="12" style="279" customWidth="1"/>
    <col min="15884" max="15885" width="9" style="279" customWidth="1"/>
    <col min="15886" max="15886" width="11.33203125" style="279" customWidth="1"/>
    <col min="15887" max="15888" width="12" style="279" customWidth="1"/>
    <col min="15889" max="15889" width="17.109375" style="279" customWidth="1"/>
    <col min="15890" max="15890" width="9" style="279" customWidth="1"/>
    <col min="15891" max="15891" width="12" style="279" customWidth="1"/>
    <col min="15892" max="15893" width="9" style="279" customWidth="1"/>
    <col min="15894" max="15894" width="9.88671875" style="279" customWidth="1"/>
    <col min="15895" max="15895" width="10.109375" style="279" customWidth="1"/>
    <col min="15896" max="15896" width="7.88671875" style="279" customWidth="1"/>
    <col min="15897" max="15897" width="8.5546875" style="279" customWidth="1"/>
    <col min="15898" max="15898" width="7.88671875" style="279" customWidth="1"/>
    <col min="15899" max="15899" width="8.6640625" style="279" customWidth="1"/>
    <col min="15900" max="16132" width="9.109375" style="279"/>
    <col min="16133" max="16133" width="5.44140625" style="279" customWidth="1"/>
    <col min="16134" max="16134" width="45.109375" style="279" customWidth="1"/>
    <col min="16135" max="16136" width="12" style="279" customWidth="1"/>
    <col min="16137" max="16137" width="16.109375" style="279" customWidth="1"/>
    <col min="16138" max="16138" width="7.6640625" style="279" customWidth="1"/>
    <col min="16139" max="16139" width="12" style="279" customWidth="1"/>
    <col min="16140" max="16141" width="9" style="279" customWidth="1"/>
    <col min="16142" max="16142" width="11.33203125" style="279" customWidth="1"/>
    <col min="16143" max="16144" width="12" style="279" customWidth="1"/>
    <col min="16145" max="16145" width="17.109375" style="279" customWidth="1"/>
    <col min="16146" max="16146" width="9" style="279" customWidth="1"/>
    <col min="16147" max="16147" width="12" style="279" customWidth="1"/>
    <col min="16148" max="16149" width="9" style="279" customWidth="1"/>
    <col min="16150" max="16150" width="9.88671875" style="279" customWidth="1"/>
    <col min="16151" max="16151" width="10.109375" style="279" customWidth="1"/>
    <col min="16152" max="16152" width="7.88671875" style="279" customWidth="1"/>
    <col min="16153" max="16153" width="8.5546875" style="279" customWidth="1"/>
    <col min="16154" max="16154" width="7.88671875" style="279" customWidth="1"/>
    <col min="16155" max="16155" width="8.6640625" style="279" customWidth="1"/>
    <col min="16156" max="16384" width="9.109375" style="279"/>
  </cols>
  <sheetData>
    <row r="1" spans="1:28">
      <c r="A1" s="299" t="s">
        <v>202</v>
      </c>
      <c r="C1" s="586" t="s">
        <v>2313</v>
      </c>
      <c r="D1" s="642">
        <v>453831</v>
      </c>
      <c r="E1" s="643">
        <f>D1+D2</f>
        <v>1997215</v>
      </c>
      <c r="F1" s="643"/>
      <c r="G1" s="643"/>
      <c r="N1" s="280"/>
      <c r="O1" s="308"/>
      <c r="P1" s="308"/>
      <c r="Q1" s="308"/>
      <c r="X1" s="299" t="s">
        <v>123</v>
      </c>
    </row>
    <row r="2" spans="1:28">
      <c r="A2" s="314"/>
      <c r="C2" s="641" t="s">
        <v>2314</v>
      </c>
      <c r="D2" s="642">
        <f>280896+1262488</f>
        <v>1543384</v>
      </c>
      <c r="E2" s="644"/>
      <c r="F2" s="644"/>
      <c r="G2" s="644"/>
      <c r="N2" s="280"/>
      <c r="X2" s="276">
        <v>0</v>
      </c>
    </row>
    <row r="3" spans="1:28" ht="21.75" customHeight="1">
      <c r="A3" s="819" t="s">
        <v>2023</v>
      </c>
      <c r="B3" s="819"/>
      <c r="C3" s="819"/>
      <c r="D3" s="819"/>
      <c r="E3" s="819"/>
      <c r="F3" s="819"/>
      <c r="G3" s="819"/>
      <c r="H3" s="819"/>
      <c r="I3" s="819"/>
      <c r="J3" s="819"/>
      <c r="K3" s="819"/>
      <c r="L3" s="819"/>
      <c r="M3" s="819"/>
      <c r="N3" s="819"/>
      <c r="O3" s="819"/>
      <c r="P3" s="819"/>
      <c r="Q3" s="819"/>
      <c r="R3" s="819"/>
      <c r="S3" s="819"/>
      <c r="T3" s="819"/>
      <c r="U3" s="819"/>
      <c r="V3" s="819"/>
      <c r="W3" s="819"/>
      <c r="X3" s="819"/>
      <c r="Y3" s="819"/>
      <c r="Z3" s="819"/>
    </row>
    <row r="4" spans="1:28">
      <c r="A4" s="799" t="s">
        <v>2013</v>
      </c>
      <c r="B4" s="799"/>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1:28">
      <c r="B5" s="347"/>
      <c r="C5" s="276"/>
      <c r="D5" s="641">
        <f>D10+K10</f>
        <v>1774718.4553880002</v>
      </c>
      <c r="E5" s="308">
        <f>E1-D5</f>
        <v>222496.54461199977</v>
      </c>
      <c r="F5" s="308"/>
      <c r="G5" s="308"/>
      <c r="M5" s="276"/>
      <c r="N5" s="280">
        <f>N10+U10</f>
        <v>1243190.1653459999</v>
      </c>
      <c r="O5" s="308">
        <f>O10+V10</f>
        <v>1469894.541793</v>
      </c>
      <c r="P5" s="308"/>
      <c r="Q5" s="308"/>
      <c r="R5" s="276">
        <f>O5-N5</f>
        <v>226704.37644700008</v>
      </c>
      <c r="S5" s="276"/>
      <c r="T5" s="276"/>
      <c r="V5" s="306">
        <f>'[1]Số liệu Tabmis den 03052019'!$Q$1826/1000000</f>
        <v>0</v>
      </c>
      <c r="W5" s="276">
        <f>V5-V10</f>
        <v>-10970.810534999999</v>
      </c>
      <c r="X5" s="281" t="s">
        <v>1</v>
      </c>
    </row>
    <row r="6" spans="1:28" s="32" customFormat="1" ht="21" customHeight="1">
      <c r="A6" s="818" t="s">
        <v>2</v>
      </c>
      <c r="B6" s="818" t="s">
        <v>125</v>
      </c>
      <c r="C6" s="820" t="s">
        <v>39</v>
      </c>
      <c r="D6" s="821"/>
      <c r="E6" s="821"/>
      <c r="F6" s="821"/>
      <c r="G6" s="821"/>
      <c r="H6" s="821"/>
      <c r="I6" s="821"/>
      <c r="J6" s="821"/>
      <c r="K6" s="821"/>
      <c r="L6" s="822"/>
      <c r="M6" s="820" t="s">
        <v>5</v>
      </c>
      <c r="N6" s="821"/>
      <c r="O6" s="821"/>
      <c r="P6" s="821"/>
      <c r="Q6" s="821"/>
      <c r="R6" s="821"/>
      <c r="S6" s="821"/>
      <c r="T6" s="821"/>
      <c r="U6" s="821"/>
      <c r="V6" s="821"/>
      <c r="W6" s="821"/>
      <c r="X6" s="818" t="s">
        <v>6</v>
      </c>
      <c r="Y6" s="818"/>
      <c r="Z6" s="818"/>
      <c r="AA6" s="818"/>
    </row>
    <row r="7" spans="1:28" s="32" customFormat="1" ht="25.5" customHeight="1">
      <c r="A7" s="818"/>
      <c r="B7" s="818"/>
      <c r="C7" s="818" t="s">
        <v>126</v>
      </c>
      <c r="D7" s="818" t="s">
        <v>127</v>
      </c>
      <c r="E7" s="823" t="s">
        <v>129</v>
      </c>
      <c r="F7" s="824" t="s">
        <v>162</v>
      </c>
      <c r="G7" s="825"/>
      <c r="H7" s="818" t="s">
        <v>620</v>
      </c>
      <c r="I7" s="818" t="s">
        <v>624</v>
      </c>
      <c r="J7" s="818" t="s">
        <v>132</v>
      </c>
      <c r="K7" s="818"/>
      <c r="L7" s="818"/>
      <c r="M7" s="818" t="s">
        <v>126</v>
      </c>
      <c r="N7" s="818" t="s">
        <v>127</v>
      </c>
      <c r="O7" s="823" t="s">
        <v>129</v>
      </c>
      <c r="P7" s="824" t="s">
        <v>162</v>
      </c>
      <c r="Q7" s="825"/>
      <c r="R7" s="818" t="s">
        <v>620</v>
      </c>
      <c r="S7" s="818" t="s">
        <v>2012</v>
      </c>
      <c r="T7" s="818" t="s">
        <v>132</v>
      </c>
      <c r="U7" s="818"/>
      <c r="V7" s="818"/>
      <c r="W7" s="818" t="s">
        <v>133</v>
      </c>
      <c r="X7" s="818" t="s">
        <v>126</v>
      </c>
      <c r="Y7" s="818" t="s">
        <v>127</v>
      </c>
      <c r="Z7" s="818" t="s">
        <v>129</v>
      </c>
      <c r="AA7" s="818" t="s">
        <v>132</v>
      </c>
    </row>
    <row r="8" spans="1:28" s="313" customFormat="1" ht="116.25" customHeight="1">
      <c r="A8" s="818"/>
      <c r="B8" s="818"/>
      <c r="C8" s="818"/>
      <c r="D8" s="818"/>
      <c r="E8" s="823"/>
      <c r="F8" s="34" t="s">
        <v>2323</v>
      </c>
      <c r="G8" s="34" t="s">
        <v>2324</v>
      </c>
      <c r="H8" s="818"/>
      <c r="I8" s="818"/>
      <c r="J8" s="650" t="s">
        <v>126</v>
      </c>
      <c r="K8" s="650" t="s">
        <v>134</v>
      </c>
      <c r="L8" s="650" t="s">
        <v>135</v>
      </c>
      <c r="M8" s="818"/>
      <c r="N8" s="818"/>
      <c r="O8" s="823"/>
      <c r="P8" s="34" t="s">
        <v>2323</v>
      </c>
      <c r="Q8" s="34" t="s">
        <v>2324</v>
      </c>
      <c r="R8" s="818"/>
      <c r="S8" s="818"/>
      <c r="T8" s="650" t="s">
        <v>126</v>
      </c>
      <c r="U8" s="650" t="s">
        <v>134</v>
      </c>
      <c r="V8" s="651" t="s">
        <v>135</v>
      </c>
      <c r="W8" s="818"/>
      <c r="X8" s="818"/>
      <c r="Y8" s="818"/>
      <c r="Z8" s="818"/>
      <c r="AA8" s="818"/>
    </row>
    <row r="9" spans="1:28" s="663" customFormat="1" ht="18.75" customHeight="1">
      <c r="A9" s="661" t="s">
        <v>7</v>
      </c>
      <c r="B9" s="661" t="s">
        <v>8</v>
      </c>
      <c r="C9" s="661" t="s">
        <v>2009</v>
      </c>
      <c r="D9" s="661">
        <v>2</v>
      </c>
      <c r="E9" s="662">
        <v>3</v>
      </c>
      <c r="F9" s="662"/>
      <c r="G9" s="662"/>
      <c r="H9" s="661">
        <v>4</v>
      </c>
      <c r="I9" s="661">
        <v>5</v>
      </c>
      <c r="J9" s="661" t="s">
        <v>360</v>
      </c>
      <c r="K9" s="661">
        <v>7</v>
      </c>
      <c r="L9" s="661">
        <v>8</v>
      </c>
      <c r="M9" s="661" t="s">
        <v>2011</v>
      </c>
      <c r="N9" s="661">
        <v>10</v>
      </c>
      <c r="O9" s="662">
        <v>11</v>
      </c>
      <c r="P9" s="662"/>
      <c r="Q9" s="662"/>
      <c r="R9" s="661">
        <v>12</v>
      </c>
      <c r="S9" s="661">
        <v>13</v>
      </c>
      <c r="T9" s="661" t="s">
        <v>2010</v>
      </c>
      <c r="U9" s="661">
        <v>15</v>
      </c>
      <c r="V9" s="662">
        <v>16</v>
      </c>
      <c r="W9" s="661" t="s">
        <v>361</v>
      </c>
      <c r="X9" s="661" t="s">
        <v>1882</v>
      </c>
      <c r="Y9" s="661" t="s">
        <v>1883</v>
      </c>
      <c r="Z9" s="661" t="s">
        <v>1884</v>
      </c>
      <c r="AA9" s="661" t="s">
        <v>1885</v>
      </c>
    </row>
    <row r="10" spans="1:28" s="300" customFormat="1" ht="22.5" customHeight="1">
      <c r="A10" s="55"/>
      <c r="B10" s="55" t="s">
        <v>126</v>
      </c>
      <c r="C10" s="55">
        <f t="shared" ref="C10:M10" si="0">C11+C266+C267+C268+C269+C270+C271</f>
        <v>3816248.7433680017</v>
      </c>
      <c r="D10" s="696">
        <f>D11+D266+D267+D268+D269+D270+D271</f>
        <v>1689585.9993880002</v>
      </c>
      <c r="E10" s="55">
        <f t="shared" si="0"/>
        <v>1566075.6219799987</v>
      </c>
      <c r="F10" s="55"/>
      <c r="G10" s="55"/>
      <c r="H10" s="55">
        <f t="shared" si="0"/>
        <v>0</v>
      </c>
      <c r="I10" s="55">
        <f t="shared" si="0"/>
        <v>2435185.7000000002</v>
      </c>
      <c r="J10" s="55">
        <f t="shared" si="0"/>
        <v>276327.36800000002</v>
      </c>
      <c r="K10" s="55">
        <f t="shared" si="0"/>
        <v>85132.456000000006</v>
      </c>
      <c r="L10" s="55">
        <f t="shared" si="0"/>
        <v>20930</v>
      </c>
      <c r="M10" s="55">
        <f t="shared" si="0"/>
        <v>0</v>
      </c>
      <c r="N10" s="55">
        <f>N11+N266+N267+N268+N269+N270+N271</f>
        <v>1156317.4677389998</v>
      </c>
      <c r="O10" s="55">
        <f t="shared" ref="O10:W10" si="1">O11+O266+O267+O268+O269+O270+O271</f>
        <v>1458923.731258</v>
      </c>
      <c r="P10" s="55"/>
      <c r="Q10" s="55"/>
      <c r="R10" s="55">
        <f t="shared" si="1"/>
        <v>38500</v>
      </c>
      <c r="S10" s="55">
        <f t="shared" si="1"/>
        <v>4528734.2520000003</v>
      </c>
      <c r="T10" s="55">
        <f t="shared" si="1"/>
        <v>0</v>
      </c>
      <c r="U10" s="55">
        <f t="shared" si="1"/>
        <v>86872.697607000009</v>
      </c>
      <c r="V10" s="55">
        <f t="shared" si="1"/>
        <v>10970.810534999999</v>
      </c>
      <c r="W10" s="55">
        <f t="shared" si="1"/>
        <v>80355.209304999968</v>
      </c>
      <c r="X10" s="315"/>
      <c r="Y10" s="315"/>
      <c r="Z10" s="315"/>
      <c r="AA10" s="315"/>
      <c r="AB10" s="49"/>
    </row>
    <row r="11" spans="1:28" s="300" customFormat="1" ht="16.5" customHeight="1">
      <c r="A11" s="59" t="s">
        <v>45</v>
      </c>
      <c r="B11" s="58" t="s">
        <v>138</v>
      </c>
      <c r="C11" s="369">
        <f t="shared" ref="C11:M11" si="2">C12+C255</f>
        <v>3816248.7433680017</v>
      </c>
      <c r="D11" s="652">
        <f t="shared" si="2"/>
        <v>1689585.9993880002</v>
      </c>
      <c r="E11" s="369">
        <f t="shared" si="2"/>
        <v>1566075.6219799987</v>
      </c>
      <c r="F11" s="369"/>
      <c r="G11" s="369"/>
      <c r="H11" s="369">
        <f t="shared" si="2"/>
        <v>0</v>
      </c>
      <c r="I11" s="369">
        <f t="shared" si="2"/>
        <v>0</v>
      </c>
      <c r="J11" s="369">
        <f t="shared" si="2"/>
        <v>276327.36800000002</v>
      </c>
      <c r="K11" s="652">
        <f t="shared" si="2"/>
        <v>85132.456000000006</v>
      </c>
      <c r="L11" s="59">
        <f t="shared" si="2"/>
        <v>20930</v>
      </c>
      <c r="M11" s="369">
        <f t="shared" si="2"/>
        <v>0</v>
      </c>
      <c r="N11" s="369">
        <f>N12+N255</f>
        <v>1156317.4677389998</v>
      </c>
      <c r="O11" s="369">
        <f t="shared" ref="O11:W11" si="3">O12+O255</f>
        <v>1458923.731258</v>
      </c>
      <c r="P11" s="369"/>
      <c r="Q11" s="369"/>
      <c r="R11" s="369">
        <f t="shared" si="3"/>
        <v>0</v>
      </c>
      <c r="S11" s="369">
        <f t="shared" si="3"/>
        <v>0</v>
      </c>
      <c r="T11" s="369">
        <f t="shared" si="3"/>
        <v>0</v>
      </c>
      <c r="U11" s="369">
        <f t="shared" si="3"/>
        <v>86872.697607000009</v>
      </c>
      <c r="V11" s="369">
        <f t="shared" si="3"/>
        <v>10970.810534999999</v>
      </c>
      <c r="W11" s="369">
        <f t="shared" si="3"/>
        <v>80355.209304999968</v>
      </c>
      <c r="X11" s="316"/>
      <c r="Y11" s="316"/>
      <c r="Z11" s="316"/>
      <c r="AA11" s="316"/>
      <c r="AB11" s="49"/>
    </row>
    <row r="12" spans="1:28" s="300" customFormat="1">
      <c r="A12" s="59" t="s">
        <v>420</v>
      </c>
      <c r="B12" s="58" t="s">
        <v>623</v>
      </c>
      <c r="C12" s="369">
        <f>SUM(C13:C266)</f>
        <v>3535955.1823680019</v>
      </c>
      <c r="D12" s="652">
        <f>SUM(D13:D254)</f>
        <v>1409292.4383880002</v>
      </c>
      <c r="E12" s="369">
        <f>SUM(E13:E266)</f>
        <v>1566075.6219799987</v>
      </c>
      <c r="F12" s="369"/>
      <c r="G12" s="369"/>
      <c r="H12" s="369">
        <f>SUM(H13:H266)</f>
        <v>0</v>
      </c>
      <c r="I12" s="369">
        <f>SUM(I13:I266)</f>
        <v>0</v>
      </c>
      <c r="J12" s="369">
        <f>SUM(J13:J266)</f>
        <v>191194.91199999998</v>
      </c>
      <c r="K12" s="652">
        <f>SUM(K13:K254)</f>
        <v>0</v>
      </c>
      <c r="L12" s="59">
        <f>SUM(L13:L266)</f>
        <v>20930</v>
      </c>
      <c r="M12" s="369">
        <f>SUM(M13:M266)</f>
        <v>0</v>
      </c>
      <c r="N12" s="369">
        <f>SUM(N13:N254)</f>
        <v>784434.48625499976</v>
      </c>
      <c r="O12" s="369">
        <f>SUM(O13:O254)</f>
        <v>1458923.731258</v>
      </c>
      <c r="P12" s="369"/>
      <c r="Q12" s="369"/>
      <c r="R12" s="369">
        <f>SUM(R13:R254)</f>
        <v>0</v>
      </c>
      <c r="S12" s="369">
        <f>SUM(S13:S254)</f>
        <v>0</v>
      </c>
      <c r="T12" s="369">
        <f>SUM(T13:T254)</f>
        <v>0</v>
      </c>
      <c r="U12" s="369">
        <f>SUM(U13:U254)</f>
        <v>0</v>
      </c>
      <c r="V12" s="369">
        <f>SUM(V13:V254)</f>
        <v>10970.810534999999</v>
      </c>
      <c r="W12" s="369">
        <f>SUM(W13:W266)</f>
        <v>80355.209304999968</v>
      </c>
      <c r="X12" s="316"/>
      <c r="Y12" s="316"/>
      <c r="Z12" s="316"/>
      <c r="AA12" s="316"/>
      <c r="AB12" s="49"/>
    </row>
    <row r="13" spans="1:28" s="300" customFormat="1">
      <c r="A13" s="317" t="s">
        <v>211</v>
      </c>
      <c r="B13" s="318" t="s">
        <v>1923</v>
      </c>
      <c r="C13" s="63">
        <f>D13+E13</f>
        <v>15610</v>
      </c>
      <c r="D13" s="319">
        <v>10000</v>
      </c>
      <c r="E13" s="370">
        <v>5610</v>
      </c>
      <c r="F13" s="370"/>
      <c r="G13" s="370"/>
      <c r="H13" s="63"/>
      <c r="I13" s="63"/>
      <c r="J13" s="63">
        <f>K13+L13</f>
        <v>0</v>
      </c>
      <c r="K13" s="63"/>
      <c r="L13" s="63"/>
      <c r="M13" s="63"/>
      <c r="N13" s="63">
        <v>10000</v>
      </c>
      <c r="O13" s="370">
        <v>5587.857771</v>
      </c>
      <c r="P13" s="370"/>
      <c r="Q13" s="370"/>
      <c r="R13" s="63"/>
      <c r="S13" s="63"/>
      <c r="T13" s="63"/>
      <c r="U13" s="63"/>
      <c r="V13" s="370"/>
      <c r="W13" s="63"/>
      <c r="X13" s="320"/>
      <c r="Y13" s="320"/>
      <c r="Z13" s="320"/>
      <c r="AA13" s="320"/>
    </row>
    <row r="14" spans="1:28" s="300" customFormat="1">
      <c r="A14" s="317" t="s">
        <v>212</v>
      </c>
      <c r="B14" s="318" t="s">
        <v>1623</v>
      </c>
      <c r="C14" s="63">
        <f>D14+E14</f>
        <v>73695.396999999997</v>
      </c>
      <c r="D14" s="319">
        <v>57246.796999999999</v>
      </c>
      <c r="E14" s="370">
        <v>16448.599999999999</v>
      </c>
      <c r="F14" s="370"/>
      <c r="G14" s="370"/>
      <c r="H14" s="63"/>
      <c r="I14" s="63"/>
      <c r="J14" s="63">
        <f t="shared" ref="J14:J77" si="4">K14+L14</f>
        <v>0</v>
      </c>
      <c r="K14" s="63"/>
      <c r="L14" s="63"/>
      <c r="M14" s="63"/>
      <c r="N14" s="63">
        <v>36204.741999999998</v>
      </c>
      <c r="O14" s="370">
        <v>16448.599999999999</v>
      </c>
      <c r="P14" s="370"/>
      <c r="Q14" s="370"/>
      <c r="R14" s="63"/>
      <c r="S14" s="63"/>
      <c r="T14" s="63"/>
      <c r="U14" s="63"/>
      <c r="V14" s="370"/>
      <c r="W14" s="63"/>
      <c r="X14" s="320"/>
      <c r="Y14" s="320"/>
      <c r="Z14" s="320"/>
      <c r="AA14" s="320"/>
    </row>
    <row r="15" spans="1:28" s="300" customFormat="1">
      <c r="A15" s="317" t="s">
        <v>213</v>
      </c>
      <c r="B15" s="318" t="s">
        <v>1677</v>
      </c>
      <c r="C15" s="63">
        <f t="shared" ref="C15:C78" si="5">D15+E15</f>
        <v>49060.757335999995</v>
      </c>
      <c r="D15" s="319">
        <v>21024.821</v>
      </c>
      <c r="E15" s="370">
        <v>28035.936335999999</v>
      </c>
      <c r="F15" s="370"/>
      <c r="G15" s="370"/>
      <c r="H15" s="63"/>
      <c r="I15" s="63"/>
      <c r="J15" s="63">
        <f t="shared" si="4"/>
        <v>0</v>
      </c>
      <c r="K15" s="63"/>
      <c r="L15" s="63"/>
      <c r="M15" s="63"/>
      <c r="N15" s="63">
        <v>21749.134999999998</v>
      </c>
      <c r="O15" s="370">
        <v>23443.646519999998</v>
      </c>
      <c r="P15" s="370"/>
      <c r="Q15" s="370"/>
      <c r="R15" s="63"/>
      <c r="S15" s="63"/>
      <c r="T15" s="63"/>
      <c r="U15" s="63"/>
      <c r="V15" s="370"/>
      <c r="W15" s="63">
        <v>3945.766588</v>
      </c>
      <c r="X15" s="320"/>
      <c r="Y15" s="320"/>
      <c r="Z15" s="320"/>
      <c r="AA15" s="320"/>
    </row>
    <row r="16" spans="1:28" s="300" customFormat="1">
      <c r="A16" s="317" t="s">
        <v>214</v>
      </c>
      <c r="B16" s="318" t="s">
        <v>1676</v>
      </c>
      <c r="C16" s="63">
        <f t="shared" si="5"/>
        <v>26669.481102999998</v>
      </c>
      <c r="D16" s="319">
        <v>16500</v>
      </c>
      <c r="E16" s="370">
        <v>10169.481103</v>
      </c>
      <c r="F16" s="370"/>
      <c r="G16" s="370"/>
      <c r="H16" s="63"/>
      <c r="I16" s="63"/>
      <c r="J16" s="63">
        <f t="shared" si="4"/>
        <v>0</v>
      </c>
      <c r="K16" s="63"/>
      <c r="L16" s="63"/>
      <c r="M16" s="63"/>
      <c r="N16" s="63">
        <v>16843.658767000001</v>
      </c>
      <c r="O16" s="370">
        <v>9508.5479400000004</v>
      </c>
      <c r="P16" s="370"/>
      <c r="Q16" s="370"/>
      <c r="R16" s="63"/>
      <c r="S16" s="63"/>
      <c r="T16" s="63"/>
      <c r="U16" s="63"/>
      <c r="V16" s="370"/>
      <c r="W16" s="63">
        <v>309.562363</v>
      </c>
      <c r="X16" s="320"/>
      <c r="Y16" s="320"/>
      <c r="Z16" s="320"/>
      <c r="AA16" s="320"/>
    </row>
    <row r="17" spans="1:27" s="300" customFormat="1">
      <c r="A17" s="317" t="s">
        <v>215</v>
      </c>
      <c r="B17" s="318" t="s">
        <v>1922</v>
      </c>
      <c r="C17" s="63">
        <f t="shared" si="5"/>
        <v>20702.964500999999</v>
      </c>
      <c r="D17" s="70">
        <v>0</v>
      </c>
      <c r="E17" s="370">
        <v>20702.964500999999</v>
      </c>
      <c r="F17" s="370"/>
      <c r="G17" s="370"/>
      <c r="H17" s="63"/>
      <c r="I17" s="63"/>
      <c r="J17" s="63">
        <f t="shared" si="4"/>
        <v>0</v>
      </c>
      <c r="K17" s="63"/>
      <c r="L17" s="63"/>
      <c r="M17" s="63"/>
      <c r="N17" s="70">
        <v>2461.5</v>
      </c>
      <c r="O17" s="370">
        <v>14995.780761</v>
      </c>
      <c r="P17" s="370"/>
      <c r="Q17" s="370"/>
      <c r="R17" s="63"/>
      <c r="S17" s="63"/>
      <c r="T17" s="63"/>
      <c r="U17" s="63"/>
      <c r="V17" s="370"/>
      <c r="W17" s="63">
        <v>3190.8821560000001</v>
      </c>
      <c r="X17" s="320"/>
      <c r="Y17" s="320"/>
      <c r="Z17" s="320"/>
      <c r="AA17" s="320"/>
    </row>
    <row r="18" spans="1:27" s="300" customFormat="1">
      <c r="A18" s="317" t="s">
        <v>216</v>
      </c>
      <c r="B18" s="318" t="s">
        <v>1628</v>
      </c>
      <c r="C18" s="63">
        <f t="shared" si="5"/>
        <v>15071.383</v>
      </c>
      <c r="D18" s="70">
        <v>2731.4279999999999</v>
      </c>
      <c r="E18" s="370">
        <f>11339.955+1000</f>
        <v>12339.955</v>
      </c>
      <c r="F18" s="370"/>
      <c r="G18" s="370"/>
      <c r="H18" s="63"/>
      <c r="I18" s="63"/>
      <c r="J18" s="63">
        <f t="shared" si="4"/>
        <v>1004</v>
      </c>
      <c r="K18" s="63"/>
      <c r="L18" s="370">
        <f>1457-453</f>
        <v>1004</v>
      </c>
      <c r="M18" s="63"/>
      <c r="N18" s="70"/>
      <c r="O18" s="370">
        <f>9799.281469+1000</f>
        <v>10799.281469</v>
      </c>
      <c r="P18" s="370"/>
      <c r="Q18" s="370"/>
      <c r="R18" s="63"/>
      <c r="S18" s="63"/>
      <c r="T18" s="63"/>
      <c r="U18" s="63"/>
      <c r="V18" s="370">
        <v>457.32488999999998</v>
      </c>
      <c r="W18" s="63">
        <v>80</v>
      </c>
      <c r="X18" s="320"/>
      <c r="Y18" s="320"/>
      <c r="Z18" s="320"/>
      <c r="AA18" s="320"/>
    </row>
    <row r="19" spans="1:27" s="300" customFormat="1">
      <c r="A19" s="317" t="s">
        <v>217</v>
      </c>
      <c r="B19" s="318" t="s">
        <v>1563</v>
      </c>
      <c r="C19" s="63">
        <f t="shared" si="5"/>
        <v>7648</v>
      </c>
      <c r="D19" s="319"/>
      <c r="E19" s="370">
        <v>7648</v>
      </c>
      <c r="F19" s="370"/>
      <c r="G19" s="370"/>
      <c r="H19" s="63"/>
      <c r="I19" s="63"/>
      <c r="J19" s="63">
        <f t="shared" si="4"/>
        <v>0</v>
      </c>
      <c r="K19" s="63"/>
      <c r="L19" s="63"/>
      <c r="M19" s="63"/>
      <c r="N19" s="63"/>
      <c r="O19" s="370">
        <v>7195.7435999999998</v>
      </c>
      <c r="P19" s="370"/>
      <c r="Q19" s="370"/>
      <c r="R19" s="63"/>
      <c r="S19" s="63"/>
      <c r="T19" s="63"/>
      <c r="U19" s="63"/>
      <c r="V19" s="370"/>
      <c r="W19" s="63">
        <v>280.8</v>
      </c>
      <c r="X19" s="320"/>
      <c r="Y19" s="320"/>
      <c r="Z19" s="320"/>
      <c r="AA19" s="320"/>
    </row>
    <row r="20" spans="1:27" s="300" customFormat="1">
      <c r="A20" s="317" t="s">
        <v>218</v>
      </c>
      <c r="B20" s="318" t="s">
        <v>1924</v>
      </c>
      <c r="C20" s="63">
        <f t="shared" si="5"/>
        <v>23953.111499999999</v>
      </c>
      <c r="D20" s="70"/>
      <c r="E20" s="370">
        <v>23953.111499999999</v>
      </c>
      <c r="F20" s="370"/>
      <c r="G20" s="370"/>
      <c r="H20" s="63"/>
      <c r="I20" s="63"/>
      <c r="J20" s="63">
        <f t="shared" si="4"/>
        <v>0</v>
      </c>
      <c r="K20" s="63"/>
      <c r="L20" s="63"/>
      <c r="M20" s="63"/>
      <c r="N20" s="63"/>
      <c r="O20" s="370">
        <v>18829.849831</v>
      </c>
      <c r="P20" s="370"/>
      <c r="Q20" s="370"/>
      <c r="R20" s="63"/>
      <c r="S20" s="63"/>
      <c r="T20" s="63"/>
      <c r="U20" s="63"/>
      <c r="V20" s="370"/>
      <c r="W20" s="63">
        <v>305.65275300000002</v>
      </c>
      <c r="X20" s="320"/>
      <c r="Y20" s="320"/>
      <c r="Z20" s="320"/>
      <c r="AA20" s="320"/>
    </row>
    <row r="21" spans="1:27" s="300" customFormat="1">
      <c r="A21" s="317" t="s">
        <v>219</v>
      </c>
      <c r="B21" s="318" t="s">
        <v>1959</v>
      </c>
      <c r="C21" s="63">
        <f t="shared" si="5"/>
        <v>35499.019</v>
      </c>
      <c r="D21" s="319">
        <v>28000</v>
      </c>
      <c r="E21" s="370">
        <v>7499.0190000000002</v>
      </c>
      <c r="F21" s="370"/>
      <c r="G21" s="370"/>
      <c r="H21" s="63"/>
      <c r="I21" s="63"/>
      <c r="J21" s="63">
        <f t="shared" si="4"/>
        <v>8544</v>
      </c>
      <c r="K21" s="63"/>
      <c r="L21" s="370">
        <v>8544</v>
      </c>
      <c r="M21" s="63"/>
      <c r="N21" s="63">
        <v>35242.203163999999</v>
      </c>
      <c r="O21" s="370">
        <v>7170.4374600000001</v>
      </c>
      <c r="P21" s="370"/>
      <c r="Q21" s="370"/>
      <c r="R21" s="63"/>
      <c r="S21" s="63"/>
      <c r="T21" s="63"/>
      <c r="U21" s="63"/>
      <c r="V21" s="370"/>
      <c r="W21" s="63">
        <v>120</v>
      </c>
      <c r="X21" s="320"/>
      <c r="Y21" s="320"/>
      <c r="Z21" s="320"/>
      <c r="AA21" s="320"/>
    </row>
    <row r="22" spans="1:27" s="300" customFormat="1">
      <c r="A22" s="317" t="s">
        <v>220</v>
      </c>
      <c r="B22" s="318" t="s">
        <v>1925</v>
      </c>
      <c r="C22" s="63">
        <f t="shared" si="5"/>
        <v>10278.425999999999</v>
      </c>
      <c r="D22" s="319"/>
      <c r="E22" s="370">
        <v>10278.425999999999</v>
      </c>
      <c r="F22" s="370"/>
      <c r="G22" s="370"/>
      <c r="H22" s="63"/>
      <c r="I22" s="63"/>
      <c r="J22" s="63">
        <f t="shared" si="4"/>
        <v>0</v>
      </c>
      <c r="K22" s="63"/>
      <c r="L22" s="63"/>
      <c r="M22" s="63"/>
      <c r="N22" s="63"/>
      <c r="O22" s="370">
        <v>10278.425999999999</v>
      </c>
      <c r="P22" s="370"/>
      <c r="Q22" s="370"/>
      <c r="R22" s="63"/>
      <c r="S22" s="63"/>
      <c r="T22" s="63"/>
      <c r="U22" s="63"/>
      <c r="V22" s="370"/>
      <c r="W22" s="63"/>
      <c r="X22" s="320"/>
      <c r="Y22" s="320"/>
      <c r="Z22" s="320"/>
      <c r="AA22" s="320"/>
    </row>
    <row r="23" spans="1:27" s="300" customFormat="1">
      <c r="A23" s="317" t="s">
        <v>221</v>
      </c>
      <c r="B23" s="318" t="s">
        <v>1926</v>
      </c>
      <c r="C23" s="63">
        <f t="shared" si="5"/>
        <v>31443.424369</v>
      </c>
      <c r="D23" s="319"/>
      <c r="E23" s="370">
        <f>31413.424369+30</f>
        <v>31443.424369</v>
      </c>
      <c r="F23" s="370"/>
      <c r="G23" s="370"/>
      <c r="H23" s="63"/>
      <c r="I23" s="63"/>
      <c r="J23" s="63">
        <f t="shared" si="4"/>
        <v>0</v>
      </c>
      <c r="K23" s="63"/>
      <c r="L23" s="63"/>
      <c r="M23" s="63"/>
      <c r="N23" s="63"/>
      <c r="O23" s="370">
        <f>28670.379859+30</f>
        <v>28700.379859000001</v>
      </c>
      <c r="P23" s="370"/>
      <c r="Q23" s="370"/>
      <c r="R23" s="63"/>
      <c r="S23" s="63"/>
      <c r="T23" s="63"/>
      <c r="U23" s="63"/>
      <c r="V23" s="370"/>
      <c r="W23" s="63">
        <v>228.31100000000001</v>
      </c>
      <c r="X23" s="320"/>
      <c r="Y23" s="320"/>
      <c r="Z23" s="320"/>
      <c r="AA23" s="320"/>
    </row>
    <row r="24" spans="1:27" s="300" customFormat="1">
      <c r="A24" s="317" t="s">
        <v>222</v>
      </c>
      <c r="B24" s="318" t="s">
        <v>1878</v>
      </c>
      <c r="C24" s="63">
        <f t="shared" si="5"/>
        <v>7742.7640000000001</v>
      </c>
      <c r="D24" s="319">
        <v>0</v>
      </c>
      <c r="E24" s="370">
        <v>7742.7640000000001</v>
      </c>
      <c r="F24" s="370"/>
      <c r="G24" s="370"/>
      <c r="H24" s="63"/>
      <c r="I24" s="63"/>
      <c r="J24" s="63">
        <f t="shared" si="4"/>
        <v>104</v>
      </c>
      <c r="K24" s="63"/>
      <c r="L24" s="370">
        <v>104</v>
      </c>
      <c r="M24" s="63"/>
      <c r="N24" s="63"/>
      <c r="O24" s="370">
        <v>5775.3576400000002</v>
      </c>
      <c r="P24" s="370"/>
      <c r="Q24" s="370"/>
      <c r="R24" s="63"/>
      <c r="S24" s="63"/>
      <c r="T24" s="63"/>
      <c r="U24" s="63"/>
      <c r="V24" s="370">
        <v>103.932</v>
      </c>
      <c r="W24" s="63">
        <v>36.304324000000001</v>
      </c>
      <c r="X24" s="320"/>
      <c r="Y24" s="320"/>
      <c r="Z24" s="320"/>
      <c r="AA24" s="320"/>
    </row>
    <row r="25" spans="1:27" s="300" customFormat="1">
      <c r="A25" s="317" t="s">
        <v>223</v>
      </c>
      <c r="B25" s="318" t="s">
        <v>1629</v>
      </c>
      <c r="C25" s="63">
        <f t="shared" si="5"/>
        <v>4707.6080000000002</v>
      </c>
      <c r="D25" s="70">
        <v>0</v>
      </c>
      <c r="E25" s="370">
        <v>4707.6080000000002</v>
      </c>
      <c r="F25" s="370"/>
      <c r="G25" s="370"/>
      <c r="H25" s="63"/>
      <c r="I25" s="63"/>
      <c r="J25" s="63">
        <f t="shared" si="4"/>
        <v>0</v>
      </c>
      <c r="K25" s="63"/>
      <c r="L25" s="63"/>
      <c r="M25" s="63"/>
      <c r="N25" s="70">
        <v>79.855000000000004</v>
      </c>
      <c r="O25" s="370">
        <v>4684.7781999999997</v>
      </c>
      <c r="P25" s="370"/>
      <c r="Q25" s="370"/>
      <c r="R25" s="63"/>
      <c r="S25" s="63"/>
      <c r="T25" s="63"/>
      <c r="U25" s="63"/>
      <c r="V25" s="370"/>
      <c r="W25" s="63"/>
      <c r="X25" s="320"/>
      <c r="Y25" s="320"/>
      <c r="Z25" s="320"/>
      <c r="AA25" s="320"/>
    </row>
    <row r="26" spans="1:27" s="300" customFormat="1">
      <c r="A26" s="317" t="s">
        <v>224</v>
      </c>
      <c r="B26" s="318" t="s">
        <v>1927</v>
      </c>
      <c r="C26" s="63">
        <f t="shared" si="5"/>
        <v>16675.384000000002</v>
      </c>
      <c r="D26" s="319">
        <v>520.28399999999999</v>
      </c>
      <c r="E26" s="370">
        <v>16155.1</v>
      </c>
      <c r="F26" s="370"/>
      <c r="G26" s="370"/>
      <c r="H26" s="63"/>
      <c r="I26" s="63"/>
      <c r="J26" s="63">
        <f t="shared" si="4"/>
        <v>100</v>
      </c>
      <c r="K26" s="63"/>
      <c r="L26" s="370">
        <v>100</v>
      </c>
      <c r="M26" s="63"/>
      <c r="N26" s="63">
        <v>218.25399999999999</v>
      </c>
      <c r="O26" s="370">
        <v>15728.997643999999</v>
      </c>
      <c r="P26" s="370"/>
      <c r="Q26" s="370"/>
      <c r="R26" s="63"/>
      <c r="S26" s="63"/>
      <c r="T26" s="63"/>
      <c r="U26" s="63"/>
      <c r="V26" s="370">
        <v>99.5</v>
      </c>
      <c r="W26" s="63">
        <v>254.203025</v>
      </c>
      <c r="X26" s="320"/>
      <c r="Y26" s="320"/>
      <c r="Z26" s="320"/>
      <c r="AA26" s="320"/>
    </row>
    <row r="27" spans="1:27" s="300" customFormat="1">
      <c r="A27" s="317" t="s">
        <v>225</v>
      </c>
      <c r="B27" s="318" t="s">
        <v>1613</v>
      </c>
      <c r="C27" s="63">
        <f t="shared" si="5"/>
        <v>5937.4</v>
      </c>
      <c r="D27" s="319"/>
      <c r="E27" s="370">
        <v>5937.4</v>
      </c>
      <c r="F27" s="370"/>
      <c r="G27" s="370"/>
      <c r="H27" s="63"/>
      <c r="I27" s="63"/>
      <c r="J27" s="63">
        <f t="shared" si="4"/>
        <v>0</v>
      </c>
      <c r="K27" s="63"/>
      <c r="L27" s="63"/>
      <c r="M27" s="63"/>
      <c r="N27" s="63"/>
      <c r="O27" s="370">
        <v>5468.1832969999996</v>
      </c>
      <c r="P27" s="370"/>
      <c r="Q27" s="370"/>
      <c r="R27" s="63"/>
      <c r="S27" s="63"/>
      <c r="T27" s="63"/>
      <c r="U27" s="63"/>
      <c r="V27" s="370"/>
      <c r="W27" s="63"/>
      <c r="X27" s="320"/>
      <c r="Y27" s="320"/>
      <c r="Z27" s="320"/>
      <c r="AA27" s="320"/>
    </row>
    <row r="28" spans="1:27" s="300" customFormat="1">
      <c r="A28" s="317" t="s">
        <v>226</v>
      </c>
      <c r="B28" s="318" t="s">
        <v>554</v>
      </c>
      <c r="C28" s="63">
        <f t="shared" si="5"/>
        <v>128512.232</v>
      </c>
      <c r="D28" s="70">
        <v>85194.182000000001</v>
      </c>
      <c r="E28" s="370">
        <f>42318.05+1000</f>
        <v>43318.05</v>
      </c>
      <c r="F28" s="370"/>
      <c r="G28" s="370"/>
      <c r="H28" s="63"/>
      <c r="I28" s="63"/>
      <c r="J28" s="63">
        <f t="shared" si="4"/>
        <v>0</v>
      </c>
      <c r="K28" s="63"/>
      <c r="L28" s="63"/>
      <c r="M28" s="63"/>
      <c r="N28" s="70">
        <v>70821.580761999998</v>
      </c>
      <c r="O28" s="370">
        <f>12083.8814+1000</f>
        <v>13083.8814</v>
      </c>
      <c r="P28" s="370"/>
      <c r="Q28" s="370"/>
      <c r="R28" s="63"/>
      <c r="S28" s="63"/>
      <c r="T28" s="63"/>
      <c r="U28" s="63"/>
      <c r="V28" s="370"/>
      <c r="W28" s="63">
        <v>30052.213</v>
      </c>
      <c r="X28" s="320"/>
      <c r="Y28" s="320"/>
      <c r="Z28" s="320"/>
      <c r="AA28" s="320"/>
    </row>
    <row r="29" spans="1:27" s="668" customFormat="1">
      <c r="A29" s="664" t="s">
        <v>227</v>
      </c>
      <c r="B29" s="665" t="s">
        <v>514</v>
      </c>
      <c r="C29" s="387">
        <f t="shared" si="5"/>
        <v>0</v>
      </c>
      <c r="D29" s="666">
        <v>0</v>
      </c>
      <c r="E29" s="389">
        <v>0</v>
      </c>
      <c r="F29" s="389"/>
      <c r="G29" s="389"/>
      <c r="H29" s="389"/>
      <c r="I29" s="389"/>
      <c r="J29" s="387">
        <f t="shared" si="4"/>
        <v>0</v>
      </c>
      <c r="K29" s="389"/>
      <c r="L29" s="387"/>
      <c r="M29" s="389"/>
      <c r="N29" s="390"/>
      <c r="O29" s="389">
        <v>0</v>
      </c>
      <c r="P29" s="389"/>
      <c r="Q29" s="389"/>
      <c r="R29" s="389"/>
      <c r="S29" s="389"/>
      <c r="T29" s="389"/>
      <c r="U29" s="389"/>
      <c r="V29" s="389"/>
      <c r="W29" s="389">
        <v>117.461304</v>
      </c>
      <c r="X29" s="667"/>
      <c r="Y29" s="667"/>
      <c r="Z29" s="667"/>
      <c r="AA29" s="667"/>
    </row>
    <row r="30" spans="1:27" s="668" customFormat="1">
      <c r="A30" s="664" t="s">
        <v>228</v>
      </c>
      <c r="B30" s="665" t="s">
        <v>569</v>
      </c>
      <c r="C30" s="387">
        <f t="shared" si="5"/>
        <v>31129.843000000001</v>
      </c>
      <c r="D30" s="666">
        <v>31129.843000000001</v>
      </c>
      <c r="E30" s="389">
        <v>0</v>
      </c>
      <c r="F30" s="389"/>
      <c r="G30" s="389"/>
      <c r="H30" s="389"/>
      <c r="I30" s="389"/>
      <c r="J30" s="387">
        <f t="shared" si="4"/>
        <v>0</v>
      </c>
      <c r="K30" s="389"/>
      <c r="L30" s="387"/>
      <c r="M30" s="389"/>
      <c r="N30" s="390">
        <v>32264.843000000001</v>
      </c>
      <c r="O30" s="389">
        <v>0</v>
      </c>
      <c r="P30" s="389"/>
      <c r="Q30" s="389"/>
      <c r="R30" s="389"/>
      <c r="S30" s="389"/>
      <c r="T30" s="389"/>
      <c r="U30" s="389"/>
      <c r="V30" s="389"/>
      <c r="W30" s="389">
        <v>117.461304</v>
      </c>
      <c r="X30" s="667"/>
      <c r="Y30" s="667"/>
      <c r="Z30" s="667"/>
      <c r="AA30" s="667"/>
    </row>
    <row r="31" spans="1:27" s="300" customFormat="1">
      <c r="A31" s="317" t="s">
        <v>229</v>
      </c>
      <c r="B31" s="318" t="s">
        <v>1538</v>
      </c>
      <c r="C31" s="63">
        <f t="shared" si="5"/>
        <v>6933.3577130000003</v>
      </c>
      <c r="D31" s="70"/>
      <c r="E31" s="370">
        <v>6933.3577130000003</v>
      </c>
      <c r="F31" s="370"/>
      <c r="G31" s="370"/>
      <c r="H31" s="63"/>
      <c r="I31" s="63"/>
      <c r="J31" s="63">
        <f t="shared" si="4"/>
        <v>0</v>
      </c>
      <c r="K31" s="63"/>
      <c r="L31" s="63"/>
      <c r="M31" s="63"/>
      <c r="N31" s="70"/>
      <c r="O31" s="370">
        <v>6814.3828089999997</v>
      </c>
      <c r="P31" s="370"/>
      <c r="Q31" s="370"/>
      <c r="R31" s="63"/>
      <c r="S31" s="63"/>
      <c r="T31" s="63"/>
      <c r="U31" s="63"/>
      <c r="V31" s="370"/>
      <c r="W31" s="63">
        <v>117.461304</v>
      </c>
      <c r="X31" s="320"/>
      <c r="Y31" s="320"/>
      <c r="Z31" s="320"/>
      <c r="AA31" s="320"/>
    </row>
    <row r="32" spans="1:27" s="48" customFormat="1">
      <c r="A32" s="317" t="s">
        <v>230</v>
      </c>
      <c r="B32" s="373" t="s">
        <v>474</v>
      </c>
      <c r="C32" s="63">
        <f t="shared" si="5"/>
        <v>64147.353999999999</v>
      </c>
      <c r="D32" s="375">
        <v>4987.3540000000003</v>
      </c>
      <c r="E32" s="376">
        <v>59160</v>
      </c>
      <c r="F32" s="376"/>
      <c r="G32" s="376">
        <v>59160</v>
      </c>
      <c r="H32" s="375"/>
      <c r="I32" s="375"/>
      <c r="J32" s="63">
        <f t="shared" si="4"/>
        <v>0</v>
      </c>
      <c r="K32" s="375"/>
      <c r="L32" s="375"/>
      <c r="M32" s="374"/>
      <c r="N32" s="375">
        <v>4987.3540000000003</v>
      </c>
      <c r="O32" s="376">
        <v>59160</v>
      </c>
      <c r="P32" s="376"/>
      <c r="Q32" s="376"/>
      <c r="R32" s="375"/>
      <c r="S32" s="375"/>
      <c r="T32" s="375"/>
      <c r="U32" s="375"/>
      <c r="V32" s="377"/>
      <c r="W32" s="374"/>
      <c r="X32" s="378"/>
      <c r="Y32" s="378"/>
      <c r="Z32" s="378"/>
      <c r="AA32" s="378"/>
    </row>
    <row r="33" spans="1:38" s="300" customFormat="1">
      <c r="A33" s="317" t="s">
        <v>231</v>
      </c>
      <c r="B33" s="318" t="s">
        <v>1960</v>
      </c>
      <c r="C33" s="63">
        <f t="shared" si="5"/>
        <v>19264.508000000002</v>
      </c>
      <c r="D33" s="319">
        <v>20.202999999999999</v>
      </c>
      <c r="E33" s="370">
        <v>19244.305</v>
      </c>
      <c r="F33" s="370"/>
      <c r="G33" s="370"/>
      <c r="H33" s="63"/>
      <c r="I33" s="63"/>
      <c r="J33" s="63">
        <f t="shared" si="4"/>
        <v>0</v>
      </c>
      <c r="K33" s="63"/>
      <c r="L33" s="63"/>
      <c r="M33" s="63"/>
      <c r="N33" s="63">
        <v>20.202999999999999</v>
      </c>
      <c r="O33" s="370">
        <v>17731.562688000002</v>
      </c>
      <c r="P33" s="370"/>
      <c r="Q33" s="370"/>
      <c r="R33" s="63"/>
      <c r="S33" s="63"/>
      <c r="T33" s="63"/>
      <c r="U33" s="63"/>
      <c r="V33" s="370"/>
      <c r="W33" s="63">
        <v>1291.217451</v>
      </c>
      <c r="X33" s="320"/>
      <c r="Y33" s="320"/>
      <c r="Z33" s="320"/>
      <c r="AA33" s="320"/>
    </row>
    <row r="34" spans="1:38" s="322" customFormat="1">
      <c r="A34" s="317" t="s">
        <v>1680</v>
      </c>
      <c r="B34" s="318" t="s">
        <v>1492</v>
      </c>
      <c r="C34" s="63">
        <f t="shared" si="5"/>
        <v>959</v>
      </c>
      <c r="D34" s="319"/>
      <c r="E34" s="370">
        <v>959</v>
      </c>
      <c r="F34" s="370"/>
      <c r="G34" s="370"/>
      <c r="H34" s="63"/>
      <c r="I34" s="63"/>
      <c r="J34" s="63">
        <f t="shared" si="4"/>
        <v>0</v>
      </c>
      <c r="K34" s="63"/>
      <c r="L34" s="63"/>
      <c r="M34" s="63"/>
      <c r="N34" s="63"/>
      <c r="O34" s="370">
        <v>958.82825400000002</v>
      </c>
      <c r="P34" s="370"/>
      <c r="Q34" s="370"/>
      <c r="R34" s="63"/>
      <c r="S34" s="63"/>
      <c r="T34" s="63"/>
      <c r="U34" s="63"/>
      <c r="V34" s="370"/>
      <c r="W34" s="63"/>
      <c r="X34" s="320"/>
      <c r="Y34" s="320"/>
      <c r="Z34" s="320"/>
      <c r="AA34" s="320"/>
      <c r="AB34" s="300"/>
      <c r="AC34" s="300"/>
      <c r="AD34" s="300"/>
      <c r="AE34" s="300"/>
      <c r="AF34" s="300"/>
      <c r="AG34" s="300"/>
      <c r="AH34" s="300"/>
      <c r="AI34" s="300"/>
      <c r="AJ34" s="300"/>
      <c r="AK34" s="300"/>
      <c r="AL34" s="300"/>
    </row>
    <row r="35" spans="1:38" s="323" customFormat="1">
      <c r="A35" s="317" t="s">
        <v>1681</v>
      </c>
      <c r="B35" s="318" t="s">
        <v>1929</v>
      </c>
      <c r="C35" s="63">
        <f t="shared" si="5"/>
        <v>4453.6000000000004</v>
      </c>
      <c r="D35" s="319"/>
      <c r="E35" s="370">
        <v>4453.6000000000004</v>
      </c>
      <c r="F35" s="370"/>
      <c r="G35" s="370"/>
      <c r="H35" s="63"/>
      <c r="I35" s="63"/>
      <c r="J35" s="63">
        <f t="shared" si="4"/>
        <v>0</v>
      </c>
      <c r="K35" s="63"/>
      <c r="L35" s="63"/>
      <c r="M35" s="63"/>
      <c r="N35" s="63"/>
      <c r="O35" s="370">
        <v>4333.6000000000004</v>
      </c>
      <c r="P35" s="370"/>
      <c r="Q35" s="370"/>
      <c r="R35" s="63"/>
      <c r="S35" s="63"/>
      <c r="T35" s="63"/>
      <c r="U35" s="63"/>
      <c r="V35" s="370"/>
      <c r="W35" s="63"/>
      <c r="X35" s="320"/>
      <c r="Y35" s="320"/>
      <c r="Z35" s="320"/>
      <c r="AA35" s="320"/>
      <c r="AB35" s="300"/>
      <c r="AC35" s="300"/>
      <c r="AD35" s="300"/>
      <c r="AE35" s="300"/>
      <c r="AF35" s="300"/>
      <c r="AG35" s="300"/>
      <c r="AH35" s="300"/>
      <c r="AI35" s="300"/>
      <c r="AJ35" s="300"/>
      <c r="AK35" s="300"/>
      <c r="AL35" s="300"/>
    </row>
    <row r="36" spans="1:38" s="325" customFormat="1" ht="16.2">
      <c r="A36" s="317" t="s">
        <v>1682</v>
      </c>
      <c r="B36" s="318" t="s">
        <v>1930</v>
      </c>
      <c r="C36" s="63">
        <f t="shared" si="5"/>
        <v>741.1</v>
      </c>
      <c r="D36" s="319"/>
      <c r="E36" s="370">
        <v>741.1</v>
      </c>
      <c r="F36" s="370"/>
      <c r="G36" s="370"/>
      <c r="H36" s="63"/>
      <c r="I36" s="63"/>
      <c r="J36" s="63">
        <f t="shared" si="4"/>
        <v>0</v>
      </c>
      <c r="K36" s="63"/>
      <c r="L36" s="63"/>
      <c r="M36" s="63"/>
      <c r="N36" s="63"/>
      <c r="O36" s="370">
        <v>741.1</v>
      </c>
      <c r="P36" s="370"/>
      <c r="Q36" s="370"/>
      <c r="R36" s="63"/>
      <c r="S36" s="63"/>
      <c r="T36" s="63"/>
      <c r="U36" s="63"/>
      <c r="V36" s="370"/>
      <c r="W36" s="63"/>
      <c r="X36" s="320"/>
      <c r="Y36" s="320"/>
      <c r="Z36" s="320"/>
      <c r="AA36" s="320"/>
      <c r="AB36" s="324"/>
      <c r="AC36" s="324"/>
      <c r="AD36" s="324"/>
      <c r="AE36" s="324"/>
      <c r="AF36" s="324"/>
      <c r="AG36" s="324"/>
      <c r="AH36" s="324"/>
      <c r="AI36" s="324"/>
      <c r="AJ36" s="324"/>
      <c r="AK36" s="324"/>
      <c r="AL36" s="324"/>
    </row>
    <row r="37" spans="1:38" s="393" customFormat="1" ht="31.2">
      <c r="A37" s="664" t="s">
        <v>1683</v>
      </c>
      <c r="B37" s="401" t="s">
        <v>2024</v>
      </c>
      <c r="C37" s="387">
        <f t="shared" si="5"/>
        <v>45768</v>
      </c>
      <c r="D37" s="402"/>
      <c r="E37" s="389">
        <v>45768</v>
      </c>
      <c r="F37" s="389"/>
      <c r="G37" s="389"/>
      <c r="H37" s="387"/>
      <c r="I37" s="387"/>
      <c r="J37" s="387">
        <f t="shared" si="4"/>
        <v>0</v>
      </c>
      <c r="K37" s="387"/>
      <c r="L37" s="387"/>
      <c r="M37" s="387"/>
      <c r="N37" s="387"/>
      <c r="O37" s="389">
        <v>45768</v>
      </c>
      <c r="P37" s="389"/>
      <c r="Q37" s="389"/>
      <c r="R37" s="387"/>
      <c r="S37" s="387"/>
      <c r="T37" s="387"/>
      <c r="U37" s="387"/>
      <c r="V37" s="389"/>
      <c r="W37" s="387"/>
      <c r="X37" s="391"/>
      <c r="Y37" s="391"/>
      <c r="Z37" s="391"/>
      <c r="AA37" s="391"/>
      <c r="AB37" s="392"/>
      <c r="AC37" s="392"/>
      <c r="AD37" s="392"/>
      <c r="AE37" s="392"/>
      <c r="AF37" s="392"/>
      <c r="AG37" s="392"/>
      <c r="AH37" s="392"/>
      <c r="AI37" s="392"/>
      <c r="AJ37" s="392"/>
      <c r="AK37" s="392"/>
      <c r="AL37" s="392"/>
    </row>
    <row r="38" spans="1:38" s="326" customFormat="1">
      <c r="A38" s="317" t="s">
        <v>1684</v>
      </c>
      <c r="B38" s="318" t="s">
        <v>1931</v>
      </c>
      <c r="C38" s="63">
        <f t="shared" si="5"/>
        <v>738</v>
      </c>
      <c r="D38" s="319"/>
      <c r="E38" s="370">
        <v>738</v>
      </c>
      <c r="F38" s="370"/>
      <c r="G38" s="370"/>
      <c r="H38" s="63"/>
      <c r="I38" s="63"/>
      <c r="J38" s="63">
        <f t="shared" si="4"/>
        <v>0</v>
      </c>
      <c r="K38" s="63"/>
      <c r="L38" s="63"/>
      <c r="M38" s="63"/>
      <c r="N38" s="63"/>
      <c r="O38" s="370">
        <v>738</v>
      </c>
      <c r="P38" s="370"/>
      <c r="Q38" s="370"/>
      <c r="R38" s="63"/>
      <c r="S38" s="63"/>
      <c r="T38" s="63"/>
      <c r="U38" s="63"/>
      <c r="V38" s="370"/>
      <c r="W38" s="63"/>
      <c r="X38" s="320"/>
      <c r="Y38" s="320"/>
      <c r="Z38" s="320"/>
      <c r="AA38" s="320"/>
      <c r="AB38" s="300"/>
      <c r="AC38" s="300"/>
      <c r="AD38" s="300"/>
      <c r="AE38" s="300"/>
      <c r="AF38" s="300"/>
      <c r="AG38" s="300"/>
      <c r="AH38" s="300"/>
      <c r="AI38" s="300"/>
      <c r="AJ38" s="300"/>
      <c r="AK38" s="300"/>
      <c r="AL38" s="300"/>
    </row>
    <row r="39" spans="1:38" s="327" customFormat="1">
      <c r="A39" s="317" t="s">
        <v>1685</v>
      </c>
      <c r="B39" s="318" t="s">
        <v>181</v>
      </c>
      <c r="C39" s="63">
        <f t="shared" si="5"/>
        <v>13871.099</v>
      </c>
      <c r="D39" s="70">
        <v>0</v>
      </c>
      <c r="E39" s="370">
        <v>13871.099</v>
      </c>
      <c r="F39" s="370"/>
      <c r="G39" s="370"/>
      <c r="H39" s="63"/>
      <c r="I39" s="63"/>
      <c r="J39" s="63">
        <f t="shared" si="4"/>
        <v>3596</v>
      </c>
      <c r="K39" s="63"/>
      <c r="L39" s="370">
        <v>3596</v>
      </c>
      <c r="M39" s="63"/>
      <c r="N39" s="70">
        <v>6607.8449999999993</v>
      </c>
      <c r="O39" s="370">
        <v>7690.0990000000002</v>
      </c>
      <c r="P39" s="370"/>
      <c r="Q39" s="370"/>
      <c r="R39" s="63"/>
      <c r="S39" s="63"/>
      <c r="T39" s="63"/>
      <c r="U39" s="63"/>
      <c r="V39" s="370">
        <v>3619</v>
      </c>
      <c r="W39" s="63">
        <v>6181</v>
      </c>
      <c r="X39" s="320"/>
      <c r="Y39" s="320"/>
      <c r="Z39" s="320"/>
      <c r="AA39" s="320"/>
      <c r="AB39" s="324"/>
      <c r="AC39" s="324"/>
      <c r="AD39" s="324"/>
      <c r="AE39" s="324"/>
      <c r="AF39" s="324"/>
      <c r="AG39" s="324"/>
      <c r="AH39" s="324"/>
      <c r="AI39" s="324"/>
      <c r="AJ39" s="324"/>
      <c r="AK39" s="324"/>
      <c r="AL39" s="324"/>
    </row>
    <row r="40" spans="1:38" s="325" customFormat="1" ht="16.2">
      <c r="A40" s="317" t="s">
        <v>1686</v>
      </c>
      <c r="B40" s="318" t="s">
        <v>1646</v>
      </c>
      <c r="C40" s="63">
        <f t="shared" si="5"/>
        <v>333.15</v>
      </c>
      <c r="D40" s="319"/>
      <c r="E40" s="370">
        <v>333.15</v>
      </c>
      <c r="F40" s="370"/>
      <c r="G40" s="370"/>
      <c r="H40" s="63"/>
      <c r="I40" s="63"/>
      <c r="J40" s="63">
        <f t="shared" si="4"/>
        <v>0</v>
      </c>
      <c r="K40" s="63"/>
      <c r="L40" s="63"/>
      <c r="M40" s="63"/>
      <c r="N40" s="63"/>
      <c r="O40" s="370">
        <v>333.15</v>
      </c>
      <c r="P40" s="370"/>
      <c r="Q40" s="370"/>
      <c r="R40" s="63"/>
      <c r="S40" s="63"/>
      <c r="T40" s="63"/>
      <c r="U40" s="63"/>
      <c r="V40" s="370"/>
      <c r="W40" s="63"/>
      <c r="X40" s="320"/>
      <c r="Y40" s="320"/>
      <c r="Z40" s="320"/>
      <c r="AA40" s="320"/>
      <c r="AB40" s="324"/>
      <c r="AC40" s="324"/>
      <c r="AD40" s="324"/>
      <c r="AE40" s="324"/>
      <c r="AF40" s="324"/>
      <c r="AG40" s="324"/>
      <c r="AH40" s="324"/>
      <c r="AI40" s="324"/>
      <c r="AJ40" s="324"/>
      <c r="AK40" s="324"/>
      <c r="AL40" s="324"/>
    </row>
    <row r="41" spans="1:38" s="385" customFormat="1" ht="46.8">
      <c r="A41" s="317" t="s">
        <v>1687</v>
      </c>
      <c r="B41" s="379" t="s">
        <v>2025</v>
      </c>
      <c r="C41" s="63">
        <f t="shared" si="5"/>
        <v>979.27700000000004</v>
      </c>
      <c r="D41" s="381"/>
      <c r="E41" s="382">
        <v>979.27700000000004</v>
      </c>
      <c r="F41" s="382"/>
      <c r="G41" s="382"/>
      <c r="H41" s="380"/>
      <c r="I41" s="380"/>
      <c r="J41" s="63">
        <f t="shared" si="4"/>
        <v>0</v>
      </c>
      <c r="K41" s="380"/>
      <c r="L41" s="380"/>
      <c r="M41" s="380"/>
      <c r="N41" s="380"/>
      <c r="O41" s="382">
        <v>880.047506</v>
      </c>
      <c r="P41" s="382"/>
      <c r="Q41" s="382"/>
      <c r="R41" s="380"/>
      <c r="S41" s="380"/>
      <c r="T41" s="380"/>
      <c r="U41" s="380"/>
      <c r="V41" s="382"/>
      <c r="W41" s="380"/>
      <c r="X41" s="383"/>
      <c r="Y41" s="383"/>
      <c r="Z41" s="383"/>
      <c r="AA41" s="383"/>
      <c r="AB41" s="384"/>
      <c r="AC41" s="384"/>
      <c r="AD41" s="384"/>
      <c r="AE41" s="384"/>
      <c r="AF41" s="384"/>
      <c r="AG41" s="384"/>
      <c r="AH41" s="384"/>
      <c r="AI41" s="384"/>
      <c r="AJ41" s="384"/>
      <c r="AK41" s="384"/>
      <c r="AL41" s="384"/>
    </row>
    <row r="42" spans="1:38" s="385" customFormat="1" ht="31.2">
      <c r="A42" s="317" t="s">
        <v>1914</v>
      </c>
      <c r="B42" s="379" t="s">
        <v>606</v>
      </c>
      <c r="C42" s="63">
        <f t="shared" si="5"/>
        <v>3182</v>
      </c>
      <c r="D42" s="381">
        <v>2964</v>
      </c>
      <c r="E42" s="382">
        <v>218</v>
      </c>
      <c r="F42" s="382"/>
      <c r="G42" s="382"/>
      <c r="H42" s="380"/>
      <c r="I42" s="380"/>
      <c r="J42" s="63">
        <f t="shared" si="4"/>
        <v>0</v>
      </c>
      <c r="K42" s="380"/>
      <c r="L42" s="380"/>
      <c r="M42" s="380"/>
      <c r="N42" s="380">
        <v>4093.9604989999998</v>
      </c>
      <c r="O42" s="382">
        <v>214.34</v>
      </c>
      <c r="P42" s="382"/>
      <c r="Q42" s="382"/>
      <c r="R42" s="380"/>
      <c r="S42" s="380"/>
      <c r="T42" s="380"/>
      <c r="U42" s="380"/>
      <c r="V42" s="382"/>
      <c r="W42" s="380"/>
      <c r="X42" s="383"/>
      <c r="Y42" s="383"/>
      <c r="Z42" s="383"/>
      <c r="AA42" s="383"/>
      <c r="AB42" s="384"/>
      <c r="AC42" s="384"/>
      <c r="AD42" s="384"/>
      <c r="AE42" s="384"/>
      <c r="AF42" s="384"/>
      <c r="AG42" s="384"/>
      <c r="AH42" s="384"/>
      <c r="AI42" s="384"/>
      <c r="AJ42" s="384"/>
      <c r="AK42" s="384"/>
      <c r="AL42" s="384"/>
    </row>
    <row r="43" spans="1:38" s="393" customFormat="1" ht="16.2">
      <c r="A43" s="317" t="s">
        <v>1688</v>
      </c>
      <c r="B43" s="386" t="s">
        <v>581</v>
      </c>
      <c r="C43" s="63">
        <f t="shared" si="5"/>
        <v>781244.34317500005</v>
      </c>
      <c r="D43" s="388">
        <v>781244.34317500005</v>
      </c>
      <c r="E43" s="389"/>
      <c r="F43" s="389"/>
      <c r="G43" s="389"/>
      <c r="H43" s="388"/>
      <c r="I43" s="388"/>
      <c r="J43" s="63">
        <f t="shared" si="4"/>
        <v>0</v>
      </c>
      <c r="K43" s="388"/>
      <c r="L43" s="388"/>
      <c r="M43" s="387"/>
      <c r="N43" s="388">
        <v>242613.55453699999</v>
      </c>
      <c r="O43" s="389"/>
      <c r="P43" s="389"/>
      <c r="Q43" s="389"/>
      <c r="R43" s="388"/>
      <c r="S43" s="388"/>
      <c r="T43" s="388"/>
      <c r="U43" s="388"/>
      <c r="V43" s="390"/>
      <c r="W43" s="387"/>
      <c r="X43" s="391"/>
      <c r="Y43" s="391"/>
      <c r="Z43" s="391"/>
      <c r="AA43" s="391"/>
      <c r="AB43" s="392"/>
      <c r="AC43" s="392"/>
      <c r="AD43" s="392"/>
      <c r="AE43" s="392"/>
      <c r="AF43" s="392"/>
      <c r="AG43" s="392"/>
      <c r="AH43" s="392"/>
      <c r="AI43" s="392"/>
      <c r="AJ43" s="392"/>
      <c r="AK43" s="392"/>
      <c r="AL43" s="392"/>
    </row>
    <row r="44" spans="1:38" s="393" customFormat="1" ht="31.2">
      <c r="A44" s="317" t="s">
        <v>1689</v>
      </c>
      <c r="B44" s="386" t="s">
        <v>589</v>
      </c>
      <c r="C44" s="63">
        <f t="shared" si="5"/>
        <v>0</v>
      </c>
      <c r="D44" s="388"/>
      <c r="E44" s="389"/>
      <c r="F44" s="389"/>
      <c r="G44" s="389"/>
      <c r="H44" s="388"/>
      <c r="I44" s="388"/>
      <c r="J44" s="63">
        <f t="shared" si="4"/>
        <v>0</v>
      </c>
      <c r="K44" s="388"/>
      <c r="L44" s="388"/>
      <c r="M44" s="387"/>
      <c r="N44" s="388"/>
      <c r="O44" s="389"/>
      <c r="P44" s="389"/>
      <c r="Q44" s="389"/>
      <c r="R44" s="388"/>
      <c r="S44" s="388"/>
      <c r="T44" s="388"/>
      <c r="U44" s="388"/>
      <c r="V44" s="390"/>
      <c r="W44" s="387"/>
      <c r="X44" s="391"/>
      <c r="Y44" s="391"/>
      <c r="Z44" s="391"/>
      <c r="AA44" s="391"/>
      <c r="AB44" s="392"/>
      <c r="AC44" s="392"/>
      <c r="AD44" s="392"/>
      <c r="AE44" s="392"/>
      <c r="AF44" s="392"/>
      <c r="AG44" s="392"/>
      <c r="AH44" s="392"/>
      <c r="AI44" s="392"/>
      <c r="AJ44" s="392"/>
      <c r="AK44" s="392"/>
      <c r="AL44" s="392"/>
    </row>
    <row r="45" spans="1:38" s="325" customFormat="1" ht="16.2">
      <c r="A45" s="317" t="s">
        <v>1690</v>
      </c>
      <c r="B45" s="318" t="s">
        <v>1526</v>
      </c>
      <c r="C45" s="63">
        <f t="shared" si="5"/>
        <v>852.07957199999998</v>
      </c>
      <c r="D45" s="319"/>
      <c r="E45" s="370">
        <v>852.07957199999998</v>
      </c>
      <c r="F45" s="370"/>
      <c r="G45" s="370"/>
      <c r="H45" s="63"/>
      <c r="I45" s="63"/>
      <c r="J45" s="63">
        <f t="shared" si="4"/>
        <v>0</v>
      </c>
      <c r="K45" s="63"/>
      <c r="L45" s="63"/>
      <c r="M45" s="63"/>
      <c r="N45" s="63"/>
      <c r="O45" s="370">
        <v>852.07957199999998</v>
      </c>
      <c r="P45" s="370"/>
      <c r="Q45" s="370"/>
      <c r="R45" s="63"/>
      <c r="S45" s="63"/>
      <c r="T45" s="63"/>
      <c r="U45" s="63"/>
      <c r="V45" s="370"/>
      <c r="W45" s="63"/>
      <c r="X45" s="320"/>
      <c r="Y45" s="320"/>
      <c r="Z45" s="320"/>
      <c r="AA45" s="320"/>
      <c r="AB45" s="324"/>
      <c r="AC45" s="324"/>
      <c r="AD45" s="324"/>
      <c r="AE45" s="324"/>
      <c r="AF45" s="324"/>
      <c r="AG45" s="324"/>
      <c r="AH45" s="324"/>
      <c r="AI45" s="324"/>
      <c r="AJ45" s="324"/>
      <c r="AK45" s="324"/>
      <c r="AL45" s="324"/>
    </row>
    <row r="46" spans="1:38" s="396" customFormat="1" ht="16.2">
      <c r="A46" s="317" t="s">
        <v>1691</v>
      </c>
      <c r="B46" s="659" t="s">
        <v>2026</v>
      </c>
      <c r="C46" s="63">
        <f t="shared" si="5"/>
        <v>50</v>
      </c>
      <c r="D46" s="394">
        <v>50</v>
      </c>
      <c r="E46" s="370">
        <v>0</v>
      </c>
      <c r="F46" s="370"/>
      <c r="G46" s="370"/>
      <c r="H46" s="370"/>
      <c r="I46" s="370"/>
      <c r="J46" s="63">
        <f t="shared" si="4"/>
        <v>0</v>
      </c>
      <c r="K46" s="370"/>
      <c r="L46" s="63"/>
      <c r="M46" s="370"/>
      <c r="N46" s="370"/>
      <c r="O46" s="370">
        <v>0</v>
      </c>
      <c r="P46" s="370"/>
      <c r="Q46" s="370"/>
      <c r="R46" s="370"/>
      <c r="S46" s="370"/>
      <c r="T46" s="370"/>
      <c r="U46" s="370"/>
      <c r="V46" s="370"/>
      <c r="W46" s="370"/>
      <c r="X46" s="372"/>
      <c r="Y46" s="372"/>
      <c r="Z46" s="372"/>
      <c r="AA46" s="372"/>
      <c r="AB46" s="395"/>
      <c r="AC46" s="395"/>
      <c r="AD46" s="395"/>
      <c r="AE46" s="395"/>
      <c r="AF46" s="395"/>
      <c r="AG46" s="395"/>
      <c r="AH46" s="395"/>
      <c r="AI46" s="395"/>
      <c r="AJ46" s="395"/>
      <c r="AK46" s="395"/>
      <c r="AL46" s="395"/>
    </row>
    <row r="47" spans="1:38" s="325" customFormat="1" ht="31.2">
      <c r="A47" s="317" t="s">
        <v>1692</v>
      </c>
      <c r="B47" s="318" t="s">
        <v>1961</v>
      </c>
      <c r="C47" s="63">
        <f t="shared" si="5"/>
        <v>130</v>
      </c>
      <c r="D47" s="319"/>
      <c r="E47" s="370">
        <v>130</v>
      </c>
      <c r="F47" s="370"/>
      <c r="G47" s="370"/>
      <c r="H47" s="63"/>
      <c r="I47" s="63"/>
      <c r="J47" s="63">
        <f t="shared" si="4"/>
        <v>0</v>
      </c>
      <c r="K47" s="63"/>
      <c r="L47" s="63"/>
      <c r="M47" s="63"/>
      <c r="N47" s="63"/>
      <c r="O47" s="370">
        <v>130</v>
      </c>
      <c r="P47" s="370"/>
      <c r="Q47" s="370"/>
      <c r="R47" s="63"/>
      <c r="S47" s="63"/>
      <c r="T47" s="63"/>
      <c r="U47" s="63"/>
      <c r="V47" s="370"/>
      <c r="W47" s="63"/>
      <c r="X47" s="320"/>
      <c r="Y47" s="320"/>
      <c r="Z47" s="320"/>
      <c r="AA47" s="320"/>
      <c r="AB47" s="324"/>
      <c r="AC47" s="324"/>
      <c r="AD47" s="324"/>
      <c r="AE47" s="324"/>
      <c r="AF47" s="324"/>
      <c r="AG47" s="324"/>
      <c r="AH47" s="324"/>
      <c r="AI47" s="324"/>
      <c r="AJ47" s="324"/>
      <c r="AK47" s="324"/>
      <c r="AL47" s="324"/>
    </row>
    <row r="48" spans="1:38" s="325" customFormat="1" ht="31.2">
      <c r="A48" s="317" t="s">
        <v>1915</v>
      </c>
      <c r="B48" s="318" t="s">
        <v>1534</v>
      </c>
      <c r="C48" s="63">
        <f t="shared" si="5"/>
        <v>1034</v>
      </c>
      <c r="D48" s="319"/>
      <c r="E48" s="370">
        <v>1034</v>
      </c>
      <c r="F48" s="370"/>
      <c r="G48" s="370"/>
      <c r="H48" s="63"/>
      <c r="I48" s="63"/>
      <c r="J48" s="63">
        <f t="shared" si="4"/>
        <v>0</v>
      </c>
      <c r="K48" s="63"/>
      <c r="L48" s="63"/>
      <c r="M48" s="63"/>
      <c r="N48" s="63"/>
      <c r="O48" s="370">
        <v>1034</v>
      </c>
      <c r="P48" s="370"/>
      <c r="Q48" s="370"/>
      <c r="R48" s="63"/>
      <c r="S48" s="63"/>
      <c r="T48" s="63"/>
      <c r="U48" s="63"/>
      <c r="V48" s="370"/>
      <c r="W48" s="63"/>
      <c r="X48" s="320"/>
      <c r="Y48" s="320"/>
      <c r="Z48" s="320"/>
      <c r="AA48" s="320"/>
      <c r="AB48" s="324"/>
      <c r="AC48" s="324"/>
      <c r="AD48" s="324"/>
      <c r="AE48" s="324"/>
      <c r="AF48" s="324"/>
      <c r="AG48" s="324"/>
      <c r="AH48" s="324"/>
      <c r="AI48" s="324"/>
      <c r="AJ48" s="324"/>
      <c r="AK48" s="324"/>
      <c r="AL48" s="324"/>
    </row>
    <row r="49" spans="1:38" s="393" customFormat="1" ht="31.2">
      <c r="A49" s="317" t="s">
        <v>1916</v>
      </c>
      <c r="B49" s="386" t="s">
        <v>596</v>
      </c>
      <c r="C49" s="63">
        <f t="shared" si="5"/>
        <v>0</v>
      </c>
      <c r="D49" s="388"/>
      <c r="E49" s="389"/>
      <c r="F49" s="389"/>
      <c r="G49" s="389"/>
      <c r="H49" s="388"/>
      <c r="I49" s="388"/>
      <c r="J49" s="63">
        <f t="shared" si="4"/>
        <v>0</v>
      </c>
      <c r="K49" s="388"/>
      <c r="L49" s="388"/>
      <c r="M49" s="387"/>
      <c r="N49" s="388"/>
      <c r="O49" s="389"/>
      <c r="P49" s="389"/>
      <c r="Q49" s="389"/>
      <c r="R49" s="388"/>
      <c r="S49" s="388"/>
      <c r="T49" s="388"/>
      <c r="U49" s="388"/>
      <c r="V49" s="390"/>
      <c r="W49" s="387"/>
      <c r="X49" s="391"/>
      <c r="Y49" s="391"/>
      <c r="Z49" s="391"/>
      <c r="AA49" s="391"/>
      <c r="AB49" s="392"/>
      <c r="AC49" s="392"/>
      <c r="AD49" s="392"/>
      <c r="AE49" s="392"/>
      <c r="AF49" s="392"/>
      <c r="AG49" s="392"/>
      <c r="AH49" s="392"/>
      <c r="AI49" s="392"/>
      <c r="AJ49" s="392"/>
      <c r="AK49" s="392"/>
      <c r="AL49" s="392"/>
    </row>
    <row r="50" spans="1:38" s="332" customFormat="1" ht="46.8">
      <c r="A50" s="317" t="s">
        <v>1693</v>
      </c>
      <c r="B50" s="386" t="s">
        <v>2027</v>
      </c>
      <c r="C50" s="63">
        <f t="shared" si="5"/>
        <v>0</v>
      </c>
      <c r="D50" s="388">
        <v>0</v>
      </c>
      <c r="E50" s="389"/>
      <c r="F50" s="389"/>
      <c r="G50" s="389"/>
      <c r="H50" s="388"/>
      <c r="I50" s="388"/>
      <c r="J50" s="63">
        <f t="shared" si="4"/>
        <v>0</v>
      </c>
      <c r="K50" s="388"/>
      <c r="L50" s="388"/>
      <c r="M50" s="387"/>
      <c r="N50" s="388">
        <v>269.21481199999999</v>
      </c>
      <c r="O50" s="389"/>
      <c r="P50" s="389"/>
      <c r="Q50" s="389"/>
      <c r="R50" s="388"/>
      <c r="S50" s="388"/>
      <c r="T50" s="388"/>
      <c r="U50" s="388"/>
      <c r="V50" s="390"/>
      <c r="W50" s="387"/>
      <c r="X50" s="391"/>
      <c r="Y50" s="391"/>
      <c r="Z50" s="391"/>
      <c r="AA50" s="391"/>
      <c r="AB50" s="331"/>
      <c r="AC50" s="331"/>
      <c r="AD50" s="331"/>
      <c r="AE50" s="331"/>
      <c r="AF50" s="331"/>
      <c r="AG50" s="331"/>
      <c r="AH50" s="331"/>
      <c r="AI50" s="331"/>
      <c r="AJ50" s="331"/>
      <c r="AK50" s="331"/>
      <c r="AL50" s="331"/>
    </row>
    <row r="51" spans="1:38" s="332" customFormat="1" ht="31.2">
      <c r="A51" s="317" t="s">
        <v>1917</v>
      </c>
      <c r="B51" s="386" t="s">
        <v>590</v>
      </c>
      <c r="C51" s="63">
        <f t="shared" si="5"/>
        <v>0</v>
      </c>
      <c r="D51" s="388">
        <v>0</v>
      </c>
      <c r="E51" s="389"/>
      <c r="F51" s="389"/>
      <c r="G51" s="389"/>
      <c r="H51" s="388"/>
      <c r="I51" s="388"/>
      <c r="J51" s="63">
        <f t="shared" si="4"/>
        <v>0</v>
      </c>
      <c r="K51" s="388"/>
      <c r="L51" s="388"/>
      <c r="M51" s="387"/>
      <c r="N51" s="388">
        <v>114.04600000000001</v>
      </c>
      <c r="O51" s="389"/>
      <c r="P51" s="389"/>
      <c r="Q51" s="389"/>
      <c r="R51" s="388"/>
      <c r="S51" s="388"/>
      <c r="T51" s="388"/>
      <c r="U51" s="388"/>
      <c r="V51" s="390"/>
      <c r="W51" s="387"/>
      <c r="X51" s="391"/>
      <c r="Y51" s="391"/>
      <c r="Z51" s="391"/>
      <c r="AA51" s="391"/>
      <c r="AB51" s="331"/>
      <c r="AC51" s="331"/>
      <c r="AD51" s="331"/>
      <c r="AE51" s="331"/>
      <c r="AF51" s="331"/>
      <c r="AG51" s="331"/>
      <c r="AH51" s="331"/>
      <c r="AI51" s="331"/>
      <c r="AJ51" s="331"/>
      <c r="AK51" s="331"/>
      <c r="AL51" s="331"/>
    </row>
    <row r="52" spans="1:38" s="397" customFormat="1" ht="31.2">
      <c r="A52" s="317" t="s">
        <v>2270</v>
      </c>
      <c r="B52" s="386" t="s">
        <v>606</v>
      </c>
      <c r="C52" s="63">
        <f t="shared" si="5"/>
        <v>0</v>
      </c>
      <c r="D52" s="388"/>
      <c r="E52" s="389"/>
      <c r="F52" s="389"/>
      <c r="G52" s="389"/>
      <c r="H52" s="388"/>
      <c r="I52" s="388"/>
      <c r="J52" s="63">
        <f t="shared" si="4"/>
        <v>0</v>
      </c>
      <c r="K52" s="388"/>
      <c r="L52" s="388"/>
      <c r="M52" s="387"/>
      <c r="N52" s="388"/>
      <c r="O52" s="389"/>
      <c r="P52" s="389"/>
      <c r="Q52" s="389"/>
      <c r="R52" s="388"/>
      <c r="S52" s="388"/>
      <c r="T52" s="388"/>
      <c r="U52" s="388"/>
      <c r="V52" s="390"/>
      <c r="W52" s="387"/>
      <c r="X52" s="391"/>
      <c r="Y52" s="391"/>
      <c r="Z52" s="391"/>
      <c r="AA52" s="391"/>
      <c r="AB52" s="331"/>
      <c r="AC52" s="331"/>
      <c r="AD52" s="331"/>
      <c r="AE52" s="331"/>
      <c r="AF52" s="331"/>
      <c r="AG52" s="331"/>
      <c r="AH52" s="331"/>
      <c r="AI52" s="331"/>
      <c r="AJ52" s="331"/>
      <c r="AK52" s="331"/>
      <c r="AL52" s="331"/>
    </row>
    <row r="53" spans="1:38" s="323" customFormat="1" ht="31.2">
      <c r="A53" s="317" t="s">
        <v>1694</v>
      </c>
      <c r="B53" s="321" t="s">
        <v>583</v>
      </c>
      <c r="C53" s="63">
        <f t="shared" si="5"/>
        <v>2270</v>
      </c>
      <c r="D53" s="398">
        <v>2270</v>
      </c>
      <c r="E53" s="399"/>
      <c r="F53" s="399"/>
      <c r="G53" s="399"/>
      <c r="H53" s="398"/>
      <c r="I53" s="398"/>
      <c r="J53" s="63">
        <f t="shared" si="4"/>
        <v>0</v>
      </c>
      <c r="K53" s="398"/>
      <c r="L53" s="398"/>
      <c r="M53" s="329"/>
      <c r="N53" s="398">
        <v>2047.8402640000002</v>
      </c>
      <c r="O53" s="399"/>
      <c r="P53" s="399"/>
      <c r="Q53" s="399"/>
      <c r="R53" s="398"/>
      <c r="S53" s="398"/>
      <c r="T53" s="398"/>
      <c r="U53" s="398"/>
      <c r="V53" s="400"/>
      <c r="W53" s="329"/>
      <c r="X53" s="330"/>
      <c r="Y53" s="330"/>
      <c r="Z53" s="330"/>
      <c r="AA53" s="330"/>
      <c r="AB53" s="47"/>
      <c r="AC53" s="47"/>
      <c r="AD53" s="47"/>
      <c r="AE53" s="47"/>
      <c r="AF53" s="47"/>
      <c r="AG53" s="47"/>
      <c r="AH53" s="47"/>
      <c r="AI53" s="47"/>
      <c r="AJ53" s="47"/>
      <c r="AK53" s="47"/>
      <c r="AL53" s="47"/>
    </row>
    <row r="54" spans="1:38" s="332" customFormat="1" ht="31.2">
      <c r="A54" s="317" t="s">
        <v>1695</v>
      </c>
      <c r="B54" s="386" t="s">
        <v>601</v>
      </c>
      <c r="C54" s="63">
        <f t="shared" si="5"/>
        <v>0</v>
      </c>
      <c r="D54" s="388"/>
      <c r="E54" s="389"/>
      <c r="F54" s="389"/>
      <c r="G54" s="389"/>
      <c r="H54" s="388"/>
      <c r="I54" s="388"/>
      <c r="J54" s="63">
        <f t="shared" si="4"/>
        <v>0</v>
      </c>
      <c r="K54" s="388"/>
      <c r="L54" s="388"/>
      <c r="M54" s="387"/>
      <c r="N54" s="388"/>
      <c r="O54" s="389"/>
      <c r="P54" s="389"/>
      <c r="Q54" s="389"/>
      <c r="R54" s="388"/>
      <c r="S54" s="388"/>
      <c r="T54" s="388"/>
      <c r="U54" s="388"/>
      <c r="V54" s="390"/>
      <c r="W54" s="387"/>
      <c r="X54" s="391"/>
      <c r="Y54" s="391"/>
      <c r="Z54" s="391"/>
      <c r="AA54" s="391"/>
      <c r="AB54" s="331"/>
      <c r="AC54" s="331"/>
      <c r="AD54" s="331"/>
      <c r="AE54" s="331"/>
      <c r="AF54" s="331"/>
      <c r="AG54" s="331"/>
      <c r="AH54" s="331"/>
      <c r="AI54" s="331"/>
      <c r="AJ54" s="331"/>
      <c r="AK54" s="331"/>
      <c r="AL54" s="331"/>
    </row>
    <row r="55" spans="1:38" s="397" customFormat="1" ht="31.2">
      <c r="A55" s="317" t="s">
        <v>1696</v>
      </c>
      <c r="B55" s="386" t="s">
        <v>598</v>
      </c>
      <c r="C55" s="63">
        <f t="shared" si="5"/>
        <v>34997.603999999999</v>
      </c>
      <c r="D55" s="388">
        <v>34997.603999999999</v>
      </c>
      <c r="E55" s="389"/>
      <c r="F55" s="389"/>
      <c r="G55" s="389"/>
      <c r="H55" s="388"/>
      <c r="I55" s="388"/>
      <c r="J55" s="63">
        <f t="shared" si="4"/>
        <v>0</v>
      </c>
      <c r="K55" s="388"/>
      <c r="L55" s="388"/>
      <c r="M55" s="387"/>
      <c r="N55" s="388">
        <v>19233.140342999999</v>
      </c>
      <c r="O55" s="389"/>
      <c r="P55" s="389"/>
      <c r="Q55" s="389"/>
      <c r="R55" s="388"/>
      <c r="S55" s="388"/>
      <c r="T55" s="388"/>
      <c r="U55" s="388"/>
      <c r="V55" s="390"/>
      <c r="W55" s="387"/>
      <c r="X55" s="391"/>
      <c r="Y55" s="391"/>
      <c r="Z55" s="391"/>
      <c r="AA55" s="391"/>
      <c r="AB55" s="331"/>
      <c r="AC55" s="331"/>
      <c r="AD55" s="331"/>
      <c r="AE55" s="331"/>
      <c r="AF55" s="331"/>
      <c r="AG55" s="331"/>
      <c r="AH55" s="331"/>
      <c r="AI55" s="331"/>
      <c r="AJ55" s="331"/>
      <c r="AK55" s="331"/>
      <c r="AL55" s="331"/>
    </row>
    <row r="56" spans="1:38" s="397" customFormat="1" ht="31.2">
      <c r="A56" s="317" t="s">
        <v>1697</v>
      </c>
      <c r="B56" s="386" t="s">
        <v>599</v>
      </c>
      <c r="C56" s="63">
        <f t="shared" si="5"/>
        <v>20149.357212999999</v>
      </c>
      <c r="D56" s="388">
        <v>20149.357212999999</v>
      </c>
      <c r="E56" s="389"/>
      <c r="F56" s="389"/>
      <c r="G56" s="389"/>
      <c r="H56" s="388"/>
      <c r="I56" s="388"/>
      <c r="J56" s="63">
        <f t="shared" si="4"/>
        <v>0</v>
      </c>
      <c r="K56" s="388"/>
      <c r="L56" s="388"/>
      <c r="M56" s="387"/>
      <c r="N56" s="388">
        <v>15666.050909</v>
      </c>
      <c r="O56" s="389"/>
      <c r="P56" s="389"/>
      <c r="Q56" s="389"/>
      <c r="R56" s="388"/>
      <c r="S56" s="388"/>
      <c r="T56" s="388"/>
      <c r="U56" s="388"/>
      <c r="V56" s="390"/>
      <c r="W56" s="387"/>
      <c r="X56" s="391"/>
      <c r="Y56" s="391"/>
      <c r="Z56" s="391"/>
      <c r="AA56" s="391"/>
      <c r="AB56" s="331"/>
      <c r="AC56" s="331"/>
      <c r="AD56" s="331"/>
      <c r="AE56" s="331"/>
      <c r="AF56" s="331"/>
      <c r="AG56" s="331"/>
      <c r="AH56" s="331"/>
      <c r="AI56" s="331"/>
      <c r="AJ56" s="331"/>
      <c r="AK56" s="331"/>
      <c r="AL56" s="331"/>
    </row>
    <row r="57" spans="1:38" s="397" customFormat="1" ht="31.2">
      <c r="A57" s="317" t="s">
        <v>1698</v>
      </c>
      <c r="B57" s="386" t="s">
        <v>2028</v>
      </c>
      <c r="C57" s="63">
        <f t="shared" si="5"/>
        <v>20952.932000000001</v>
      </c>
      <c r="D57" s="388">
        <v>20952.932000000001</v>
      </c>
      <c r="E57" s="389"/>
      <c r="F57" s="389"/>
      <c r="G57" s="389"/>
      <c r="H57" s="388"/>
      <c r="I57" s="388"/>
      <c r="J57" s="63">
        <f t="shared" si="4"/>
        <v>0</v>
      </c>
      <c r="K57" s="388"/>
      <c r="L57" s="388"/>
      <c r="M57" s="387"/>
      <c r="N57" s="388">
        <v>15096.971598000002</v>
      </c>
      <c r="O57" s="389"/>
      <c r="P57" s="389"/>
      <c r="Q57" s="389"/>
      <c r="R57" s="388"/>
      <c r="S57" s="388"/>
      <c r="T57" s="388"/>
      <c r="U57" s="388"/>
      <c r="V57" s="390"/>
      <c r="W57" s="387"/>
      <c r="X57" s="391"/>
      <c r="Y57" s="391"/>
      <c r="Z57" s="391"/>
      <c r="AA57" s="391"/>
      <c r="AB57" s="331"/>
      <c r="AC57" s="331"/>
      <c r="AD57" s="331"/>
      <c r="AE57" s="331"/>
      <c r="AF57" s="331"/>
      <c r="AG57" s="331"/>
      <c r="AH57" s="331"/>
      <c r="AI57" s="331"/>
      <c r="AJ57" s="331"/>
      <c r="AK57" s="331"/>
      <c r="AL57" s="331"/>
    </row>
    <row r="58" spans="1:38" s="397" customFormat="1" ht="31.2">
      <c r="A58" s="317" t="s">
        <v>1699</v>
      </c>
      <c r="B58" s="386" t="s">
        <v>2029</v>
      </c>
      <c r="C58" s="63">
        <f t="shared" si="5"/>
        <v>25197.69</v>
      </c>
      <c r="D58" s="388">
        <v>25197.69</v>
      </c>
      <c r="E58" s="389"/>
      <c r="F58" s="389"/>
      <c r="G58" s="389"/>
      <c r="H58" s="388"/>
      <c r="I58" s="388"/>
      <c r="J58" s="63">
        <f t="shared" si="4"/>
        <v>0</v>
      </c>
      <c r="K58" s="388"/>
      <c r="L58" s="388"/>
      <c r="M58" s="387"/>
      <c r="N58" s="388">
        <v>24571.013184000003</v>
      </c>
      <c r="O58" s="389"/>
      <c r="P58" s="389"/>
      <c r="Q58" s="389"/>
      <c r="R58" s="388"/>
      <c r="S58" s="388"/>
      <c r="T58" s="388"/>
      <c r="U58" s="388"/>
      <c r="V58" s="390"/>
      <c r="W58" s="387"/>
      <c r="X58" s="391"/>
      <c r="Y58" s="391"/>
      <c r="Z58" s="391"/>
      <c r="AA58" s="391"/>
      <c r="AB58" s="331"/>
      <c r="AC58" s="331"/>
      <c r="AD58" s="331"/>
      <c r="AE58" s="331"/>
      <c r="AF58" s="331"/>
      <c r="AG58" s="331"/>
      <c r="AH58" s="331"/>
      <c r="AI58" s="331"/>
      <c r="AJ58" s="331"/>
      <c r="AK58" s="331"/>
      <c r="AL58" s="331"/>
    </row>
    <row r="59" spans="1:38" s="397" customFormat="1" ht="31.2">
      <c r="A59" s="317" t="s">
        <v>1700</v>
      </c>
      <c r="B59" s="386" t="s">
        <v>602</v>
      </c>
      <c r="C59" s="63">
        <f t="shared" si="5"/>
        <v>15688.857</v>
      </c>
      <c r="D59" s="388">
        <v>15688.857</v>
      </c>
      <c r="E59" s="389"/>
      <c r="F59" s="389"/>
      <c r="G59" s="389"/>
      <c r="H59" s="388"/>
      <c r="I59" s="388"/>
      <c r="J59" s="63">
        <f t="shared" si="4"/>
        <v>0</v>
      </c>
      <c r="K59" s="388"/>
      <c r="L59" s="388"/>
      <c r="M59" s="387"/>
      <c r="N59" s="388">
        <v>14874.209316</v>
      </c>
      <c r="O59" s="389"/>
      <c r="P59" s="389"/>
      <c r="Q59" s="389"/>
      <c r="R59" s="388"/>
      <c r="S59" s="388"/>
      <c r="T59" s="388"/>
      <c r="U59" s="388"/>
      <c r="V59" s="390"/>
      <c r="W59" s="387"/>
      <c r="X59" s="391"/>
      <c r="Y59" s="391"/>
      <c r="Z59" s="391"/>
      <c r="AA59" s="391"/>
      <c r="AB59" s="331"/>
      <c r="AC59" s="331"/>
      <c r="AD59" s="331"/>
      <c r="AE59" s="331"/>
      <c r="AF59" s="331"/>
      <c r="AG59" s="331"/>
      <c r="AH59" s="331"/>
      <c r="AI59" s="331"/>
      <c r="AJ59" s="331"/>
      <c r="AK59" s="331"/>
      <c r="AL59" s="331"/>
    </row>
    <row r="60" spans="1:38" s="332" customFormat="1" ht="31.2">
      <c r="A60" s="317" t="s">
        <v>1701</v>
      </c>
      <c r="B60" s="386" t="s">
        <v>2030</v>
      </c>
      <c r="C60" s="63">
        <f t="shared" si="5"/>
        <v>37240.46</v>
      </c>
      <c r="D60" s="388">
        <v>37240.46</v>
      </c>
      <c r="E60" s="389"/>
      <c r="F60" s="389"/>
      <c r="G60" s="389"/>
      <c r="H60" s="388"/>
      <c r="I60" s="388"/>
      <c r="J60" s="63">
        <f t="shared" si="4"/>
        <v>0</v>
      </c>
      <c r="K60" s="388"/>
      <c r="L60" s="388"/>
      <c r="M60" s="387"/>
      <c r="N60" s="388">
        <v>30336.621559000003</v>
      </c>
      <c r="O60" s="389"/>
      <c r="P60" s="389"/>
      <c r="Q60" s="389"/>
      <c r="R60" s="388"/>
      <c r="S60" s="388"/>
      <c r="T60" s="388"/>
      <c r="U60" s="388"/>
      <c r="V60" s="390"/>
      <c r="W60" s="387"/>
      <c r="X60" s="391"/>
      <c r="Y60" s="391"/>
      <c r="Z60" s="391"/>
      <c r="AA60" s="391"/>
      <c r="AB60" s="331"/>
      <c r="AC60" s="331"/>
      <c r="AD60" s="331"/>
      <c r="AE60" s="331"/>
      <c r="AF60" s="331"/>
      <c r="AG60" s="331"/>
      <c r="AH60" s="331"/>
      <c r="AI60" s="331"/>
      <c r="AJ60" s="331"/>
      <c r="AK60" s="331"/>
      <c r="AL60" s="331"/>
    </row>
    <row r="61" spans="1:38" s="332" customFormat="1" ht="31.2">
      <c r="A61" s="317" t="s">
        <v>1918</v>
      </c>
      <c r="B61" s="386" t="s">
        <v>2031</v>
      </c>
      <c r="C61" s="63">
        <f t="shared" si="5"/>
        <v>27659.776000000002</v>
      </c>
      <c r="D61" s="388">
        <v>27659.776000000002</v>
      </c>
      <c r="E61" s="389"/>
      <c r="F61" s="389"/>
      <c r="G61" s="389"/>
      <c r="H61" s="388"/>
      <c r="I61" s="388"/>
      <c r="J61" s="63">
        <f t="shared" si="4"/>
        <v>0</v>
      </c>
      <c r="K61" s="388"/>
      <c r="L61" s="388"/>
      <c r="M61" s="387"/>
      <c r="N61" s="388">
        <v>27655.589264999999</v>
      </c>
      <c r="O61" s="389"/>
      <c r="P61" s="389"/>
      <c r="Q61" s="389"/>
      <c r="R61" s="388"/>
      <c r="S61" s="388"/>
      <c r="T61" s="388"/>
      <c r="U61" s="388"/>
      <c r="V61" s="390"/>
      <c r="W61" s="387"/>
      <c r="X61" s="391"/>
      <c r="Y61" s="391"/>
      <c r="Z61" s="391"/>
      <c r="AA61" s="391"/>
      <c r="AB61" s="331"/>
      <c r="AC61" s="331"/>
      <c r="AD61" s="331"/>
      <c r="AE61" s="331"/>
      <c r="AF61" s="331"/>
      <c r="AG61" s="331"/>
      <c r="AH61" s="331"/>
      <c r="AI61" s="331"/>
      <c r="AJ61" s="331"/>
      <c r="AK61" s="331"/>
      <c r="AL61" s="331"/>
    </row>
    <row r="62" spans="1:38" s="332" customFormat="1" ht="31.2">
      <c r="A62" s="317" t="s">
        <v>1919</v>
      </c>
      <c r="B62" s="401" t="s">
        <v>1669</v>
      </c>
      <c r="C62" s="63">
        <f t="shared" si="5"/>
        <v>0</v>
      </c>
      <c r="D62" s="402"/>
      <c r="E62" s="389"/>
      <c r="F62" s="389"/>
      <c r="G62" s="389"/>
      <c r="H62" s="387"/>
      <c r="I62" s="387"/>
      <c r="J62" s="63">
        <f t="shared" si="4"/>
        <v>0</v>
      </c>
      <c r="K62" s="387"/>
      <c r="L62" s="387"/>
      <c r="M62" s="387"/>
      <c r="N62" s="387"/>
      <c r="O62" s="389"/>
      <c r="P62" s="389"/>
      <c r="Q62" s="389"/>
      <c r="R62" s="387"/>
      <c r="S62" s="387"/>
      <c r="T62" s="387"/>
      <c r="U62" s="387"/>
      <c r="V62" s="389"/>
      <c r="W62" s="387"/>
      <c r="X62" s="391"/>
      <c r="Y62" s="391"/>
      <c r="Z62" s="391"/>
      <c r="AA62" s="391"/>
      <c r="AB62" s="331"/>
      <c r="AC62" s="331"/>
      <c r="AD62" s="331"/>
      <c r="AE62" s="331"/>
      <c r="AF62" s="331"/>
      <c r="AG62" s="331"/>
      <c r="AH62" s="331"/>
      <c r="AI62" s="331"/>
      <c r="AJ62" s="331"/>
      <c r="AK62" s="331"/>
      <c r="AL62" s="331"/>
    </row>
    <row r="63" spans="1:38" s="323" customFormat="1" ht="31.2">
      <c r="A63" s="317" t="s">
        <v>1702</v>
      </c>
      <c r="B63" s="318" t="s">
        <v>1962</v>
      </c>
      <c r="C63" s="63">
        <f t="shared" si="5"/>
        <v>157</v>
      </c>
      <c r="D63" s="319"/>
      <c r="E63" s="370">
        <v>157</v>
      </c>
      <c r="F63" s="370"/>
      <c r="G63" s="370"/>
      <c r="H63" s="63"/>
      <c r="I63" s="63"/>
      <c r="J63" s="63">
        <f t="shared" si="4"/>
        <v>0</v>
      </c>
      <c r="K63" s="63"/>
      <c r="L63" s="63"/>
      <c r="M63" s="63"/>
      <c r="N63" s="63"/>
      <c r="O63" s="370">
        <v>141.39400000000001</v>
      </c>
      <c r="P63" s="370"/>
      <c r="Q63" s="370"/>
      <c r="R63" s="63"/>
      <c r="S63" s="63"/>
      <c r="T63" s="63"/>
      <c r="U63" s="63"/>
      <c r="V63" s="370"/>
      <c r="W63" s="63">
        <v>15.606</v>
      </c>
      <c r="X63" s="320"/>
      <c r="Y63" s="320"/>
      <c r="Z63" s="320"/>
      <c r="AA63" s="320"/>
      <c r="AB63" s="300"/>
      <c r="AC63" s="300"/>
      <c r="AD63" s="300"/>
      <c r="AE63" s="300"/>
      <c r="AF63" s="300"/>
      <c r="AG63" s="300"/>
      <c r="AH63" s="300"/>
      <c r="AI63" s="300"/>
      <c r="AJ63" s="300"/>
      <c r="AK63" s="300"/>
      <c r="AL63" s="300"/>
    </row>
    <row r="64" spans="1:38" s="397" customFormat="1" ht="31.2">
      <c r="A64" s="317" t="s">
        <v>1703</v>
      </c>
      <c r="B64" s="386" t="s">
        <v>605</v>
      </c>
      <c r="C64" s="63">
        <f t="shared" si="5"/>
        <v>446.79300000000001</v>
      </c>
      <c r="D64" s="388">
        <v>446.79300000000001</v>
      </c>
      <c r="E64" s="389"/>
      <c r="F64" s="389"/>
      <c r="G64" s="389"/>
      <c r="H64" s="388"/>
      <c r="I64" s="388"/>
      <c r="J64" s="63">
        <f t="shared" si="4"/>
        <v>0</v>
      </c>
      <c r="K64" s="388"/>
      <c r="L64" s="388"/>
      <c r="M64" s="387"/>
      <c r="N64" s="388">
        <v>446.79266200000001</v>
      </c>
      <c r="O64" s="389"/>
      <c r="P64" s="389"/>
      <c r="Q64" s="389"/>
      <c r="R64" s="388"/>
      <c r="S64" s="388"/>
      <c r="T64" s="388"/>
      <c r="U64" s="388"/>
      <c r="V64" s="390"/>
      <c r="W64" s="387"/>
      <c r="X64" s="391"/>
      <c r="Y64" s="391"/>
      <c r="Z64" s="391"/>
      <c r="AA64" s="391"/>
      <c r="AB64" s="331"/>
      <c r="AC64" s="331"/>
      <c r="AD64" s="331"/>
      <c r="AE64" s="331"/>
      <c r="AF64" s="331"/>
      <c r="AG64" s="331"/>
      <c r="AH64" s="331"/>
      <c r="AI64" s="331"/>
      <c r="AJ64" s="331"/>
      <c r="AK64" s="331"/>
      <c r="AL64" s="331"/>
    </row>
    <row r="65" spans="1:39" s="393" customFormat="1" ht="31.2">
      <c r="A65" s="317" t="s">
        <v>1704</v>
      </c>
      <c r="B65" s="386" t="s">
        <v>582</v>
      </c>
      <c r="C65" s="63">
        <f t="shared" si="5"/>
        <v>0</v>
      </c>
      <c r="D65" s="388">
        <v>0</v>
      </c>
      <c r="E65" s="389"/>
      <c r="F65" s="389"/>
      <c r="G65" s="389"/>
      <c r="H65" s="388"/>
      <c r="I65" s="388"/>
      <c r="J65" s="63">
        <f t="shared" si="4"/>
        <v>0</v>
      </c>
      <c r="K65" s="388"/>
      <c r="L65" s="388"/>
      <c r="M65" s="387"/>
      <c r="N65" s="388">
        <v>0</v>
      </c>
      <c r="O65" s="389"/>
      <c r="P65" s="389"/>
      <c r="Q65" s="389"/>
      <c r="R65" s="388"/>
      <c r="S65" s="388"/>
      <c r="T65" s="388"/>
      <c r="U65" s="388"/>
      <c r="V65" s="390"/>
      <c r="W65" s="387"/>
      <c r="X65" s="391"/>
      <c r="Y65" s="391"/>
      <c r="Z65" s="391"/>
      <c r="AA65" s="391"/>
      <c r="AB65" s="392"/>
      <c r="AC65" s="392"/>
      <c r="AD65" s="392"/>
      <c r="AE65" s="392"/>
      <c r="AF65" s="392"/>
      <c r="AG65" s="392"/>
      <c r="AH65" s="392"/>
      <c r="AI65" s="392"/>
      <c r="AJ65" s="392"/>
      <c r="AK65" s="392"/>
      <c r="AL65" s="392"/>
    </row>
    <row r="66" spans="1:39" s="385" customFormat="1" ht="31.2">
      <c r="A66" s="317" t="s">
        <v>1705</v>
      </c>
      <c r="B66" s="403" t="s">
        <v>2032</v>
      </c>
      <c r="C66" s="63">
        <f t="shared" si="5"/>
        <v>1500</v>
      </c>
      <c r="D66" s="404"/>
      <c r="E66" s="382">
        <v>1500</v>
      </c>
      <c r="F66" s="382"/>
      <c r="G66" s="382"/>
      <c r="H66" s="404"/>
      <c r="I66" s="404"/>
      <c r="J66" s="63">
        <f t="shared" si="4"/>
        <v>0</v>
      </c>
      <c r="K66" s="404"/>
      <c r="L66" s="404"/>
      <c r="M66" s="380"/>
      <c r="N66" s="404"/>
      <c r="O66" s="382">
        <v>1250.417569</v>
      </c>
      <c r="P66" s="382"/>
      <c r="Q66" s="382"/>
      <c r="R66" s="404"/>
      <c r="S66" s="404"/>
      <c r="T66" s="404"/>
      <c r="U66" s="404"/>
      <c r="V66" s="405"/>
      <c r="W66" s="380"/>
      <c r="X66" s="383"/>
      <c r="Y66" s="383"/>
      <c r="Z66" s="383"/>
      <c r="AA66" s="383"/>
      <c r="AB66" s="384"/>
      <c r="AC66" s="384"/>
      <c r="AD66" s="384"/>
      <c r="AE66" s="384"/>
      <c r="AF66" s="384"/>
      <c r="AG66" s="384"/>
      <c r="AH66" s="384"/>
      <c r="AI66" s="384"/>
      <c r="AJ66" s="384"/>
      <c r="AK66" s="384"/>
      <c r="AL66" s="384"/>
    </row>
    <row r="67" spans="1:39" s="326" customFormat="1">
      <c r="A67" s="317" t="s">
        <v>1706</v>
      </c>
      <c r="B67" s="318" t="s">
        <v>1928</v>
      </c>
      <c r="C67" s="63">
        <f t="shared" si="5"/>
        <v>103819.54700000001</v>
      </c>
      <c r="D67" s="70">
        <v>75713.547000000006</v>
      </c>
      <c r="E67" s="370">
        <v>28106</v>
      </c>
      <c r="F67" s="370"/>
      <c r="G67" s="370"/>
      <c r="H67" s="63"/>
      <c r="I67" s="63"/>
      <c r="J67" s="63">
        <f t="shared" si="4"/>
        <v>0</v>
      </c>
      <c r="K67" s="63"/>
      <c r="L67" s="63"/>
      <c r="M67" s="63"/>
      <c r="N67" s="70">
        <v>40477.550796000003</v>
      </c>
      <c r="O67" s="370">
        <v>25604.337</v>
      </c>
      <c r="P67" s="370"/>
      <c r="Q67" s="370"/>
      <c r="R67" s="63"/>
      <c r="S67" s="63"/>
      <c r="T67" s="63"/>
      <c r="U67" s="63"/>
      <c r="V67" s="370"/>
      <c r="W67" s="63">
        <v>2500</v>
      </c>
      <c r="X67" s="320"/>
      <c r="Y67" s="320"/>
      <c r="Z67" s="320"/>
      <c r="AA67" s="320"/>
      <c r="AB67" s="300"/>
      <c r="AC67" s="300"/>
      <c r="AD67" s="300"/>
      <c r="AE67" s="300"/>
      <c r="AF67" s="300"/>
      <c r="AG67" s="300"/>
      <c r="AH67" s="300"/>
      <c r="AI67" s="300"/>
      <c r="AJ67" s="300"/>
      <c r="AK67" s="300"/>
      <c r="AL67" s="300"/>
    </row>
    <row r="68" spans="1:39" s="326" customFormat="1">
      <c r="A68" s="317" t="s">
        <v>1707</v>
      </c>
      <c r="B68" s="318" t="s">
        <v>1654</v>
      </c>
      <c r="C68" s="63">
        <f t="shared" si="5"/>
        <v>64846.5</v>
      </c>
      <c r="D68" s="70">
        <v>55090.5</v>
      </c>
      <c r="E68" s="370">
        <v>9756</v>
      </c>
      <c r="F68" s="370"/>
      <c r="G68" s="370"/>
      <c r="H68" s="63"/>
      <c r="I68" s="63"/>
      <c r="J68" s="63">
        <f t="shared" si="4"/>
        <v>0</v>
      </c>
      <c r="K68" s="63"/>
      <c r="L68" s="63"/>
      <c r="M68" s="63"/>
      <c r="N68" s="70">
        <v>56451</v>
      </c>
      <c r="O68" s="370">
        <v>9756</v>
      </c>
      <c r="P68" s="370"/>
      <c r="Q68" s="370"/>
      <c r="R68" s="63"/>
      <c r="S68" s="63"/>
      <c r="T68" s="63"/>
      <c r="U68" s="63"/>
      <c r="V68" s="370"/>
      <c r="W68" s="63"/>
      <c r="X68" s="320"/>
      <c r="Y68" s="320"/>
      <c r="Z68" s="320"/>
      <c r="AA68" s="320"/>
      <c r="AB68" s="300"/>
      <c r="AC68" s="300"/>
      <c r="AD68" s="300"/>
      <c r="AE68" s="300"/>
      <c r="AF68" s="300"/>
      <c r="AG68" s="300"/>
      <c r="AH68" s="300"/>
      <c r="AI68" s="300"/>
      <c r="AJ68" s="300"/>
      <c r="AK68" s="300"/>
      <c r="AL68" s="300"/>
    </row>
    <row r="69" spans="1:39" s="326" customFormat="1" ht="31.2">
      <c r="A69" s="317" t="s">
        <v>1708</v>
      </c>
      <c r="B69" s="318" t="s">
        <v>1892</v>
      </c>
      <c r="C69" s="63">
        <f t="shared" si="5"/>
        <v>737.01005799999996</v>
      </c>
      <c r="D69" s="70"/>
      <c r="E69" s="370">
        <v>737.01005799999996</v>
      </c>
      <c r="F69" s="370"/>
      <c r="G69" s="370"/>
      <c r="H69" s="63"/>
      <c r="I69" s="63"/>
      <c r="J69" s="63">
        <f t="shared" si="4"/>
        <v>0</v>
      </c>
      <c r="K69" s="63"/>
      <c r="L69" s="63"/>
      <c r="M69" s="63"/>
      <c r="N69" s="70"/>
      <c r="O69" s="370">
        <v>737.01005799999996</v>
      </c>
      <c r="P69" s="370"/>
      <c r="Q69" s="370"/>
      <c r="R69" s="63"/>
      <c r="S69" s="63"/>
      <c r="T69" s="63"/>
      <c r="U69" s="63"/>
      <c r="V69" s="370"/>
      <c r="W69" s="63"/>
      <c r="X69" s="320"/>
      <c r="Y69" s="320"/>
      <c r="Z69" s="320"/>
      <c r="AA69" s="320"/>
      <c r="AB69" s="300"/>
      <c r="AC69" s="300"/>
      <c r="AD69" s="300"/>
      <c r="AE69" s="300"/>
      <c r="AF69" s="300"/>
      <c r="AG69" s="300"/>
      <c r="AH69" s="300"/>
      <c r="AI69" s="300"/>
      <c r="AJ69" s="300"/>
      <c r="AK69" s="300"/>
      <c r="AL69" s="300"/>
    </row>
    <row r="70" spans="1:39" s="326" customFormat="1" ht="31.2">
      <c r="A70" s="317" t="s">
        <v>1709</v>
      </c>
      <c r="B70" s="318" t="s">
        <v>1963</v>
      </c>
      <c r="C70" s="63">
        <f t="shared" si="5"/>
        <v>29757.374</v>
      </c>
      <c r="D70" s="319"/>
      <c r="E70" s="370">
        <v>29757.374</v>
      </c>
      <c r="F70" s="370"/>
      <c r="G70" s="370"/>
      <c r="H70" s="63"/>
      <c r="I70" s="63"/>
      <c r="J70" s="63">
        <f t="shared" si="4"/>
        <v>0</v>
      </c>
      <c r="K70" s="63"/>
      <c r="L70" s="63"/>
      <c r="M70" s="63"/>
      <c r="N70" s="63"/>
      <c r="O70" s="370">
        <v>8557.3739999999998</v>
      </c>
      <c r="P70" s="370"/>
      <c r="Q70" s="370"/>
      <c r="R70" s="63"/>
      <c r="S70" s="63"/>
      <c r="T70" s="63"/>
      <c r="U70" s="63"/>
      <c r="V70" s="370"/>
      <c r="W70" s="63">
        <v>21200</v>
      </c>
      <c r="X70" s="320"/>
      <c r="Y70" s="320"/>
      <c r="Z70" s="320"/>
      <c r="AA70" s="320"/>
      <c r="AB70" s="300"/>
      <c r="AC70" s="300"/>
      <c r="AD70" s="300"/>
      <c r="AE70" s="300"/>
      <c r="AF70" s="300"/>
      <c r="AG70" s="300"/>
      <c r="AH70" s="300"/>
      <c r="AI70" s="300"/>
      <c r="AJ70" s="300"/>
      <c r="AK70" s="300"/>
      <c r="AL70" s="300"/>
    </row>
    <row r="71" spans="1:39" s="326" customFormat="1">
      <c r="A71" s="317" t="s">
        <v>1710</v>
      </c>
      <c r="B71" s="318" t="s">
        <v>1889</v>
      </c>
      <c r="C71" s="63">
        <f t="shared" si="5"/>
        <v>2259.7942739999999</v>
      </c>
      <c r="D71" s="319"/>
      <c r="E71" s="370">
        <v>2259.7942739999999</v>
      </c>
      <c r="F71" s="370"/>
      <c r="G71" s="370"/>
      <c r="H71" s="63"/>
      <c r="I71" s="63"/>
      <c r="J71" s="63">
        <f t="shared" si="4"/>
        <v>0</v>
      </c>
      <c r="K71" s="63"/>
      <c r="L71" s="63"/>
      <c r="M71" s="63"/>
      <c r="N71" s="63"/>
      <c r="O71" s="370">
        <v>2252.952863</v>
      </c>
      <c r="P71" s="370"/>
      <c r="Q71" s="370"/>
      <c r="R71" s="63"/>
      <c r="S71" s="63"/>
      <c r="T71" s="63"/>
      <c r="U71" s="63"/>
      <c r="V71" s="370"/>
      <c r="W71" s="63"/>
      <c r="X71" s="320"/>
      <c r="Y71" s="320"/>
      <c r="Z71" s="320"/>
      <c r="AA71" s="320"/>
      <c r="AB71" s="300"/>
      <c r="AC71" s="300"/>
      <c r="AD71" s="300"/>
      <c r="AE71" s="300"/>
      <c r="AF71" s="300"/>
      <c r="AG71" s="300"/>
      <c r="AH71" s="300"/>
      <c r="AI71" s="300"/>
      <c r="AJ71" s="300"/>
      <c r="AK71" s="300"/>
      <c r="AL71" s="300"/>
    </row>
    <row r="72" spans="1:39" s="326" customFormat="1">
      <c r="A72" s="317" t="s">
        <v>1711</v>
      </c>
      <c r="B72" s="318" t="s">
        <v>1496</v>
      </c>
      <c r="C72" s="63">
        <f t="shared" si="5"/>
        <v>1223.2380000000001</v>
      </c>
      <c r="D72" s="70"/>
      <c r="E72" s="370">
        <v>1223.2380000000001</v>
      </c>
      <c r="F72" s="370"/>
      <c r="G72" s="370"/>
      <c r="H72" s="63"/>
      <c r="I72" s="63"/>
      <c r="J72" s="63">
        <f t="shared" si="4"/>
        <v>0</v>
      </c>
      <c r="K72" s="63"/>
      <c r="L72" s="63"/>
      <c r="M72" s="63"/>
      <c r="N72" s="70"/>
      <c r="O72" s="370">
        <v>1223.2380000000001</v>
      </c>
      <c r="P72" s="370"/>
      <c r="Q72" s="370"/>
      <c r="R72" s="63"/>
      <c r="S72" s="63"/>
      <c r="T72" s="63"/>
      <c r="U72" s="63"/>
      <c r="V72" s="370"/>
      <c r="W72" s="63"/>
      <c r="X72" s="320"/>
      <c r="Y72" s="320"/>
      <c r="Z72" s="320"/>
      <c r="AA72" s="320"/>
      <c r="AB72" s="300"/>
      <c r="AC72" s="300"/>
      <c r="AD72" s="300"/>
      <c r="AE72" s="300"/>
      <c r="AF72" s="300"/>
      <c r="AG72" s="300"/>
      <c r="AH72" s="300"/>
      <c r="AI72" s="300"/>
      <c r="AJ72" s="300"/>
      <c r="AK72" s="300"/>
      <c r="AL72" s="300"/>
    </row>
    <row r="73" spans="1:39" s="326" customFormat="1">
      <c r="A73" s="317" t="s">
        <v>1712</v>
      </c>
      <c r="B73" s="318" t="s">
        <v>1645</v>
      </c>
      <c r="C73" s="63">
        <f t="shared" si="5"/>
        <v>1949.2</v>
      </c>
      <c r="D73" s="70">
        <v>0</v>
      </c>
      <c r="E73" s="370">
        <v>1949.2</v>
      </c>
      <c r="F73" s="370"/>
      <c r="G73" s="370"/>
      <c r="H73" s="63"/>
      <c r="I73" s="63"/>
      <c r="J73" s="63">
        <f t="shared" si="4"/>
        <v>0</v>
      </c>
      <c r="K73" s="63"/>
      <c r="L73" s="63"/>
      <c r="M73" s="63"/>
      <c r="N73" s="70">
        <v>291.87700000000001</v>
      </c>
      <c r="O73" s="370">
        <v>1949.2</v>
      </c>
      <c r="P73" s="370"/>
      <c r="Q73" s="370"/>
      <c r="R73" s="63"/>
      <c r="S73" s="63"/>
      <c r="T73" s="63"/>
      <c r="U73" s="63"/>
      <c r="V73" s="370"/>
      <c r="W73" s="63"/>
      <c r="X73" s="320"/>
      <c r="Y73" s="320"/>
      <c r="Z73" s="320"/>
      <c r="AA73" s="320"/>
      <c r="AB73" s="300"/>
      <c r="AC73" s="300"/>
      <c r="AD73" s="300"/>
      <c r="AE73" s="300"/>
      <c r="AF73" s="300"/>
      <c r="AG73" s="300"/>
      <c r="AH73" s="300"/>
      <c r="AI73" s="300"/>
      <c r="AJ73" s="300"/>
      <c r="AK73" s="300"/>
      <c r="AL73" s="300"/>
    </row>
    <row r="74" spans="1:39" s="323" customFormat="1" ht="31.2">
      <c r="A74" s="317" t="s">
        <v>1713</v>
      </c>
      <c r="B74" s="318" t="s">
        <v>1631</v>
      </c>
      <c r="C74" s="63">
        <f t="shared" si="5"/>
        <v>5153.1899999999996</v>
      </c>
      <c r="D74" s="319"/>
      <c r="E74" s="370">
        <v>5153.1899999999996</v>
      </c>
      <c r="F74" s="370"/>
      <c r="G74" s="370"/>
      <c r="H74" s="63"/>
      <c r="I74" s="63"/>
      <c r="J74" s="63">
        <f t="shared" si="4"/>
        <v>0</v>
      </c>
      <c r="K74" s="63"/>
      <c r="L74" s="63"/>
      <c r="M74" s="63"/>
      <c r="N74" s="63"/>
      <c r="O74" s="370">
        <v>4203.7799429999995</v>
      </c>
      <c r="P74" s="370"/>
      <c r="Q74" s="370"/>
      <c r="R74" s="63"/>
      <c r="S74" s="63"/>
      <c r="T74" s="63"/>
      <c r="U74" s="63"/>
      <c r="V74" s="370"/>
      <c r="W74" s="63"/>
      <c r="X74" s="320"/>
      <c r="Y74" s="320"/>
      <c r="Z74" s="320"/>
      <c r="AA74" s="320"/>
      <c r="AB74" s="300"/>
      <c r="AC74" s="300"/>
      <c r="AD74" s="300"/>
      <c r="AE74" s="300"/>
      <c r="AF74" s="300"/>
      <c r="AG74" s="300"/>
      <c r="AH74" s="300"/>
      <c r="AI74" s="300"/>
      <c r="AJ74" s="300"/>
      <c r="AK74" s="300"/>
      <c r="AL74" s="300"/>
    </row>
    <row r="75" spans="1:39" s="397" customFormat="1">
      <c r="A75" s="317" t="s">
        <v>1714</v>
      </c>
      <c r="B75" s="386" t="s">
        <v>576</v>
      </c>
      <c r="C75" s="63">
        <f t="shared" si="5"/>
        <v>3720</v>
      </c>
      <c r="D75" s="388">
        <v>3720</v>
      </c>
      <c r="E75" s="389"/>
      <c r="F75" s="389"/>
      <c r="G75" s="389"/>
      <c r="H75" s="388"/>
      <c r="I75" s="388"/>
      <c r="J75" s="63">
        <f t="shared" si="4"/>
        <v>0</v>
      </c>
      <c r="K75" s="388"/>
      <c r="L75" s="388"/>
      <c r="M75" s="387"/>
      <c r="N75" s="388">
        <v>3720</v>
      </c>
      <c r="O75" s="389"/>
      <c r="P75" s="389"/>
      <c r="Q75" s="389"/>
      <c r="R75" s="388"/>
      <c r="S75" s="388"/>
      <c r="T75" s="388"/>
      <c r="U75" s="388"/>
      <c r="V75" s="390"/>
      <c r="W75" s="387"/>
      <c r="X75" s="391"/>
      <c r="Y75" s="391"/>
      <c r="Z75" s="391"/>
      <c r="AA75" s="391"/>
      <c r="AB75" s="331"/>
      <c r="AC75" s="331"/>
      <c r="AD75" s="331"/>
      <c r="AE75" s="331"/>
      <c r="AF75" s="331"/>
      <c r="AG75" s="331"/>
      <c r="AH75" s="331"/>
      <c r="AI75" s="331"/>
      <c r="AJ75" s="331"/>
      <c r="AK75" s="331"/>
      <c r="AL75" s="331"/>
    </row>
    <row r="76" spans="1:39" s="323" customFormat="1">
      <c r="A76" s="317" t="s">
        <v>1715</v>
      </c>
      <c r="B76" s="318" t="s">
        <v>1632</v>
      </c>
      <c r="C76" s="63">
        <f t="shared" si="5"/>
        <v>2995.6779999999999</v>
      </c>
      <c r="D76" s="319"/>
      <c r="E76" s="370">
        <v>2995.6779999999999</v>
      </c>
      <c r="F76" s="370"/>
      <c r="G76" s="370"/>
      <c r="H76" s="63"/>
      <c r="I76" s="63"/>
      <c r="J76" s="63">
        <f t="shared" si="4"/>
        <v>0</v>
      </c>
      <c r="K76" s="63"/>
      <c r="L76" s="63"/>
      <c r="M76" s="63"/>
      <c r="N76" s="63"/>
      <c r="O76" s="370">
        <v>2981.7965800000002</v>
      </c>
      <c r="P76" s="370"/>
      <c r="Q76" s="370"/>
      <c r="R76" s="63"/>
      <c r="S76" s="63"/>
      <c r="T76" s="63"/>
      <c r="U76" s="63"/>
      <c r="V76" s="370"/>
      <c r="W76" s="63"/>
      <c r="X76" s="320"/>
      <c r="Y76" s="320"/>
      <c r="Z76" s="320"/>
      <c r="AA76" s="320"/>
      <c r="AB76" s="300"/>
      <c r="AC76" s="300"/>
      <c r="AD76" s="300"/>
      <c r="AE76" s="300"/>
      <c r="AF76" s="300"/>
      <c r="AG76" s="300"/>
      <c r="AH76" s="300"/>
      <c r="AI76" s="300"/>
      <c r="AJ76" s="300"/>
      <c r="AK76" s="300"/>
      <c r="AL76" s="300"/>
    </row>
    <row r="77" spans="1:39" s="326" customFormat="1">
      <c r="A77" s="317" t="s">
        <v>1716</v>
      </c>
      <c r="B77" s="318" t="s">
        <v>1513</v>
      </c>
      <c r="C77" s="63">
        <f t="shared" si="5"/>
        <v>5401.2518680000003</v>
      </c>
      <c r="D77" s="319"/>
      <c r="E77" s="370">
        <v>5401.2518680000003</v>
      </c>
      <c r="F77" s="370"/>
      <c r="G77" s="370"/>
      <c r="H77" s="63"/>
      <c r="I77" s="63"/>
      <c r="J77" s="63">
        <f t="shared" si="4"/>
        <v>0</v>
      </c>
      <c r="K77" s="63"/>
      <c r="L77" s="63"/>
      <c r="M77" s="63"/>
      <c r="N77" s="63"/>
      <c r="O77" s="370">
        <v>5249.6487459999998</v>
      </c>
      <c r="P77" s="370"/>
      <c r="Q77" s="370"/>
      <c r="R77" s="63"/>
      <c r="S77" s="63"/>
      <c r="T77" s="63"/>
      <c r="U77" s="63"/>
      <c r="V77" s="370"/>
      <c r="W77" s="63"/>
      <c r="X77" s="320"/>
      <c r="Y77" s="320"/>
      <c r="Z77" s="320"/>
      <c r="AA77" s="320"/>
      <c r="AB77" s="300"/>
      <c r="AC77" s="300"/>
      <c r="AD77" s="300"/>
      <c r="AE77" s="300"/>
      <c r="AF77" s="300"/>
      <c r="AG77" s="300"/>
      <c r="AH77" s="300"/>
      <c r="AI77" s="300"/>
      <c r="AJ77" s="300"/>
      <c r="AK77" s="300"/>
      <c r="AL77" s="300"/>
    </row>
    <row r="78" spans="1:39" s="326" customFormat="1">
      <c r="A78" s="317" t="s">
        <v>1717</v>
      </c>
      <c r="B78" s="318" t="s">
        <v>1890</v>
      </c>
      <c r="C78" s="63">
        <f t="shared" si="5"/>
        <v>6718</v>
      </c>
      <c r="D78" s="70"/>
      <c r="E78" s="370">
        <v>6718</v>
      </c>
      <c r="F78" s="370"/>
      <c r="G78" s="370"/>
      <c r="H78" s="63"/>
      <c r="I78" s="63"/>
      <c r="J78" s="63">
        <f t="shared" ref="J78:J141" si="6">K78+L78</f>
        <v>0</v>
      </c>
      <c r="K78" s="63"/>
      <c r="L78" s="63"/>
      <c r="M78" s="63"/>
      <c r="N78" s="70"/>
      <c r="O78" s="370">
        <v>6682.4294099999997</v>
      </c>
      <c r="P78" s="370"/>
      <c r="Q78" s="370"/>
      <c r="R78" s="63"/>
      <c r="S78" s="63"/>
      <c r="T78" s="63"/>
      <c r="U78" s="63"/>
      <c r="V78" s="370"/>
      <c r="W78" s="63"/>
      <c r="X78" s="320"/>
      <c r="Y78" s="320"/>
      <c r="Z78" s="320"/>
      <c r="AA78" s="320"/>
      <c r="AB78" s="300"/>
      <c r="AC78" s="300"/>
      <c r="AD78" s="300"/>
      <c r="AE78" s="300"/>
      <c r="AF78" s="300"/>
      <c r="AG78" s="300"/>
      <c r="AH78" s="300"/>
      <c r="AI78" s="300"/>
      <c r="AJ78" s="300"/>
      <c r="AK78" s="300"/>
      <c r="AL78" s="300"/>
    </row>
    <row r="79" spans="1:39" s="326" customFormat="1">
      <c r="A79" s="317" t="s">
        <v>1718</v>
      </c>
      <c r="B79" s="318" t="s">
        <v>1516</v>
      </c>
      <c r="C79" s="63">
        <f t="shared" ref="C79:C142" si="7">D79+E79</f>
        <v>21942.856</v>
      </c>
      <c r="D79" s="70">
        <v>10000</v>
      </c>
      <c r="E79" s="370">
        <v>11942.856</v>
      </c>
      <c r="F79" s="370"/>
      <c r="G79" s="370"/>
      <c r="H79" s="63"/>
      <c r="I79" s="63"/>
      <c r="J79" s="63">
        <f t="shared" si="6"/>
        <v>0</v>
      </c>
      <c r="K79" s="63"/>
      <c r="L79" s="63"/>
      <c r="M79" s="63"/>
      <c r="N79" s="70">
        <v>8036.1949999999997</v>
      </c>
      <c r="O79" s="370">
        <v>11873.290668</v>
      </c>
      <c r="P79" s="370"/>
      <c r="Q79" s="370"/>
      <c r="R79" s="63"/>
      <c r="S79" s="63"/>
      <c r="T79" s="63"/>
      <c r="U79" s="63"/>
      <c r="V79" s="370"/>
      <c r="W79" s="63">
        <v>35.5</v>
      </c>
      <c r="X79" s="320"/>
      <c r="Y79" s="320"/>
      <c r="Z79" s="320"/>
      <c r="AA79" s="320"/>
      <c r="AB79" s="300"/>
      <c r="AC79" s="300"/>
      <c r="AD79" s="300"/>
      <c r="AE79" s="300"/>
      <c r="AF79" s="300"/>
      <c r="AG79" s="300"/>
      <c r="AH79" s="300"/>
      <c r="AI79" s="300"/>
      <c r="AJ79" s="300"/>
      <c r="AK79" s="300"/>
      <c r="AL79" s="300"/>
      <c r="AM79" s="328"/>
    </row>
    <row r="80" spans="1:39" s="326" customFormat="1">
      <c r="A80" s="317" t="s">
        <v>1719</v>
      </c>
      <c r="B80" s="318" t="s">
        <v>1491</v>
      </c>
      <c r="C80" s="63">
        <f t="shared" si="7"/>
        <v>6164.3991130000004</v>
      </c>
      <c r="D80" s="319"/>
      <c r="E80" s="370">
        <v>6164.3991130000004</v>
      </c>
      <c r="F80" s="370"/>
      <c r="G80" s="370"/>
      <c r="H80" s="63"/>
      <c r="I80" s="63"/>
      <c r="J80" s="63">
        <f t="shared" si="6"/>
        <v>0</v>
      </c>
      <c r="K80" s="63"/>
      <c r="L80" s="63"/>
      <c r="M80" s="63"/>
      <c r="N80" s="63"/>
      <c r="O80" s="370">
        <v>6164.3917279999996</v>
      </c>
      <c r="P80" s="370"/>
      <c r="Q80" s="370"/>
      <c r="R80" s="63"/>
      <c r="S80" s="63"/>
      <c r="T80" s="63"/>
      <c r="U80" s="63"/>
      <c r="V80" s="370"/>
      <c r="W80" s="63"/>
      <c r="X80" s="320"/>
      <c r="Y80" s="320"/>
      <c r="Z80" s="320"/>
      <c r="AA80" s="320"/>
      <c r="AB80" s="300"/>
      <c r="AC80" s="300"/>
      <c r="AD80" s="300"/>
      <c r="AE80" s="300"/>
      <c r="AF80" s="300"/>
      <c r="AG80" s="300"/>
      <c r="AH80" s="300"/>
      <c r="AI80" s="300"/>
      <c r="AJ80" s="300"/>
      <c r="AK80" s="300"/>
      <c r="AL80" s="300"/>
      <c r="AM80" s="328"/>
    </row>
    <row r="81" spans="1:39" s="326" customFormat="1">
      <c r="A81" s="317" t="s">
        <v>1720</v>
      </c>
      <c r="B81" s="318" t="s">
        <v>1875</v>
      </c>
      <c r="C81" s="63">
        <f t="shared" si="7"/>
        <v>8414.8150000000005</v>
      </c>
      <c r="D81" s="70">
        <v>2867.7400000000002</v>
      </c>
      <c r="E81" s="370">
        <v>5547.0749999999998</v>
      </c>
      <c r="F81" s="370"/>
      <c r="G81" s="370"/>
      <c r="H81" s="63"/>
      <c r="I81" s="63"/>
      <c r="J81" s="63">
        <f t="shared" si="6"/>
        <v>0</v>
      </c>
      <c r="K81" s="63"/>
      <c r="L81" s="63"/>
      <c r="M81" s="63"/>
      <c r="N81" s="63">
        <v>2730.346</v>
      </c>
      <c r="O81" s="370">
        <v>4915.6915140000001</v>
      </c>
      <c r="P81" s="370"/>
      <c r="Q81" s="370"/>
      <c r="R81" s="63"/>
      <c r="S81" s="63"/>
      <c r="T81" s="63"/>
      <c r="U81" s="63"/>
      <c r="V81" s="370"/>
      <c r="W81" s="63"/>
      <c r="X81" s="320"/>
      <c r="Y81" s="320"/>
      <c r="Z81" s="320"/>
      <c r="AA81" s="320"/>
      <c r="AB81" s="300"/>
      <c r="AC81" s="300"/>
      <c r="AD81" s="300"/>
      <c r="AE81" s="300"/>
      <c r="AF81" s="300"/>
      <c r="AG81" s="300"/>
      <c r="AH81" s="300"/>
      <c r="AI81" s="300"/>
      <c r="AJ81" s="300"/>
      <c r="AK81" s="300"/>
      <c r="AL81" s="300"/>
      <c r="AM81" s="328"/>
    </row>
    <row r="82" spans="1:39" s="300" customFormat="1">
      <c r="A82" s="317" t="s">
        <v>1721</v>
      </c>
      <c r="B82" s="318" t="s">
        <v>1964</v>
      </c>
      <c r="C82" s="63">
        <f t="shared" si="7"/>
        <v>372</v>
      </c>
      <c r="D82" s="319"/>
      <c r="E82" s="370">
        <v>372</v>
      </c>
      <c r="F82" s="370"/>
      <c r="G82" s="370"/>
      <c r="H82" s="63"/>
      <c r="I82" s="63"/>
      <c r="J82" s="63">
        <f t="shared" si="6"/>
        <v>0</v>
      </c>
      <c r="K82" s="63"/>
      <c r="L82" s="63"/>
      <c r="M82" s="63"/>
      <c r="N82" s="63"/>
      <c r="O82" s="370">
        <v>372</v>
      </c>
      <c r="P82" s="370"/>
      <c r="Q82" s="370"/>
      <c r="R82" s="63"/>
      <c r="S82" s="63"/>
      <c r="T82" s="63"/>
      <c r="U82" s="63"/>
      <c r="V82" s="370"/>
      <c r="W82" s="63"/>
      <c r="X82" s="320"/>
      <c r="Y82" s="320"/>
      <c r="Z82" s="320"/>
      <c r="AA82" s="320"/>
    </row>
    <row r="83" spans="1:39" s="300" customFormat="1">
      <c r="A83" s="317" t="s">
        <v>1722</v>
      </c>
      <c r="B83" s="318" t="s">
        <v>1476</v>
      </c>
      <c r="C83" s="63">
        <f t="shared" si="7"/>
        <v>5367.2049999999999</v>
      </c>
      <c r="D83" s="70">
        <v>97.405000000000001</v>
      </c>
      <c r="E83" s="370">
        <v>5269.8</v>
      </c>
      <c r="F83" s="370"/>
      <c r="G83" s="370"/>
      <c r="H83" s="63"/>
      <c r="I83" s="63"/>
      <c r="J83" s="63">
        <f t="shared" si="6"/>
        <v>0</v>
      </c>
      <c r="K83" s="63"/>
      <c r="L83" s="63"/>
      <c r="M83" s="63"/>
      <c r="N83" s="70">
        <v>417.37199999999996</v>
      </c>
      <c r="O83" s="370">
        <v>5252.1120000000001</v>
      </c>
      <c r="P83" s="370"/>
      <c r="Q83" s="370"/>
      <c r="R83" s="63"/>
      <c r="S83" s="63"/>
      <c r="T83" s="63"/>
      <c r="U83" s="63"/>
      <c r="V83" s="370"/>
      <c r="W83" s="63"/>
      <c r="X83" s="320"/>
      <c r="Y83" s="320"/>
      <c r="Z83" s="320"/>
      <c r="AA83" s="320"/>
    </row>
    <row r="84" spans="1:39" s="300" customFormat="1">
      <c r="A84" s="317" t="s">
        <v>1723</v>
      </c>
      <c r="B84" s="318" t="s">
        <v>1552</v>
      </c>
      <c r="C84" s="63">
        <f t="shared" si="7"/>
        <v>174</v>
      </c>
      <c r="D84" s="319"/>
      <c r="E84" s="370">
        <v>174</v>
      </c>
      <c r="F84" s="370"/>
      <c r="G84" s="370"/>
      <c r="H84" s="63"/>
      <c r="I84" s="63"/>
      <c r="J84" s="63">
        <f t="shared" si="6"/>
        <v>0</v>
      </c>
      <c r="K84" s="63"/>
      <c r="L84" s="63"/>
      <c r="M84" s="63"/>
      <c r="N84" s="63"/>
      <c r="O84" s="370">
        <v>174</v>
      </c>
      <c r="P84" s="370"/>
      <c r="Q84" s="370"/>
      <c r="R84" s="63"/>
      <c r="S84" s="63"/>
      <c r="T84" s="63"/>
      <c r="U84" s="63"/>
      <c r="V84" s="370"/>
      <c r="W84" s="63"/>
      <c r="X84" s="320"/>
      <c r="Y84" s="320"/>
      <c r="Z84" s="320"/>
      <c r="AA84" s="320"/>
    </row>
    <row r="85" spans="1:39" s="300" customFormat="1">
      <c r="A85" s="317" t="s">
        <v>1724</v>
      </c>
      <c r="B85" s="318" t="s">
        <v>1500</v>
      </c>
      <c r="C85" s="63">
        <f t="shared" si="7"/>
        <v>2244</v>
      </c>
      <c r="D85" s="319"/>
      <c r="E85" s="370">
        <v>2244</v>
      </c>
      <c r="F85" s="370"/>
      <c r="G85" s="370"/>
      <c r="H85" s="63"/>
      <c r="I85" s="63"/>
      <c r="J85" s="63">
        <f t="shared" si="6"/>
        <v>0</v>
      </c>
      <c r="K85" s="63"/>
      <c r="L85" s="63"/>
      <c r="M85" s="63"/>
      <c r="N85" s="63"/>
      <c r="O85" s="370">
        <v>2244</v>
      </c>
      <c r="P85" s="370"/>
      <c r="Q85" s="370"/>
      <c r="R85" s="63"/>
      <c r="S85" s="63"/>
      <c r="T85" s="63"/>
      <c r="U85" s="63"/>
      <c r="V85" s="370"/>
      <c r="W85" s="63"/>
      <c r="X85" s="320"/>
      <c r="Y85" s="320"/>
      <c r="Z85" s="320"/>
      <c r="AA85" s="320"/>
    </row>
    <row r="86" spans="1:39" s="406" customFormat="1">
      <c r="A86" s="317" t="s">
        <v>1725</v>
      </c>
      <c r="B86" s="379" t="s">
        <v>2033</v>
      </c>
      <c r="C86" s="63">
        <f t="shared" si="7"/>
        <v>3547.980986</v>
      </c>
      <c r="D86" s="381">
        <v>128.40700000000001</v>
      </c>
      <c r="E86" s="382">
        <v>3419.5739859999999</v>
      </c>
      <c r="F86" s="382"/>
      <c r="G86" s="382"/>
      <c r="H86" s="380"/>
      <c r="I86" s="380"/>
      <c r="J86" s="63">
        <f t="shared" si="6"/>
        <v>0</v>
      </c>
      <c r="K86" s="380"/>
      <c r="L86" s="380"/>
      <c r="M86" s="380"/>
      <c r="N86" s="380">
        <v>205.952</v>
      </c>
      <c r="O86" s="382">
        <v>3419.5739859999999</v>
      </c>
      <c r="P86" s="382"/>
      <c r="Q86" s="382"/>
      <c r="R86" s="380"/>
      <c r="S86" s="380"/>
      <c r="T86" s="380"/>
      <c r="U86" s="380"/>
      <c r="V86" s="382"/>
      <c r="W86" s="380"/>
      <c r="X86" s="383"/>
      <c r="Y86" s="383"/>
      <c r="Z86" s="383"/>
      <c r="AA86" s="383"/>
    </row>
    <row r="87" spans="1:39" s="300" customFormat="1">
      <c r="A87" s="317" t="s">
        <v>1920</v>
      </c>
      <c r="B87" s="318" t="s">
        <v>494</v>
      </c>
      <c r="C87" s="63">
        <f t="shared" si="7"/>
        <v>1645.4190000000001</v>
      </c>
      <c r="D87" s="70"/>
      <c r="E87" s="370">
        <v>1645.4190000000001</v>
      </c>
      <c r="F87" s="370"/>
      <c r="G87" s="370"/>
      <c r="H87" s="63"/>
      <c r="I87" s="63"/>
      <c r="J87" s="63">
        <f t="shared" si="6"/>
        <v>0</v>
      </c>
      <c r="K87" s="63"/>
      <c r="L87" s="63"/>
      <c r="M87" s="63"/>
      <c r="N87" s="63"/>
      <c r="O87" s="370">
        <v>1645.4190000000001</v>
      </c>
      <c r="P87" s="370"/>
      <c r="Q87" s="370"/>
      <c r="R87" s="63"/>
      <c r="S87" s="63"/>
      <c r="T87" s="63"/>
      <c r="U87" s="63"/>
      <c r="V87" s="370"/>
      <c r="W87" s="63"/>
      <c r="X87" s="320"/>
      <c r="Y87" s="320"/>
      <c r="Z87" s="320"/>
      <c r="AA87" s="320"/>
    </row>
    <row r="88" spans="1:39" s="300" customFormat="1">
      <c r="A88" s="317" t="s">
        <v>1726</v>
      </c>
      <c r="B88" s="318" t="s">
        <v>1480</v>
      </c>
      <c r="C88" s="63">
        <f t="shared" si="7"/>
        <v>1879.3400140000001</v>
      </c>
      <c r="D88" s="319"/>
      <c r="E88" s="370">
        <v>1879.3400140000001</v>
      </c>
      <c r="F88" s="370"/>
      <c r="G88" s="370"/>
      <c r="H88" s="63"/>
      <c r="I88" s="63"/>
      <c r="J88" s="63">
        <f t="shared" si="6"/>
        <v>0</v>
      </c>
      <c r="K88" s="63"/>
      <c r="L88" s="63"/>
      <c r="M88" s="63"/>
      <c r="N88" s="63"/>
      <c r="O88" s="370">
        <v>1879.3400140000001</v>
      </c>
      <c r="P88" s="370"/>
      <c r="Q88" s="370"/>
      <c r="R88" s="63"/>
      <c r="S88" s="63"/>
      <c r="T88" s="63"/>
      <c r="U88" s="63"/>
      <c r="V88" s="370"/>
      <c r="W88" s="63"/>
      <c r="X88" s="320"/>
      <c r="Y88" s="320"/>
      <c r="Z88" s="320"/>
      <c r="AA88" s="320"/>
    </row>
    <row r="89" spans="1:39" s="300" customFormat="1">
      <c r="A89" s="317" t="s">
        <v>1727</v>
      </c>
      <c r="B89" s="318" t="s">
        <v>1482</v>
      </c>
      <c r="C89" s="63">
        <f t="shared" si="7"/>
        <v>1867.6079999999999</v>
      </c>
      <c r="D89" s="70"/>
      <c r="E89" s="370">
        <v>1867.6079999999999</v>
      </c>
      <c r="F89" s="370"/>
      <c r="G89" s="370"/>
      <c r="H89" s="63"/>
      <c r="I89" s="63"/>
      <c r="J89" s="63">
        <f t="shared" si="6"/>
        <v>0</v>
      </c>
      <c r="K89" s="63"/>
      <c r="L89" s="63"/>
      <c r="M89" s="63"/>
      <c r="N89" s="70"/>
      <c r="O89" s="370">
        <v>1867.6079999999999</v>
      </c>
      <c r="P89" s="370"/>
      <c r="Q89" s="370"/>
      <c r="R89" s="63"/>
      <c r="S89" s="63"/>
      <c r="T89" s="63"/>
      <c r="U89" s="63"/>
      <c r="V89" s="370"/>
      <c r="W89" s="63"/>
      <c r="X89" s="320"/>
      <c r="Y89" s="320"/>
      <c r="Z89" s="320"/>
      <c r="AA89" s="320"/>
    </row>
    <row r="90" spans="1:39" s="300" customFormat="1">
      <c r="A90" s="317" t="s">
        <v>1728</v>
      </c>
      <c r="B90" s="318" t="s">
        <v>1958</v>
      </c>
      <c r="C90" s="63">
        <f t="shared" si="7"/>
        <v>4135</v>
      </c>
      <c r="D90" s="319"/>
      <c r="E90" s="370">
        <v>4135</v>
      </c>
      <c r="F90" s="370"/>
      <c r="G90" s="370"/>
      <c r="H90" s="63"/>
      <c r="I90" s="63"/>
      <c r="J90" s="63">
        <f t="shared" si="6"/>
        <v>0</v>
      </c>
      <c r="K90" s="63"/>
      <c r="L90" s="63"/>
      <c r="M90" s="63"/>
      <c r="N90" s="63"/>
      <c r="O90" s="370">
        <v>4135</v>
      </c>
      <c r="P90" s="370"/>
      <c r="Q90" s="370"/>
      <c r="R90" s="63"/>
      <c r="S90" s="63"/>
      <c r="T90" s="63"/>
      <c r="U90" s="63"/>
      <c r="V90" s="370"/>
      <c r="W90" s="63"/>
      <c r="X90" s="320"/>
      <c r="Y90" s="320"/>
      <c r="Z90" s="320"/>
      <c r="AA90" s="320"/>
    </row>
    <row r="91" spans="1:39" s="300" customFormat="1">
      <c r="A91" s="317" t="s">
        <v>1729</v>
      </c>
      <c r="B91" s="318" t="s">
        <v>1893</v>
      </c>
      <c r="C91" s="63">
        <f t="shared" si="7"/>
        <v>2709.6</v>
      </c>
      <c r="D91" s="70"/>
      <c r="E91" s="370">
        <v>2709.6</v>
      </c>
      <c r="F91" s="370"/>
      <c r="G91" s="370"/>
      <c r="H91" s="63"/>
      <c r="I91" s="63"/>
      <c r="J91" s="63">
        <f t="shared" si="6"/>
        <v>0</v>
      </c>
      <c r="K91" s="63"/>
      <c r="L91" s="63"/>
      <c r="M91" s="63"/>
      <c r="N91" s="70"/>
      <c r="O91" s="370">
        <v>2709.6</v>
      </c>
      <c r="P91" s="370"/>
      <c r="Q91" s="370"/>
      <c r="R91" s="63"/>
      <c r="S91" s="63"/>
      <c r="T91" s="63"/>
      <c r="U91" s="63"/>
      <c r="V91" s="370"/>
      <c r="W91" s="63"/>
      <c r="X91" s="320"/>
      <c r="Y91" s="320"/>
      <c r="Z91" s="320"/>
      <c r="AA91" s="320"/>
    </row>
    <row r="92" spans="1:39" s="300" customFormat="1">
      <c r="A92" s="317" t="s">
        <v>1730</v>
      </c>
      <c r="B92" s="318" t="s">
        <v>1578</v>
      </c>
      <c r="C92" s="63">
        <f t="shared" si="7"/>
        <v>12339</v>
      </c>
      <c r="D92" s="70">
        <v>2300</v>
      </c>
      <c r="E92" s="370">
        <v>10039</v>
      </c>
      <c r="F92" s="370"/>
      <c r="G92" s="370"/>
      <c r="H92" s="63"/>
      <c r="I92" s="63"/>
      <c r="J92" s="63">
        <f t="shared" si="6"/>
        <v>0</v>
      </c>
      <c r="K92" s="63"/>
      <c r="L92" s="63"/>
      <c r="M92" s="63"/>
      <c r="N92" s="70">
        <f>1970+672</f>
        <v>2642</v>
      </c>
      <c r="O92" s="370">
        <v>10030.969373</v>
      </c>
      <c r="P92" s="370"/>
      <c r="Q92" s="370"/>
      <c r="R92" s="63"/>
      <c r="S92" s="63"/>
      <c r="T92" s="63"/>
      <c r="U92" s="63"/>
      <c r="V92" s="370"/>
      <c r="W92" s="63"/>
      <c r="X92" s="320"/>
      <c r="Y92" s="320"/>
      <c r="Z92" s="320"/>
      <c r="AA92" s="320"/>
    </row>
    <row r="93" spans="1:39" s="300" customFormat="1">
      <c r="A93" s="317" t="s">
        <v>1731</v>
      </c>
      <c r="B93" s="318" t="s">
        <v>1966</v>
      </c>
      <c r="C93" s="63">
        <f t="shared" si="7"/>
        <v>1451</v>
      </c>
      <c r="D93" s="319"/>
      <c r="E93" s="370">
        <v>1451</v>
      </c>
      <c r="F93" s="370"/>
      <c r="G93" s="370"/>
      <c r="H93" s="63"/>
      <c r="I93" s="63"/>
      <c r="J93" s="63">
        <f t="shared" si="6"/>
        <v>0</v>
      </c>
      <c r="K93" s="63"/>
      <c r="L93" s="63"/>
      <c r="M93" s="63"/>
      <c r="N93" s="63"/>
      <c r="O93" s="370">
        <v>1451</v>
      </c>
      <c r="P93" s="370"/>
      <c r="Q93" s="370"/>
      <c r="R93" s="63"/>
      <c r="S93" s="63"/>
      <c r="T93" s="63"/>
      <c r="U93" s="63"/>
      <c r="V93" s="370"/>
      <c r="W93" s="63"/>
      <c r="X93" s="320"/>
      <c r="Y93" s="320"/>
      <c r="Z93" s="320"/>
      <c r="AA93" s="320"/>
    </row>
    <row r="94" spans="1:39" s="300" customFormat="1">
      <c r="A94" s="317" t="s">
        <v>1732</v>
      </c>
      <c r="B94" s="318" t="s">
        <v>1965</v>
      </c>
      <c r="C94" s="63">
        <f t="shared" si="7"/>
        <v>1165</v>
      </c>
      <c r="D94" s="319"/>
      <c r="E94" s="370">
        <v>1165</v>
      </c>
      <c r="F94" s="370"/>
      <c r="G94" s="370"/>
      <c r="H94" s="63"/>
      <c r="I94" s="63"/>
      <c r="J94" s="63">
        <f t="shared" si="6"/>
        <v>0</v>
      </c>
      <c r="K94" s="63"/>
      <c r="L94" s="63"/>
      <c r="M94" s="63"/>
      <c r="N94" s="63"/>
      <c r="O94" s="370">
        <v>1165</v>
      </c>
      <c r="P94" s="370"/>
      <c r="Q94" s="370"/>
      <c r="R94" s="63"/>
      <c r="S94" s="63"/>
      <c r="T94" s="63"/>
      <c r="U94" s="63"/>
      <c r="V94" s="370"/>
      <c r="W94" s="63"/>
      <c r="X94" s="320"/>
      <c r="Y94" s="320"/>
      <c r="Z94" s="320"/>
      <c r="AA94" s="320"/>
    </row>
    <row r="95" spans="1:39" s="300" customFormat="1">
      <c r="A95" s="317" t="s">
        <v>1733</v>
      </c>
      <c r="B95" s="318" t="s">
        <v>1876</v>
      </c>
      <c r="C95" s="63">
        <f t="shared" si="7"/>
        <v>14541.894294</v>
      </c>
      <c r="D95" s="70"/>
      <c r="E95" s="370">
        <v>14541.894294</v>
      </c>
      <c r="F95" s="370"/>
      <c r="G95" s="370"/>
      <c r="H95" s="63"/>
      <c r="I95" s="63"/>
      <c r="J95" s="63">
        <f t="shared" si="6"/>
        <v>1607</v>
      </c>
      <c r="K95" s="370"/>
      <c r="L95" s="370">
        <v>1607</v>
      </c>
      <c r="M95" s="63"/>
      <c r="N95" s="70"/>
      <c r="O95" s="370">
        <v>14237.942279999999</v>
      </c>
      <c r="P95" s="370"/>
      <c r="Q95" s="370"/>
      <c r="R95" s="63"/>
      <c r="S95" s="63"/>
      <c r="T95" s="63"/>
      <c r="U95" s="63"/>
      <c r="V95" s="370">
        <v>1595.433</v>
      </c>
      <c r="W95" s="63"/>
      <c r="X95" s="320"/>
      <c r="Y95" s="320"/>
      <c r="Z95" s="320"/>
      <c r="AA95" s="320"/>
    </row>
    <row r="96" spans="1:39" s="300" customFormat="1">
      <c r="A96" s="317" t="s">
        <v>1734</v>
      </c>
      <c r="B96" s="318" t="s">
        <v>1938</v>
      </c>
      <c r="C96" s="63">
        <f t="shared" si="7"/>
        <v>15249.537</v>
      </c>
      <c r="D96" s="319"/>
      <c r="E96" s="370">
        <v>15249.537</v>
      </c>
      <c r="F96" s="370"/>
      <c r="G96" s="370"/>
      <c r="H96" s="63"/>
      <c r="I96" s="63"/>
      <c r="J96" s="63">
        <f t="shared" si="6"/>
        <v>0</v>
      </c>
      <c r="K96" s="63"/>
      <c r="L96" s="63"/>
      <c r="M96" s="63"/>
      <c r="N96" s="63"/>
      <c r="O96" s="370">
        <v>14906.946551000001</v>
      </c>
      <c r="P96" s="370"/>
      <c r="Q96" s="370"/>
      <c r="R96" s="63"/>
      <c r="S96" s="63"/>
      <c r="T96" s="63"/>
      <c r="U96" s="63"/>
      <c r="V96" s="370"/>
      <c r="W96" s="63"/>
      <c r="X96" s="320"/>
      <c r="Y96" s="320"/>
      <c r="Z96" s="320"/>
      <c r="AA96" s="320"/>
    </row>
    <row r="97" spans="1:27" s="300" customFormat="1">
      <c r="A97" s="317" t="s">
        <v>1735</v>
      </c>
      <c r="B97" s="318" t="s">
        <v>1894</v>
      </c>
      <c r="C97" s="63">
        <f t="shared" si="7"/>
        <v>1009.296</v>
      </c>
      <c r="D97" s="319"/>
      <c r="E97" s="370">
        <v>1009.296</v>
      </c>
      <c r="F97" s="370"/>
      <c r="G97" s="370"/>
      <c r="H97" s="63"/>
      <c r="I97" s="63"/>
      <c r="J97" s="63">
        <f t="shared" si="6"/>
        <v>0</v>
      </c>
      <c r="K97" s="63"/>
      <c r="L97" s="63"/>
      <c r="M97" s="63"/>
      <c r="N97" s="63"/>
      <c r="O97" s="370">
        <v>979.91925800000001</v>
      </c>
      <c r="P97" s="370"/>
      <c r="Q97" s="370"/>
      <c r="R97" s="63"/>
      <c r="S97" s="63"/>
      <c r="T97" s="63"/>
      <c r="U97" s="63"/>
      <c r="V97" s="370"/>
      <c r="W97" s="63"/>
      <c r="X97" s="320"/>
      <c r="Y97" s="320"/>
      <c r="Z97" s="320"/>
      <c r="AA97" s="320"/>
    </row>
    <row r="98" spans="1:27" s="300" customFormat="1">
      <c r="A98" s="317" t="s">
        <v>1736</v>
      </c>
      <c r="B98" s="318" t="s">
        <v>1967</v>
      </c>
      <c r="C98" s="63">
        <f t="shared" si="7"/>
        <v>9423.8727839999992</v>
      </c>
      <c r="D98" s="70">
        <v>0</v>
      </c>
      <c r="E98" s="370">
        <v>9423.8727839999992</v>
      </c>
      <c r="F98" s="370"/>
      <c r="G98" s="370"/>
      <c r="H98" s="63"/>
      <c r="I98" s="63"/>
      <c r="J98" s="63">
        <f t="shared" si="6"/>
        <v>0</v>
      </c>
      <c r="K98" s="63"/>
      <c r="L98" s="63"/>
      <c r="M98" s="63"/>
      <c r="N98" s="70">
        <v>1939.2860000000001</v>
      </c>
      <c r="O98" s="370">
        <v>7801.053766</v>
      </c>
      <c r="P98" s="370"/>
      <c r="Q98" s="370"/>
      <c r="R98" s="63"/>
      <c r="S98" s="63"/>
      <c r="T98" s="63"/>
      <c r="U98" s="63"/>
      <c r="V98" s="370"/>
      <c r="W98" s="63">
        <v>1096.4545800000001</v>
      </c>
      <c r="X98" s="320"/>
      <c r="Y98" s="320"/>
      <c r="Z98" s="320"/>
      <c r="AA98" s="320"/>
    </row>
    <row r="99" spans="1:27" s="300" customFormat="1">
      <c r="A99" s="317" t="s">
        <v>1737</v>
      </c>
      <c r="B99" s="318" t="s">
        <v>1493</v>
      </c>
      <c r="C99" s="63">
        <f t="shared" si="7"/>
        <v>1790.4829999999999</v>
      </c>
      <c r="D99" s="70"/>
      <c r="E99" s="370">
        <v>1790.4829999999999</v>
      </c>
      <c r="F99" s="370"/>
      <c r="G99" s="370"/>
      <c r="H99" s="63"/>
      <c r="I99" s="63"/>
      <c r="J99" s="63">
        <f t="shared" si="6"/>
        <v>3360</v>
      </c>
      <c r="K99" s="63"/>
      <c r="L99" s="63">
        <f>3050+310</f>
        <v>3360</v>
      </c>
      <c r="M99" s="63"/>
      <c r="N99" s="70"/>
      <c r="O99" s="370">
        <v>1762.76</v>
      </c>
      <c r="P99" s="370"/>
      <c r="Q99" s="370"/>
      <c r="R99" s="63"/>
      <c r="S99" s="63"/>
      <c r="T99" s="63"/>
      <c r="U99" s="63"/>
      <c r="V99" s="370">
        <v>3235.6579999999999</v>
      </c>
      <c r="W99" s="63"/>
      <c r="X99" s="320"/>
      <c r="Y99" s="320"/>
      <c r="Z99" s="320"/>
      <c r="AA99" s="320"/>
    </row>
    <row r="100" spans="1:27" s="300" customFormat="1" ht="31.2">
      <c r="A100" s="317" t="s">
        <v>1738</v>
      </c>
      <c r="B100" s="318" t="s">
        <v>1891</v>
      </c>
      <c r="C100" s="63">
        <f t="shared" si="7"/>
        <v>1803.3</v>
      </c>
      <c r="D100" s="319"/>
      <c r="E100" s="370">
        <v>1803.3</v>
      </c>
      <c r="F100" s="370"/>
      <c r="G100" s="370"/>
      <c r="H100" s="63"/>
      <c r="I100" s="63"/>
      <c r="J100" s="63">
        <f t="shared" si="6"/>
        <v>500</v>
      </c>
      <c r="K100" s="63"/>
      <c r="L100" s="63">
        <v>500</v>
      </c>
      <c r="M100" s="63"/>
      <c r="N100" s="63"/>
      <c r="O100" s="370">
        <v>1791.22875</v>
      </c>
      <c r="P100" s="370"/>
      <c r="Q100" s="370"/>
      <c r="R100" s="63"/>
      <c r="S100" s="63"/>
      <c r="T100" s="63"/>
      <c r="U100" s="63"/>
      <c r="V100" s="370">
        <v>0</v>
      </c>
      <c r="W100" s="63"/>
      <c r="X100" s="320"/>
      <c r="Y100" s="320"/>
      <c r="Z100" s="320"/>
      <c r="AA100" s="320"/>
    </row>
    <row r="101" spans="1:27" s="300" customFormat="1">
      <c r="A101" s="317" t="s">
        <v>1739</v>
      </c>
      <c r="B101" s="318" t="s">
        <v>1968</v>
      </c>
      <c r="C101" s="63">
        <f t="shared" si="7"/>
        <v>1355</v>
      </c>
      <c r="D101" s="319"/>
      <c r="E101" s="370">
        <v>1355</v>
      </c>
      <c r="F101" s="370"/>
      <c r="G101" s="370"/>
      <c r="H101" s="63"/>
      <c r="I101" s="63"/>
      <c r="J101" s="63">
        <f t="shared" si="6"/>
        <v>0</v>
      </c>
      <c r="K101" s="63"/>
      <c r="L101" s="63"/>
      <c r="M101" s="63"/>
      <c r="N101" s="63"/>
      <c r="O101" s="370">
        <v>1333</v>
      </c>
      <c r="P101" s="370"/>
      <c r="Q101" s="370"/>
      <c r="R101" s="63"/>
      <c r="S101" s="63"/>
      <c r="T101" s="63"/>
      <c r="U101" s="63"/>
      <c r="V101" s="370"/>
      <c r="W101" s="63"/>
      <c r="X101" s="320"/>
      <c r="Y101" s="320"/>
      <c r="Z101" s="320"/>
      <c r="AA101" s="320"/>
    </row>
    <row r="102" spans="1:27" s="300" customFormat="1">
      <c r="A102" s="317" t="s">
        <v>1740</v>
      </c>
      <c r="B102" s="318" t="s">
        <v>1591</v>
      </c>
      <c r="C102" s="63">
        <f t="shared" si="7"/>
        <v>5213</v>
      </c>
      <c r="D102" s="319"/>
      <c r="E102" s="370">
        <v>5213</v>
      </c>
      <c r="F102" s="370"/>
      <c r="G102" s="370"/>
      <c r="H102" s="63"/>
      <c r="I102" s="63"/>
      <c r="J102" s="63">
        <f t="shared" si="6"/>
        <v>0</v>
      </c>
      <c r="K102" s="63"/>
      <c r="L102" s="63"/>
      <c r="M102" s="63"/>
      <c r="N102" s="63"/>
      <c r="O102" s="370">
        <v>5153.972874</v>
      </c>
      <c r="P102" s="370"/>
      <c r="Q102" s="370"/>
      <c r="R102" s="63"/>
      <c r="S102" s="63"/>
      <c r="T102" s="63"/>
      <c r="U102" s="63"/>
      <c r="V102" s="370"/>
      <c r="W102" s="63"/>
      <c r="X102" s="320"/>
      <c r="Y102" s="320"/>
      <c r="Z102" s="320"/>
      <c r="AA102" s="320"/>
    </row>
    <row r="103" spans="1:27" s="300" customFormat="1">
      <c r="A103" s="317" t="s">
        <v>1741</v>
      </c>
      <c r="B103" s="318" t="s">
        <v>1969</v>
      </c>
      <c r="C103" s="63">
        <f t="shared" si="7"/>
        <v>1985</v>
      </c>
      <c r="D103" s="319"/>
      <c r="E103" s="370">
        <v>1985</v>
      </c>
      <c r="F103" s="370"/>
      <c r="G103" s="370"/>
      <c r="H103" s="63"/>
      <c r="I103" s="63"/>
      <c r="J103" s="63">
        <f t="shared" si="6"/>
        <v>0</v>
      </c>
      <c r="K103" s="63"/>
      <c r="L103" s="63"/>
      <c r="M103" s="63"/>
      <c r="N103" s="63"/>
      <c r="O103" s="370">
        <v>1952.11851</v>
      </c>
      <c r="P103" s="370"/>
      <c r="Q103" s="370"/>
      <c r="R103" s="63"/>
      <c r="S103" s="63"/>
      <c r="T103" s="63"/>
      <c r="U103" s="63"/>
      <c r="V103" s="370"/>
      <c r="W103" s="63"/>
      <c r="X103" s="320"/>
      <c r="Y103" s="320"/>
      <c r="Z103" s="320"/>
      <c r="AA103" s="320"/>
    </row>
    <row r="104" spans="1:27" s="300" customFormat="1">
      <c r="A104" s="317" t="s">
        <v>1742</v>
      </c>
      <c r="B104" s="318" t="s">
        <v>1895</v>
      </c>
      <c r="C104" s="63">
        <f t="shared" si="7"/>
        <v>1735</v>
      </c>
      <c r="D104" s="319"/>
      <c r="E104" s="370">
        <v>1735</v>
      </c>
      <c r="F104" s="370"/>
      <c r="G104" s="370"/>
      <c r="H104" s="63"/>
      <c r="I104" s="63"/>
      <c r="J104" s="63">
        <f t="shared" si="6"/>
        <v>0</v>
      </c>
      <c r="K104" s="63"/>
      <c r="L104" s="63"/>
      <c r="M104" s="63"/>
      <c r="N104" s="63"/>
      <c r="O104" s="370">
        <v>1699.8887199999999</v>
      </c>
      <c r="P104" s="370"/>
      <c r="Q104" s="370"/>
      <c r="R104" s="63"/>
      <c r="S104" s="63"/>
      <c r="T104" s="63"/>
      <c r="U104" s="63"/>
      <c r="V104" s="370"/>
      <c r="W104" s="63"/>
      <c r="X104" s="320"/>
      <c r="Y104" s="320"/>
      <c r="Z104" s="320"/>
      <c r="AA104" s="320"/>
    </row>
    <row r="105" spans="1:27" s="300" customFormat="1">
      <c r="A105" s="317" t="s">
        <v>1743</v>
      </c>
      <c r="B105" s="318" t="s">
        <v>1970</v>
      </c>
      <c r="C105" s="63">
        <f t="shared" si="7"/>
        <v>5748.143</v>
      </c>
      <c r="D105" s="319"/>
      <c r="E105" s="370">
        <v>5748.143</v>
      </c>
      <c r="F105" s="370"/>
      <c r="G105" s="370"/>
      <c r="H105" s="63"/>
      <c r="I105" s="63"/>
      <c r="J105" s="63">
        <f t="shared" si="6"/>
        <v>0</v>
      </c>
      <c r="K105" s="63"/>
      <c r="L105" s="63"/>
      <c r="M105" s="63"/>
      <c r="N105" s="63"/>
      <c r="O105" s="370">
        <v>5737.6253999999999</v>
      </c>
      <c r="P105" s="370"/>
      <c r="Q105" s="370"/>
      <c r="R105" s="63"/>
      <c r="S105" s="63"/>
      <c r="T105" s="63"/>
      <c r="U105" s="63"/>
      <c r="V105" s="370"/>
      <c r="W105" s="63"/>
      <c r="X105" s="320"/>
      <c r="Y105" s="320"/>
      <c r="Z105" s="320"/>
      <c r="AA105" s="320"/>
    </row>
    <row r="106" spans="1:27" s="300" customFormat="1">
      <c r="A106" s="317" t="s">
        <v>1744</v>
      </c>
      <c r="B106" s="318" t="s">
        <v>1661</v>
      </c>
      <c r="C106" s="63">
        <f t="shared" si="7"/>
        <v>1593.5160000000001</v>
      </c>
      <c r="D106" s="319"/>
      <c r="E106" s="370">
        <v>1593.5160000000001</v>
      </c>
      <c r="F106" s="370"/>
      <c r="G106" s="370"/>
      <c r="H106" s="63"/>
      <c r="I106" s="63"/>
      <c r="J106" s="63">
        <f t="shared" si="6"/>
        <v>0</v>
      </c>
      <c r="K106" s="63"/>
      <c r="L106" s="63"/>
      <c r="M106" s="63"/>
      <c r="N106" s="63"/>
      <c r="O106" s="370">
        <v>1513.2113999999999</v>
      </c>
      <c r="P106" s="370"/>
      <c r="Q106" s="370"/>
      <c r="R106" s="63"/>
      <c r="S106" s="63"/>
      <c r="T106" s="63"/>
      <c r="U106" s="63"/>
      <c r="V106" s="370"/>
      <c r="W106" s="63"/>
      <c r="X106" s="320"/>
      <c r="Y106" s="320"/>
      <c r="Z106" s="320"/>
      <c r="AA106" s="320"/>
    </row>
    <row r="107" spans="1:27" s="300" customFormat="1" ht="31.2">
      <c r="A107" s="317" t="s">
        <v>1745</v>
      </c>
      <c r="B107" s="318" t="s">
        <v>1971</v>
      </c>
      <c r="C107" s="63">
        <f t="shared" si="7"/>
        <v>6389</v>
      </c>
      <c r="D107" s="319"/>
      <c r="E107" s="370">
        <v>6389</v>
      </c>
      <c r="F107" s="370"/>
      <c r="G107" s="370"/>
      <c r="H107" s="63"/>
      <c r="I107" s="63"/>
      <c r="J107" s="63">
        <f t="shared" si="6"/>
        <v>0</v>
      </c>
      <c r="K107" s="63"/>
      <c r="L107" s="63"/>
      <c r="M107" s="63"/>
      <c r="N107" s="63"/>
      <c r="O107" s="370">
        <v>4083</v>
      </c>
      <c r="P107" s="370"/>
      <c r="Q107" s="370"/>
      <c r="R107" s="63"/>
      <c r="S107" s="63"/>
      <c r="T107" s="63"/>
      <c r="U107" s="63"/>
      <c r="V107" s="370"/>
      <c r="W107" s="63">
        <v>2306</v>
      </c>
      <c r="X107" s="320"/>
      <c r="Y107" s="320"/>
      <c r="Z107" s="320"/>
      <c r="AA107" s="320"/>
    </row>
    <row r="108" spans="1:27" s="331" customFormat="1">
      <c r="A108" s="317" t="s">
        <v>1746</v>
      </c>
      <c r="B108" s="386" t="s">
        <v>1972</v>
      </c>
      <c r="C108" s="63">
        <f t="shared" si="7"/>
        <v>0</v>
      </c>
      <c r="D108" s="388">
        <v>0</v>
      </c>
      <c r="E108" s="389"/>
      <c r="F108" s="389"/>
      <c r="G108" s="389"/>
      <c r="H108" s="388"/>
      <c r="I108" s="388"/>
      <c r="J108" s="63">
        <f t="shared" si="6"/>
        <v>0</v>
      </c>
      <c r="K108" s="388"/>
      <c r="L108" s="388"/>
      <c r="M108" s="387"/>
      <c r="N108" s="388">
        <v>55.07</v>
      </c>
      <c r="O108" s="389"/>
      <c r="P108" s="389"/>
      <c r="Q108" s="389"/>
      <c r="R108" s="388"/>
      <c r="S108" s="388"/>
      <c r="T108" s="388"/>
      <c r="U108" s="388"/>
      <c r="V108" s="390"/>
      <c r="W108" s="387"/>
      <c r="X108" s="391"/>
      <c r="Y108" s="391"/>
      <c r="Z108" s="391"/>
      <c r="AA108" s="391"/>
    </row>
    <row r="109" spans="1:27" s="300" customFormat="1">
      <c r="A109" s="317" t="s">
        <v>1747</v>
      </c>
      <c r="B109" s="318" t="s">
        <v>1588</v>
      </c>
      <c r="C109" s="63">
        <f t="shared" si="7"/>
        <v>21760.297999999999</v>
      </c>
      <c r="D109" s="70">
        <v>9921.4979999999996</v>
      </c>
      <c r="E109" s="370">
        <v>11838.8</v>
      </c>
      <c r="F109" s="370"/>
      <c r="G109" s="370"/>
      <c r="H109" s="63"/>
      <c r="I109" s="63"/>
      <c r="J109" s="63">
        <f t="shared" si="6"/>
        <v>0</v>
      </c>
      <c r="K109" s="63"/>
      <c r="L109" s="63"/>
      <c r="M109" s="63"/>
      <c r="N109" s="70">
        <v>15566.535818</v>
      </c>
      <c r="O109" s="370">
        <v>11335.2</v>
      </c>
      <c r="P109" s="370"/>
      <c r="Q109" s="370"/>
      <c r="R109" s="63"/>
      <c r="S109" s="63"/>
      <c r="T109" s="63"/>
      <c r="U109" s="63"/>
      <c r="V109" s="370"/>
      <c r="W109" s="63">
        <v>487.8</v>
      </c>
      <c r="X109" s="320"/>
      <c r="Y109" s="320"/>
      <c r="Z109" s="320"/>
      <c r="AA109" s="320"/>
    </row>
    <row r="110" spans="1:27" s="300" customFormat="1">
      <c r="A110" s="317" t="s">
        <v>1748</v>
      </c>
      <c r="B110" s="318" t="s">
        <v>1896</v>
      </c>
      <c r="C110" s="63">
        <f t="shared" si="7"/>
        <v>270</v>
      </c>
      <c r="D110" s="319"/>
      <c r="E110" s="370">
        <v>270</v>
      </c>
      <c r="F110" s="370"/>
      <c r="G110" s="370"/>
      <c r="H110" s="63"/>
      <c r="I110" s="63"/>
      <c r="J110" s="63">
        <f t="shared" si="6"/>
        <v>0</v>
      </c>
      <c r="K110" s="63"/>
      <c r="L110" s="63"/>
      <c r="M110" s="63"/>
      <c r="N110" s="63"/>
      <c r="O110" s="370">
        <v>270</v>
      </c>
      <c r="P110" s="370"/>
      <c r="Q110" s="370"/>
      <c r="R110" s="63"/>
      <c r="S110" s="63"/>
      <c r="T110" s="63"/>
      <c r="U110" s="63"/>
      <c r="V110" s="370"/>
      <c r="W110" s="63"/>
      <c r="X110" s="320"/>
      <c r="Y110" s="320"/>
      <c r="Z110" s="320"/>
      <c r="AA110" s="320"/>
    </row>
    <row r="111" spans="1:27" s="300" customFormat="1">
      <c r="A111" s="317" t="s">
        <v>1749</v>
      </c>
      <c r="B111" s="318" t="s">
        <v>1546</v>
      </c>
      <c r="C111" s="63">
        <f t="shared" si="7"/>
        <v>90</v>
      </c>
      <c r="D111" s="319"/>
      <c r="E111" s="370">
        <v>90</v>
      </c>
      <c r="F111" s="370"/>
      <c r="G111" s="370"/>
      <c r="H111" s="63"/>
      <c r="I111" s="63"/>
      <c r="J111" s="63">
        <f t="shared" si="6"/>
        <v>0</v>
      </c>
      <c r="K111" s="63"/>
      <c r="L111" s="63"/>
      <c r="M111" s="63"/>
      <c r="N111" s="63"/>
      <c r="O111" s="370">
        <v>90</v>
      </c>
      <c r="P111" s="370"/>
      <c r="Q111" s="370"/>
      <c r="R111" s="63"/>
      <c r="S111" s="63"/>
      <c r="T111" s="63"/>
      <c r="U111" s="63"/>
      <c r="V111" s="370"/>
      <c r="W111" s="63"/>
      <c r="X111" s="320"/>
      <c r="Y111" s="320"/>
      <c r="Z111" s="320"/>
      <c r="AA111" s="320"/>
    </row>
    <row r="112" spans="1:27" s="331" customFormat="1">
      <c r="A112" s="317" t="s">
        <v>1750</v>
      </c>
      <c r="B112" s="386" t="s">
        <v>1877</v>
      </c>
      <c r="C112" s="63">
        <f t="shared" si="7"/>
        <v>0</v>
      </c>
      <c r="D112" s="388"/>
      <c r="E112" s="389"/>
      <c r="F112" s="389"/>
      <c r="G112" s="389"/>
      <c r="H112" s="388"/>
      <c r="I112" s="388"/>
      <c r="J112" s="63">
        <f t="shared" si="6"/>
        <v>0</v>
      </c>
      <c r="K112" s="388"/>
      <c r="L112" s="388"/>
      <c r="M112" s="387"/>
      <c r="N112" s="388"/>
      <c r="O112" s="389"/>
      <c r="P112" s="389"/>
      <c r="Q112" s="389"/>
      <c r="R112" s="388"/>
      <c r="S112" s="388"/>
      <c r="T112" s="388"/>
      <c r="U112" s="388"/>
      <c r="V112" s="390"/>
      <c r="W112" s="387"/>
      <c r="X112" s="391"/>
      <c r="Y112" s="391"/>
      <c r="Z112" s="391"/>
      <c r="AA112" s="391"/>
    </row>
    <row r="113" spans="1:27" s="300" customFormat="1">
      <c r="A113" s="317" t="s">
        <v>1751</v>
      </c>
      <c r="B113" s="318" t="s">
        <v>1899</v>
      </c>
      <c r="C113" s="63">
        <f t="shared" si="7"/>
        <v>2458</v>
      </c>
      <c r="D113" s="319"/>
      <c r="E113" s="370">
        <v>2458</v>
      </c>
      <c r="F113" s="370"/>
      <c r="G113" s="370"/>
      <c r="H113" s="63"/>
      <c r="I113" s="63"/>
      <c r="J113" s="63">
        <f t="shared" si="6"/>
        <v>0</v>
      </c>
      <c r="K113" s="63"/>
      <c r="L113" s="63"/>
      <c r="M113" s="63"/>
      <c r="N113" s="63"/>
      <c r="O113" s="370">
        <v>2458</v>
      </c>
      <c r="P113" s="370"/>
      <c r="Q113" s="370"/>
      <c r="R113" s="63"/>
      <c r="S113" s="63"/>
      <c r="T113" s="63"/>
      <c r="U113" s="63"/>
      <c r="V113" s="370"/>
      <c r="W113" s="63"/>
      <c r="X113" s="320"/>
      <c r="Y113" s="320"/>
      <c r="Z113" s="320"/>
      <c r="AA113" s="320"/>
    </row>
    <row r="114" spans="1:27" s="300" customFormat="1">
      <c r="A114" s="317" t="s">
        <v>1752</v>
      </c>
      <c r="B114" s="318" t="s">
        <v>1897</v>
      </c>
      <c r="C114" s="63">
        <f t="shared" si="7"/>
        <v>2277</v>
      </c>
      <c r="D114" s="319"/>
      <c r="E114" s="370">
        <v>2277</v>
      </c>
      <c r="F114" s="370"/>
      <c r="G114" s="370"/>
      <c r="H114" s="63"/>
      <c r="I114" s="63"/>
      <c r="J114" s="63">
        <f t="shared" si="6"/>
        <v>0</v>
      </c>
      <c r="K114" s="63"/>
      <c r="L114" s="63"/>
      <c r="M114" s="63"/>
      <c r="N114" s="63"/>
      <c r="O114" s="370">
        <v>2277</v>
      </c>
      <c r="P114" s="370"/>
      <c r="Q114" s="370"/>
      <c r="R114" s="63"/>
      <c r="S114" s="63"/>
      <c r="T114" s="63"/>
      <c r="U114" s="63"/>
      <c r="V114" s="370"/>
      <c r="W114" s="63"/>
      <c r="X114" s="320"/>
      <c r="Y114" s="320"/>
      <c r="Z114" s="320"/>
      <c r="AA114" s="320"/>
    </row>
    <row r="115" spans="1:27" s="300" customFormat="1">
      <c r="A115" s="317" t="s">
        <v>1753</v>
      </c>
      <c r="B115" s="318" t="s">
        <v>1898</v>
      </c>
      <c r="C115" s="63">
        <f t="shared" si="7"/>
        <v>2989</v>
      </c>
      <c r="D115" s="319"/>
      <c r="E115" s="370">
        <v>2989</v>
      </c>
      <c r="F115" s="370"/>
      <c r="G115" s="370"/>
      <c r="H115" s="63"/>
      <c r="I115" s="63"/>
      <c r="J115" s="63">
        <f t="shared" si="6"/>
        <v>0</v>
      </c>
      <c r="K115" s="63"/>
      <c r="L115" s="63"/>
      <c r="M115" s="63"/>
      <c r="N115" s="63"/>
      <c r="O115" s="370">
        <v>2989</v>
      </c>
      <c r="P115" s="370"/>
      <c r="Q115" s="370"/>
      <c r="R115" s="63"/>
      <c r="S115" s="63"/>
      <c r="T115" s="63"/>
      <c r="U115" s="63"/>
      <c r="V115" s="370"/>
      <c r="W115" s="63"/>
      <c r="X115" s="320"/>
      <c r="Y115" s="320"/>
      <c r="Z115" s="320"/>
      <c r="AA115" s="320"/>
    </row>
    <row r="116" spans="1:27" s="331" customFormat="1">
      <c r="A116" s="317" t="s">
        <v>1754</v>
      </c>
      <c r="B116" s="401" t="s">
        <v>1900</v>
      </c>
      <c r="C116" s="63">
        <f t="shared" si="7"/>
        <v>0</v>
      </c>
      <c r="D116" s="402"/>
      <c r="E116" s="389"/>
      <c r="F116" s="389"/>
      <c r="G116" s="389"/>
      <c r="H116" s="387"/>
      <c r="I116" s="387"/>
      <c r="J116" s="63">
        <f t="shared" si="6"/>
        <v>0</v>
      </c>
      <c r="K116" s="387"/>
      <c r="L116" s="387"/>
      <c r="M116" s="387"/>
      <c r="N116" s="387"/>
      <c r="O116" s="389"/>
      <c r="P116" s="389"/>
      <c r="Q116" s="389"/>
      <c r="R116" s="387"/>
      <c r="S116" s="387"/>
      <c r="T116" s="387"/>
      <c r="U116" s="387"/>
      <c r="V116" s="389"/>
      <c r="W116" s="387"/>
      <c r="X116" s="391"/>
      <c r="Y116" s="391"/>
      <c r="Z116" s="391"/>
      <c r="AA116" s="391"/>
    </row>
    <row r="117" spans="1:27" s="300" customFormat="1">
      <c r="A117" s="317" t="s">
        <v>1755</v>
      </c>
      <c r="B117" s="318" t="s">
        <v>1973</v>
      </c>
      <c r="C117" s="63">
        <f t="shared" si="7"/>
        <v>3854.0050000000001</v>
      </c>
      <c r="D117" s="319"/>
      <c r="E117" s="370">
        <v>3854.0050000000001</v>
      </c>
      <c r="F117" s="370"/>
      <c r="G117" s="370"/>
      <c r="H117" s="63"/>
      <c r="I117" s="63"/>
      <c r="J117" s="63">
        <f t="shared" si="6"/>
        <v>0</v>
      </c>
      <c r="K117" s="63"/>
      <c r="L117" s="63"/>
      <c r="M117" s="63"/>
      <c r="N117" s="63"/>
      <c r="O117" s="370">
        <v>3854.0050000000001</v>
      </c>
      <c r="P117" s="370"/>
      <c r="Q117" s="370"/>
      <c r="R117" s="63"/>
      <c r="S117" s="63"/>
      <c r="T117" s="63"/>
      <c r="U117" s="63"/>
      <c r="V117" s="370"/>
      <c r="W117" s="63"/>
      <c r="X117" s="320"/>
      <c r="Y117" s="320"/>
      <c r="Z117" s="320"/>
      <c r="AA117" s="320"/>
    </row>
    <row r="118" spans="1:27" s="300" customFormat="1">
      <c r="A118" s="317" t="s">
        <v>1756</v>
      </c>
      <c r="B118" s="318" t="s">
        <v>1974</v>
      </c>
      <c r="C118" s="63">
        <f t="shared" si="7"/>
        <v>3131</v>
      </c>
      <c r="D118" s="319"/>
      <c r="E118" s="370">
        <v>3131</v>
      </c>
      <c r="F118" s="370"/>
      <c r="G118" s="370"/>
      <c r="H118" s="63"/>
      <c r="I118" s="63"/>
      <c r="J118" s="63">
        <f t="shared" si="6"/>
        <v>0</v>
      </c>
      <c r="K118" s="63"/>
      <c r="L118" s="63"/>
      <c r="M118" s="63"/>
      <c r="N118" s="63"/>
      <c r="O118" s="370">
        <v>3131</v>
      </c>
      <c r="P118" s="370"/>
      <c r="Q118" s="370"/>
      <c r="R118" s="63"/>
      <c r="S118" s="63"/>
      <c r="T118" s="63"/>
      <c r="U118" s="63"/>
      <c r="V118" s="370"/>
      <c r="W118" s="63"/>
      <c r="X118" s="320"/>
      <c r="Y118" s="320"/>
      <c r="Z118" s="320"/>
      <c r="AA118" s="320"/>
    </row>
    <row r="119" spans="1:27" s="300" customFormat="1">
      <c r="A119" s="317" t="s">
        <v>1757</v>
      </c>
      <c r="B119" s="318" t="s">
        <v>1975</v>
      </c>
      <c r="C119" s="63">
        <f t="shared" si="7"/>
        <v>2768.2779999999998</v>
      </c>
      <c r="D119" s="319"/>
      <c r="E119" s="370">
        <v>2768.2779999999998</v>
      </c>
      <c r="F119" s="370"/>
      <c r="G119" s="370"/>
      <c r="H119" s="63"/>
      <c r="I119" s="63"/>
      <c r="J119" s="63">
        <f t="shared" si="6"/>
        <v>0</v>
      </c>
      <c r="K119" s="63"/>
      <c r="L119" s="63"/>
      <c r="M119" s="63"/>
      <c r="N119" s="63"/>
      <c r="O119" s="370">
        <v>2768.2779999999998</v>
      </c>
      <c r="P119" s="370"/>
      <c r="Q119" s="370"/>
      <c r="R119" s="63"/>
      <c r="S119" s="63"/>
      <c r="T119" s="63"/>
      <c r="U119" s="63"/>
      <c r="V119" s="370"/>
      <c r="W119" s="63"/>
      <c r="X119" s="320"/>
      <c r="Y119" s="320"/>
      <c r="Z119" s="320"/>
      <c r="AA119" s="320"/>
    </row>
    <row r="120" spans="1:27" s="300" customFormat="1">
      <c r="A120" s="317" t="s">
        <v>1758</v>
      </c>
      <c r="B120" s="318" t="s">
        <v>1936</v>
      </c>
      <c r="C120" s="63">
        <f t="shared" si="7"/>
        <v>3169.2</v>
      </c>
      <c r="D120" s="319"/>
      <c r="E120" s="370">
        <v>3169.2</v>
      </c>
      <c r="F120" s="370"/>
      <c r="G120" s="370"/>
      <c r="H120" s="63"/>
      <c r="I120" s="63"/>
      <c r="J120" s="63">
        <f t="shared" si="6"/>
        <v>0</v>
      </c>
      <c r="K120" s="63"/>
      <c r="L120" s="63"/>
      <c r="M120" s="63"/>
      <c r="N120" s="63"/>
      <c r="O120" s="370">
        <v>3169.2</v>
      </c>
      <c r="P120" s="370"/>
      <c r="Q120" s="370"/>
      <c r="R120" s="63"/>
      <c r="S120" s="63"/>
      <c r="T120" s="63"/>
      <c r="U120" s="63"/>
      <c r="V120" s="370"/>
      <c r="W120" s="63"/>
      <c r="X120" s="320"/>
      <c r="Y120" s="320"/>
      <c r="Z120" s="320"/>
      <c r="AA120" s="320"/>
    </row>
    <row r="121" spans="1:27" s="300" customFormat="1">
      <c r="A121" s="317" t="s">
        <v>1759</v>
      </c>
      <c r="B121" s="318" t="s">
        <v>1901</v>
      </c>
      <c r="C121" s="63">
        <f t="shared" si="7"/>
        <v>3525.6052920000002</v>
      </c>
      <c r="D121" s="319"/>
      <c r="E121" s="370">
        <v>3525.6052920000002</v>
      </c>
      <c r="F121" s="370"/>
      <c r="G121" s="370"/>
      <c r="H121" s="63"/>
      <c r="I121" s="63"/>
      <c r="J121" s="63">
        <f t="shared" si="6"/>
        <v>0</v>
      </c>
      <c r="K121" s="63"/>
      <c r="L121" s="63"/>
      <c r="M121" s="63"/>
      <c r="N121" s="63"/>
      <c r="O121" s="370">
        <v>3518.372406</v>
      </c>
      <c r="P121" s="370"/>
      <c r="Q121" s="370"/>
      <c r="R121" s="63"/>
      <c r="S121" s="63"/>
      <c r="T121" s="63"/>
      <c r="U121" s="63"/>
      <c r="V121" s="370"/>
      <c r="W121" s="63">
        <v>7.2328859999999997</v>
      </c>
      <c r="X121" s="320"/>
      <c r="Y121" s="320"/>
      <c r="Z121" s="320"/>
      <c r="AA121" s="320"/>
    </row>
    <row r="122" spans="1:27" s="300" customFormat="1">
      <c r="A122" s="317" t="s">
        <v>1760</v>
      </c>
      <c r="B122" s="318" t="s">
        <v>1494</v>
      </c>
      <c r="C122" s="63">
        <f t="shared" si="7"/>
        <v>2799</v>
      </c>
      <c r="D122" s="319"/>
      <c r="E122" s="370">
        <v>2799</v>
      </c>
      <c r="F122" s="370"/>
      <c r="G122" s="370"/>
      <c r="H122" s="63"/>
      <c r="I122" s="63"/>
      <c r="J122" s="63">
        <f t="shared" si="6"/>
        <v>0</v>
      </c>
      <c r="K122" s="63"/>
      <c r="L122" s="63"/>
      <c r="M122" s="63"/>
      <c r="N122" s="63"/>
      <c r="O122" s="370">
        <v>2799</v>
      </c>
      <c r="P122" s="370"/>
      <c r="Q122" s="370"/>
      <c r="R122" s="63"/>
      <c r="S122" s="63"/>
      <c r="T122" s="63"/>
      <c r="U122" s="63"/>
      <c r="V122" s="370"/>
      <c r="W122" s="63"/>
      <c r="X122" s="320"/>
      <c r="Y122" s="320"/>
      <c r="Z122" s="320"/>
      <c r="AA122" s="320"/>
    </row>
    <row r="123" spans="1:27" s="300" customFormat="1">
      <c r="A123" s="317" t="s">
        <v>1761</v>
      </c>
      <c r="B123" s="318" t="s">
        <v>1902</v>
      </c>
      <c r="C123" s="63">
        <f t="shared" si="7"/>
        <v>2561</v>
      </c>
      <c r="D123" s="319"/>
      <c r="E123" s="370">
        <v>2561</v>
      </c>
      <c r="F123" s="370"/>
      <c r="G123" s="370"/>
      <c r="H123" s="63"/>
      <c r="I123" s="63"/>
      <c r="J123" s="63">
        <f t="shared" si="6"/>
        <v>0</v>
      </c>
      <c r="K123" s="63"/>
      <c r="L123" s="63"/>
      <c r="M123" s="63"/>
      <c r="N123" s="63"/>
      <c r="O123" s="370">
        <v>2561</v>
      </c>
      <c r="P123" s="370"/>
      <c r="Q123" s="370"/>
      <c r="R123" s="63"/>
      <c r="S123" s="63"/>
      <c r="T123" s="63"/>
      <c r="U123" s="63"/>
      <c r="V123" s="370"/>
      <c r="W123" s="63"/>
      <c r="X123" s="320"/>
      <c r="Y123" s="320"/>
      <c r="Z123" s="320"/>
      <c r="AA123" s="320"/>
    </row>
    <row r="124" spans="1:27" s="300" customFormat="1">
      <c r="A124" s="317" t="s">
        <v>1762</v>
      </c>
      <c r="B124" s="318" t="s">
        <v>1937</v>
      </c>
      <c r="C124" s="63">
        <f t="shared" si="7"/>
        <v>3443.2</v>
      </c>
      <c r="D124" s="319"/>
      <c r="E124" s="370">
        <v>3443.2</v>
      </c>
      <c r="F124" s="370"/>
      <c r="G124" s="370"/>
      <c r="H124" s="63"/>
      <c r="I124" s="63"/>
      <c r="J124" s="63">
        <f t="shared" si="6"/>
        <v>0</v>
      </c>
      <c r="K124" s="63"/>
      <c r="L124" s="63"/>
      <c r="M124" s="63"/>
      <c r="N124" s="63"/>
      <c r="O124" s="370">
        <v>3443.2</v>
      </c>
      <c r="P124" s="370"/>
      <c r="Q124" s="370"/>
      <c r="R124" s="63"/>
      <c r="S124" s="63"/>
      <c r="T124" s="63"/>
      <c r="U124" s="63"/>
      <c r="V124" s="370"/>
      <c r="W124" s="63"/>
      <c r="X124" s="320"/>
      <c r="Y124" s="320"/>
      <c r="Z124" s="320"/>
      <c r="AA124" s="320"/>
    </row>
    <row r="125" spans="1:27" s="300" customFormat="1">
      <c r="A125" s="317" t="s">
        <v>1763</v>
      </c>
      <c r="B125" s="318" t="s">
        <v>1497</v>
      </c>
      <c r="C125" s="63">
        <f t="shared" si="7"/>
        <v>2991</v>
      </c>
      <c r="D125" s="319"/>
      <c r="E125" s="370">
        <v>2991</v>
      </c>
      <c r="F125" s="370"/>
      <c r="G125" s="370"/>
      <c r="H125" s="63"/>
      <c r="I125" s="63"/>
      <c r="J125" s="63">
        <f t="shared" si="6"/>
        <v>0</v>
      </c>
      <c r="K125" s="63"/>
      <c r="L125" s="63"/>
      <c r="M125" s="63"/>
      <c r="N125" s="63"/>
      <c r="O125" s="370">
        <v>2990.3</v>
      </c>
      <c r="P125" s="370"/>
      <c r="Q125" s="370"/>
      <c r="R125" s="63"/>
      <c r="S125" s="63"/>
      <c r="T125" s="63"/>
      <c r="U125" s="63"/>
      <c r="V125" s="370"/>
      <c r="W125" s="63"/>
      <c r="X125" s="320"/>
      <c r="Y125" s="320"/>
      <c r="Z125" s="320"/>
      <c r="AA125" s="320"/>
    </row>
    <row r="126" spans="1:27" s="300" customFormat="1">
      <c r="A126" s="317" t="s">
        <v>1764</v>
      </c>
      <c r="B126" s="318" t="s">
        <v>1903</v>
      </c>
      <c r="C126" s="63">
        <f t="shared" si="7"/>
        <v>710</v>
      </c>
      <c r="D126" s="319"/>
      <c r="E126" s="370">
        <v>710</v>
      </c>
      <c r="F126" s="370"/>
      <c r="G126" s="370"/>
      <c r="H126" s="63"/>
      <c r="I126" s="63"/>
      <c r="J126" s="63">
        <f t="shared" si="6"/>
        <v>0</v>
      </c>
      <c r="K126" s="63"/>
      <c r="L126" s="63"/>
      <c r="M126" s="63"/>
      <c r="N126" s="63"/>
      <c r="O126" s="370">
        <v>710</v>
      </c>
      <c r="P126" s="370"/>
      <c r="Q126" s="370"/>
      <c r="R126" s="63"/>
      <c r="S126" s="63"/>
      <c r="T126" s="63"/>
      <c r="U126" s="63"/>
      <c r="V126" s="370"/>
      <c r="W126" s="63"/>
      <c r="X126" s="320"/>
      <c r="Y126" s="320"/>
      <c r="Z126" s="320"/>
      <c r="AA126" s="320"/>
    </row>
    <row r="127" spans="1:27" s="300" customFormat="1">
      <c r="A127" s="317" t="s">
        <v>1765</v>
      </c>
      <c r="B127" s="318" t="s">
        <v>1904</v>
      </c>
      <c r="C127" s="63">
        <f t="shared" si="7"/>
        <v>2222</v>
      </c>
      <c r="D127" s="319"/>
      <c r="E127" s="370">
        <v>2222</v>
      </c>
      <c r="F127" s="370"/>
      <c r="G127" s="370"/>
      <c r="H127" s="63"/>
      <c r="I127" s="63"/>
      <c r="J127" s="63">
        <f t="shared" si="6"/>
        <v>0</v>
      </c>
      <c r="K127" s="63"/>
      <c r="L127" s="63"/>
      <c r="M127" s="63"/>
      <c r="N127" s="63"/>
      <c r="O127" s="370">
        <v>2222</v>
      </c>
      <c r="P127" s="370"/>
      <c r="Q127" s="370"/>
      <c r="R127" s="63"/>
      <c r="S127" s="63"/>
      <c r="T127" s="63"/>
      <c r="U127" s="63"/>
      <c r="V127" s="370"/>
      <c r="W127" s="63"/>
      <c r="X127" s="320"/>
      <c r="Y127" s="320"/>
      <c r="Z127" s="320"/>
      <c r="AA127" s="320"/>
    </row>
    <row r="128" spans="1:27" s="300" customFormat="1" ht="31.2">
      <c r="A128" s="317" t="s">
        <v>1766</v>
      </c>
      <c r="B128" s="318" t="s">
        <v>1905</v>
      </c>
      <c r="C128" s="63">
        <f t="shared" si="7"/>
        <v>466</v>
      </c>
      <c r="D128" s="319"/>
      <c r="E128" s="370">
        <v>466</v>
      </c>
      <c r="F128" s="370"/>
      <c r="G128" s="370"/>
      <c r="H128" s="63"/>
      <c r="I128" s="63"/>
      <c r="J128" s="63">
        <f t="shared" si="6"/>
        <v>0</v>
      </c>
      <c r="K128" s="63"/>
      <c r="L128" s="63"/>
      <c r="M128" s="63"/>
      <c r="N128" s="63"/>
      <c r="O128" s="370">
        <v>466</v>
      </c>
      <c r="P128" s="370"/>
      <c r="Q128" s="370"/>
      <c r="R128" s="63"/>
      <c r="S128" s="63"/>
      <c r="T128" s="63"/>
      <c r="U128" s="63"/>
      <c r="V128" s="370"/>
      <c r="W128" s="63"/>
      <c r="X128" s="320"/>
      <c r="Y128" s="320"/>
      <c r="Z128" s="320"/>
      <c r="AA128" s="320"/>
    </row>
    <row r="129" spans="1:27" s="300" customFormat="1">
      <c r="A129" s="317" t="s">
        <v>1767</v>
      </c>
      <c r="B129" s="318" t="s">
        <v>1533</v>
      </c>
      <c r="C129" s="63">
        <f t="shared" si="7"/>
        <v>30</v>
      </c>
      <c r="D129" s="319"/>
      <c r="E129" s="370">
        <v>30</v>
      </c>
      <c r="F129" s="370"/>
      <c r="G129" s="370"/>
      <c r="H129" s="63"/>
      <c r="I129" s="63"/>
      <c r="J129" s="63">
        <f t="shared" si="6"/>
        <v>0</v>
      </c>
      <c r="K129" s="63"/>
      <c r="L129" s="63"/>
      <c r="M129" s="63"/>
      <c r="N129" s="63"/>
      <c r="O129" s="370">
        <v>30</v>
      </c>
      <c r="P129" s="370"/>
      <c r="Q129" s="370"/>
      <c r="R129" s="63"/>
      <c r="S129" s="63"/>
      <c r="T129" s="63"/>
      <c r="U129" s="63"/>
      <c r="V129" s="370"/>
      <c r="W129" s="63"/>
      <c r="X129" s="320"/>
      <c r="Y129" s="320"/>
      <c r="Z129" s="320"/>
      <c r="AA129" s="320"/>
    </row>
    <row r="130" spans="1:27" s="300" customFormat="1">
      <c r="A130" s="317" t="s">
        <v>1768</v>
      </c>
      <c r="B130" s="318" t="s">
        <v>1586</v>
      </c>
      <c r="C130" s="63">
        <f t="shared" si="7"/>
        <v>1691.1070649999999</v>
      </c>
      <c r="D130" s="319"/>
      <c r="E130" s="370">
        <v>1691.1070649999999</v>
      </c>
      <c r="F130" s="370"/>
      <c r="G130" s="370"/>
      <c r="H130" s="63"/>
      <c r="I130" s="63"/>
      <c r="J130" s="63">
        <f t="shared" si="6"/>
        <v>0</v>
      </c>
      <c r="K130" s="63"/>
      <c r="L130" s="63"/>
      <c r="M130" s="63"/>
      <c r="N130" s="63"/>
      <c r="O130" s="370">
        <v>1691.1070649999999</v>
      </c>
      <c r="P130" s="370"/>
      <c r="Q130" s="370"/>
      <c r="R130" s="63"/>
      <c r="S130" s="63"/>
      <c r="T130" s="63"/>
      <c r="U130" s="63"/>
      <c r="V130" s="370"/>
      <c r="W130" s="63"/>
      <c r="X130" s="320"/>
      <c r="Y130" s="320"/>
      <c r="Z130" s="320"/>
      <c r="AA130" s="320"/>
    </row>
    <row r="131" spans="1:27" s="300" customFormat="1">
      <c r="A131" s="317" t="s">
        <v>1769</v>
      </c>
      <c r="B131" s="318" t="s">
        <v>1574</v>
      </c>
      <c r="C131" s="63">
        <f t="shared" si="7"/>
        <v>2599.8739999999998</v>
      </c>
      <c r="D131" s="319"/>
      <c r="E131" s="370">
        <v>2599.8739999999998</v>
      </c>
      <c r="F131" s="370"/>
      <c r="G131" s="370"/>
      <c r="H131" s="63"/>
      <c r="I131" s="63"/>
      <c r="J131" s="63">
        <f t="shared" si="6"/>
        <v>0</v>
      </c>
      <c r="K131" s="63"/>
      <c r="L131" s="63"/>
      <c r="M131" s="63"/>
      <c r="N131" s="63"/>
      <c r="O131" s="370">
        <v>2558.817</v>
      </c>
      <c r="P131" s="370"/>
      <c r="Q131" s="370"/>
      <c r="R131" s="63"/>
      <c r="S131" s="63"/>
      <c r="T131" s="63"/>
      <c r="U131" s="63"/>
      <c r="V131" s="370"/>
      <c r="W131" s="63"/>
      <c r="X131" s="320"/>
      <c r="Y131" s="320"/>
      <c r="Z131" s="320"/>
      <c r="AA131" s="320"/>
    </row>
    <row r="132" spans="1:27" s="300" customFormat="1">
      <c r="A132" s="317" t="s">
        <v>1770</v>
      </c>
      <c r="B132" s="318" t="s">
        <v>1544</v>
      </c>
      <c r="C132" s="63">
        <f t="shared" si="7"/>
        <v>25.2</v>
      </c>
      <c r="D132" s="319"/>
      <c r="E132" s="370">
        <v>25.2</v>
      </c>
      <c r="F132" s="370"/>
      <c r="G132" s="370"/>
      <c r="H132" s="63"/>
      <c r="I132" s="63"/>
      <c r="J132" s="63">
        <f t="shared" si="6"/>
        <v>0</v>
      </c>
      <c r="K132" s="63"/>
      <c r="L132" s="63"/>
      <c r="M132" s="63"/>
      <c r="N132" s="63"/>
      <c r="O132" s="370">
        <v>25.2</v>
      </c>
      <c r="P132" s="370"/>
      <c r="Q132" s="370"/>
      <c r="R132" s="63"/>
      <c r="S132" s="63"/>
      <c r="T132" s="63"/>
      <c r="U132" s="63"/>
      <c r="V132" s="370"/>
      <c r="W132" s="63"/>
      <c r="X132" s="320"/>
      <c r="Y132" s="320"/>
      <c r="Z132" s="320"/>
      <c r="AA132" s="320"/>
    </row>
    <row r="133" spans="1:27" s="300" customFormat="1">
      <c r="A133" s="317" t="s">
        <v>1771</v>
      </c>
      <c r="B133" s="318" t="s">
        <v>1524</v>
      </c>
      <c r="C133" s="63">
        <f t="shared" si="7"/>
        <v>355</v>
      </c>
      <c r="D133" s="319"/>
      <c r="E133" s="370">
        <v>355</v>
      </c>
      <c r="F133" s="370"/>
      <c r="G133" s="370"/>
      <c r="H133" s="63"/>
      <c r="I133" s="63"/>
      <c r="J133" s="63">
        <f t="shared" si="6"/>
        <v>0</v>
      </c>
      <c r="K133" s="63"/>
      <c r="L133" s="63"/>
      <c r="M133" s="63"/>
      <c r="N133" s="63"/>
      <c r="O133" s="370">
        <v>355</v>
      </c>
      <c r="P133" s="370"/>
      <c r="Q133" s="370"/>
      <c r="R133" s="63"/>
      <c r="S133" s="63"/>
      <c r="T133" s="63"/>
      <c r="U133" s="63"/>
      <c r="V133" s="370"/>
      <c r="W133" s="63"/>
      <c r="X133" s="320"/>
      <c r="Y133" s="320"/>
      <c r="Z133" s="320"/>
      <c r="AA133" s="320"/>
    </row>
    <row r="134" spans="1:27" s="300" customFormat="1">
      <c r="A134" s="317" t="s">
        <v>1772</v>
      </c>
      <c r="B134" s="318" t="s">
        <v>1650</v>
      </c>
      <c r="C134" s="63">
        <f t="shared" si="7"/>
        <v>4825</v>
      </c>
      <c r="D134" s="319"/>
      <c r="E134" s="370">
        <v>4825</v>
      </c>
      <c r="F134" s="370"/>
      <c r="G134" s="370"/>
      <c r="H134" s="63"/>
      <c r="I134" s="63"/>
      <c r="J134" s="63">
        <f t="shared" si="6"/>
        <v>0</v>
      </c>
      <c r="K134" s="63"/>
      <c r="L134" s="63"/>
      <c r="M134" s="63"/>
      <c r="N134" s="63"/>
      <c r="O134" s="370">
        <v>4821.7601999999997</v>
      </c>
      <c r="P134" s="370"/>
      <c r="Q134" s="370"/>
      <c r="R134" s="63"/>
      <c r="S134" s="63"/>
      <c r="T134" s="63"/>
      <c r="U134" s="63"/>
      <c r="V134" s="370"/>
      <c r="W134" s="63"/>
      <c r="X134" s="320"/>
      <c r="Y134" s="320"/>
      <c r="Z134" s="320"/>
      <c r="AA134" s="320"/>
    </row>
    <row r="135" spans="1:27" s="300" customFormat="1">
      <c r="A135" s="317" t="s">
        <v>1773</v>
      </c>
      <c r="B135" s="318" t="s">
        <v>1665</v>
      </c>
      <c r="C135" s="63">
        <f t="shared" si="7"/>
        <v>20</v>
      </c>
      <c r="D135" s="319"/>
      <c r="E135" s="370">
        <v>20</v>
      </c>
      <c r="F135" s="370"/>
      <c r="G135" s="370"/>
      <c r="H135" s="63"/>
      <c r="I135" s="63"/>
      <c r="J135" s="63">
        <f t="shared" si="6"/>
        <v>0</v>
      </c>
      <c r="K135" s="63"/>
      <c r="L135" s="63"/>
      <c r="M135" s="63"/>
      <c r="N135" s="63"/>
      <c r="O135" s="370">
        <v>20</v>
      </c>
      <c r="P135" s="370"/>
      <c r="Q135" s="370"/>
      <c r="R135" s="63"/>
      <c r="S135" s="63"/>
      <c r="T135" s="63"/>
      <c r="U135" s="63"/>
      <c r="V135" s="370"/>
      <c r="W135" s="63"/>
      <c r="X135" s="320"/>
      <c r="Y135" s="320"/>
      <c r="Z135" s="320"/>
      <c r="AA135" s="320"/>
    </row>
    <row r="136" spans="1:27" s="300" customFormat="1" ht="31.2">
      <c r="A136" s="317" t="s">
        <v>1774</v>
      </c>
      <c r="B136" s="318" t="s">
        <v>1502</v>
      </c>
      <c r="C136" s="63">
        <f t="shared" si="7"/>
        <v>252</v>
      </c>
      <c r="D136" s="319"/>
      <c r="E136" s="370">
        <v>252</v>
      </c>
      <c r="F136" s="370"/>
      <c r="G136" s="370"/>
      <c r="H136" s="63"/>
      <c r="I136" s="63"/>
      <c r="J136" s="63">
        <f t="shared" si="6"/>
        <v>0</v>
      </c>
      <c r="K136" s="63"/>
      <c r="L136" s="63"/>
      <c r="M136" s="63"/>
      <c r="N136" s="63"/>
      <c r="O136" s="370">
        <v>179.37970000000001</v>
      </c>
      <c r="P136" s="370"/>
      <c r="Q136" s="370"/>
      <c r="R136" s="63"/>
      <c r="S136" s="63"/>
      <c r="T136" s="63"/>
      <c r="U136" s="63"/>
      <c r="V136" s="370"/>
      <c r="W136" s="63"/>
      <c r="X136" s="320"/>
      <c r="Y136" s="320"/>
      <c r="Z136" s="320"/>
      <c r="AA136" s="320"/>
    </row>
    <row r="137" spans="1:27" s="300" customFormat="1">
      <c r="A137" s="317" t="s">
        <v>1775</v>
      </c>
      <c r="B137" s="318" t="s">
        <v>1647</v>
      </c>
      <c r="C137" s="63">
        <f t="shared" si="7"/>
        <v>283</v>
      </c>
      <c r="D137" s="319"/>
      <c r="E137" s="370">
        <v>283</v>
      </c>
      <c r="F137" s="370"/>
      <c r="G137" s="370"/>
      <c r="H137" s="63"/>
      <c r="I137" s="63"/>
      <c r="J137" s="63">
        <f t="shared" si="6"/>
        <v>0</v>
      </c>
      <c r="K137" s="63"/>
      <c r="L137" s="63"/>
      <c r="M137" s="63"/>
      <c r="N137" s="63"/>
      <c r="O137" s="370">
        <v>283</v>
      </c>
      <c r="P137" s="370"/>
      <c r="Q137" s="370"/>
      <c r="R137" s="63"/>
      <c r="S137" s="63"/>
      <c r="T137" s="63"/>
      <c r="U137" s="63"/>
      <c r="V137" s="370"/>
      <c r="W137" s="63"/>
      <c r="X137" s="320"/>
      <c r="Y137" s="320"/>
      <c r="Z137" s="320"/>
      <c r="AA137" s="320"/>
    </row>
    <row r="138" spans="1:27" s="300" customFormat="1">
      <c r="A138" s="317" t="s">
        <v>1776</v>
      </c>
      <c r="B138" s="318" t="s">
        <v>1517</v>
      </c>
      <c r="C138" s="63">
        <f t="shared" si="7"/>
        <v>5536.19</v>
      </c>
      <c r="D138" s="319"/>
      <c r="E138" s="370">
        <v>5536.19</v>
      </c>
      <c r="F138" s="370"/>
      <c r="G138" s="370"/>
      <c r="H138" s="63"/>
      <c r="I138" s="63"/>
      <c r="J138" s="63">
        <f t="shared" si="6"/>
        <v>100</v>
      </c>
      <c r="K138" s="63"/>
      <c r="L138" s="370">
        <v>100</v>
      </c>
      <c r="M138" s="63"/>
      <c r="N138" s="63"/>
      <c r="O138" s="370">
        <v>5536.19</v>
      </c>
      <c r="P138" s="370"/>
      <c r="Q138" s="370"/>
      <c r="R138" s="63"/>
      <c r="S138" s="63"/>
      <c r="T138" s="63"/>
      <c r="U138" s="63"/>
      <c r="V138" s="370">
        <v>100</v>
      </c>
      <c r="W138" s="63"/>
      <c r="X138" s="320"/>
      <c r="Y138" s="320"/>
      <c r="Z138" s="320"/>
      <c r="AA138" s="320"/>
    </row>
    <row r="139" spans="1:27" s="300" customFormat="1">
      <c r="A139" s="317" t="s">
        <v>1777</v>
      </c>
      <c r="B139" s="318" t="s">
        <v>1549</v>
      </c>
      <c r="C139" s="63">
        <f t="shared" si="7"/>
        <v>96</v>
      </c>
      <c r="D139" s="319"/>
      <c r="E139" s="370">
        <v>96</v>
      </c>
      <c r="F139" s="370"/>
      <c r="G139" s="370"/>
      <c r="H139" s="63"/>
      <c r="I139" s="63"/>
      <c r="J139" s="63">
        <f t="shared" si="6"/>
        <v>0</v>
      </c>
      <c r="K139" s="63"/>
      <c r="L139" s="63"/>
      <c r="M139" s="63"/>
      <c r="N139" s="63"/>
      <c r="O139" s="370">
        <v>96</v>
      </c>
      <c r="P139" s="370"/>
      <c r="Q139" s="370"/>
      <c r="R139" s="63"/>
      <c r="S139" s="63"/>
      <c r="T139" s="63"/>
      <c r="U139" s="63"/>
      <c r="V139" s="370"/>
      <c r="W139" s="63"/>
      <c r="X139" s="320"/>
      <c r="Y139" s="320"/>
      <c r="Z139" s="320"/>
      <c r="AA139" s="320"/>
    </row>
    <row r="140" spans="1:27" s="300" customFormat="1">
      <c r="A140" s="317" t="s">
        <v>1778</v>
      </c>
      <c r="B140" s="318" t="s">
        <v>1545</v>
      </c>
      <c r="C140" s="63">
        <f t="shared" si="7"/>
        <v>425.7</v>
      </c>
      <c r="D140" s="319"/>
      <c r="E140" s="370">
        <v>425.7</v>
      </c>
      <c r="F140" s="370"/>
      <c r="G140" s="370"/>
      <c r="H140" s="63"/>
      <c r="I140" s="63"/>
      <c r="J140" s="63">
        <f t="shared" si="6"/>
        <v>0</v>
      </c>
      <c r="K140" s="63"/>
      <c r="L140" s="63"/>
      <c r="M140" s="63"/>
      <c r="N140" s="63"/>
      <c r="O140" s="370">
        <v>425.7</v>
      </c>
      <c r="P140" s="370"/>
      <c r="Q140" s="370"/>
      <c r="R140" s="63"/>
      <c r="S140" s="63"/>
      <c r="T140" s="63"/>
      <c r="U140" s="63"/>
      <c r="V140" s="370"/>
      <c r="W140" s="63"/>
      <c r="X140" s="320"/>
      <c r="Y140" s="320"/>
      <c r="Z140" s="320"/>
      <c r="AA140" s="320"/>
    </row>
    <row r="141" spans="1:27" s="300" customFormat="1">
      <c r="A141" s="317" t="s">
        <v>1779</v>
      </c>
      <c r="B141" s="318" t="s">
        <v>1906</v>
      </c>
      <c r="C141" s="63">
        <f t="shared" si="7"/>
        <v>426</v>
      </c>
      <c r="D141" s="319"/>
      <c r="E141" s="370">
        <v>426</v>
      </c>
      <c r="F141" s="370"/>
      <c r="G141" s="370"/>
      <c r="H141" s="63"/>
      <c r="I141" s="63"/>
      <c r="J141" s="63">
        <f t="shared" si="6"/>
        <v>0</v>
      </c>
      <c r="K141" s="63"/>
      <c r="L141" s="63"/>
      <c r="M141" s="63"/>
      <c r="N141" s="63"/>
      <c r="O141" s="370">
        <v>426</v>
      </c>
      <c r="P141" s="370"/>
      <c r="Q141" s="370"/>
      <c r="R141" s="63"/>
      <c r="S141" s="63"/>
      <c r="T141" s="63"/>
      <c r="U141" s="63"/>
      <c r="V141" s="370"/>
      <c r="W141" s="63"/>
      <c r="X141" s="320"/>
      <c r="Y141" s="320"/>
      <c r="Z141" s="320"/>
      <c r="AA141" s="320"/>
    </row>
    <row r="142" spans="1:27" s="300" customFormat="1">
      <c r="A142" s="317" t="s">
        <v>1780</v>
      </c>
      <c r="B142" s="318" t="s">
        <v>486</v>
      </c>
      <c r="C142" s="63">
        <f t="shared" si="7"/>
        <v>1027</v>
      </c>
      <c r="D142" s="319"/>
      <c r="E142" s="370">
        <v>1027</v>
      </c>
      <c r="F142" s="370"/>
      <c r="G142" s="370"/>
      <c r="H142" s="63"/>
      <c r="I142" s="63"/>
      <c r="J142" s="63">
        <f t="shared" ref="J142:J205" si="8">K142+L142</f>
        <v>0</v>
      </c>
      <c r="K142" s="63"/>
      <c r="L142" s="63"/>
      <c r="M142" s="63"/>
      <c r="N142" s="63"/>
      <c r="O142" s="370">
        <v>932.86883399999999</v>
      </c>
      <c r="P142" s="370"/>
      <c r="Q142" s="370"/>
      <c r="R142" s="63"/>
      <c r="S142" s="63"/>
      <c r="T142" s="63"/>
      <c r="U142" s="63"/>
      <c r="V142" s="370"/>
      <c r="W142" s="63"/>
      <c r="X142" s="320"/>
      <c r="Y142" s="320"/>
      <c r="Z142" s="320"/>
      <c r="AA142" s="320"/>
    </row>
    <row r="143" spans="1:27" s="300" customFormat="1">
      <c r="A143" s="317" t="s">
        <v>1781</v>
      </c>
      <c r="B143" s="318" t="s">
        <v>1510</v>
      </c>
      <c r="C143" s="63">
        <f t="shared" ref="C143:C206" si="9">D143+E143</f>
        <v>5937.2660000000005</v>
      </c>
      <c r="D143" s="319"/>
      <c r="E143" s="370">
        <f>4843.461+1093.805</f>
        <v>5937.2660000000005</v>
      </c>
      <c r="F143" s="370"/>
      <c r="G143" s="370"/>
      <c r="H143" s="63"/>
      <c r="I143" s="63"/>
      <c r="J143" s="63">
        <f t="shared" si="8"/>
        <v>100</v>
      </c>
      <c r="K143" s="63"/>
      <c r="L143" s="370">
        <v>100</v>
      </c>
      <c r="M143" s="63"/>
      <c r="N143" s="63"/>
      <c r="O143" s="370">
        <f>4600.346979+1093.805</f>
        <v>5694.1519790000002</v>
      </c>
      <c r="P143" s="370"/>
      <c r="Q143" s="370"/>
      <c r="R143" s="63"/>
      <c r="S143" s="63"/>
      <c r="T143" s="63"/>
      <c r="U143" s="63"/>
      <c r="V143" s="370">
        <v>99.993799999999993</v>
      </c>
      <c r="W143" s="63"/>
      <c r="X143" s="320"/>
      <c r="Y143" s="320"/>
      <c r="Z143" s="320"/>
      <c r="AA143" s="320"/>
    </row>
    <row r="144" spans="1:27" s="300" customFormat="1" ht="31.2">
      <c r="A144" s="317" t="s">
        <v>1782</v>
      </c>
      <c r="B144" s="318" t="s">
        <v>1976</v>
      </c>
      <c r="C144" s="63">
        <f t="shared" si="9"/>
        <v>20</v>
      </c>
      <c r="D144" s="319"/>
      <c r="E144" s="370">
        <v>20</v>
      </c>
      <c r="F144" s="370"/>
      <c r="G144" s="370"/>
      <c r="H144" s="63"/>
      <c r="I144" s="63"/>
      <c r="J144" s="63">
        <f t="shared" si="8"/>
        <v>0</v>
      </c>
      <c r="K144" s="63"/>
      <c r="L144" s="63"/>
      <c r="M144" s="63"/>
      <c r="N144" s="63"/>
      <c r="O144" s="370">
        <v>20</v>
      </c>
      <c r="P144" s="370"/>
      <c r="Q144" s="370"/>
      <c r="R144" s="63"/>
      <c r="S144" s="63"/>
      <c r="T144" s="63"/>
      <c r="U144" s="63"/>
      <c r="V144" s="370"/>
      <c r="W144" s="63"/>
      <c r="X144" s="320"/>
      <c r="Y144" s="320"/>
      <c r="Z144" s="320"/>
      <c r="AA144" s="320"/>
    </row>
    <row r="145" spans="1:27" s="300" customFormat="1">
      <c r="A145" s="317" t="s">
        <v>1783</v>
      </c>
      <c r="B145" s="318" t="s">
        <v>1487</v>
      </c>
      <c r="C145" s="63">
        <f t="shared" si="9"/>
        <v>1383.0716970000001</v>
      </c>
      <c r="D145" s="319"/>
      <c r="E145" s="370">
        <v>1383.0716970000001</v>
      </c>
      <c r="F145" s="370"/>
      <c r="G145" s="370"/>
      <c r="H145" s="63"/>
      <c r="I145" s="63"/>
      <c r="J145" s="63">
        <f t="shared" si="8"/>
        <v>0</v>
      </c>
      <c r="K145" s="63"/>
      <c r="L145" s="63"/>
      <c r="M145" s="63"/>
      <c r="N145" s="63"/>
      <c r="O145" s="370">
        <v>1161.7524969999999</v>
      </c>
      <c r="P145" s="370"/>
      <c r="Q145" s="370"/>
      <c r="R145" s="63"/>
      <c r="S145" s="63"/>
      <c r="T145" s="63"/>
      <c r="U145" s="63"/>
      <c r="V145" s="370"/>
      <c r="W145" s="63"/>
      <c r="X145" s="320"/>
      <c r="Y145" s="320"/>
      <c r="Z145" s="320"/>
      <c r="AA145" s="320"/>
    </row>
    <row r="146" spans="1:27" s="406" customFormat="1">
      <c r="A146" s="317" t="s">
        <v>1784</v>
      </c>
      <c r="B146" s="379" t="s">
        <v>2034</v>
      </c>
      <c r="C146" s="63">
        <f t="shared" si="9"/>
        <v>30</v>
      </c>
      <c r="D146" s="381"/>
      <c r="E146" s="382">
        <v>30</v>
      </c>
      <c r="F146" s="382"/>
      <c r="G146" s="382"/>
      <c r="H146" s="380"/>
      <c r="I146" s="380"/>
      <c r="J146" s="63">
        <f t="shared" si="8"/>
        <v>0</v>
      </c>
      <c r="K146" s="380"/>
      <c r="L146" s="380"/>
      <c r="M146" s="380"/>
      <c r="N146" s="380"/>
      <c r="O146" s="382">
        <v>30</v>
      </c>
      <c r="P146" s="382"/>
      <c r="Q146" s="382"/>
      <c r="R146" s="380"/>
      <c r="S146" s="380"/>
      <c r="T146" s="380"/>
      <c r="U146" s="380"/>
      <c r="V146" s="382"/>
      <c r="W146" s="380"/>
      <c r="X146" s="383"/>
      <c r="Y146" s="383"/>
      <c r="Z146" s="383"/>
      <c r="AA146" s="383"/>
    </row>
    <row r="147" spans="1:27" s="300" customFormat="1">
      <c r="A147" s="317" t="s">
        <v>1785</v>
      </c>
      <c r="B147" s="318" t="s">
        <v>1540</v>
      </c>
      <c r="C147" s="63">
        <f t="shared" si="9"/>
        <v>1608.8</v>
      </c>
      <c r="D147" s="70"/>
      <c r="E147" s="370">
        <v>1608.8</v>
      </c>
      <c r="F147" s="370"/>
      <c r="G147" s="370"/>
      <c r="H147" s="63"/>
      <c r="I147" s="63"/>
      <c r="J147" s="63">
        <f t="shared" si="8"/>
        <v>0</v>
      </c>
      <c r="K147" s="63"/>
      <c r="L147" s="63"/>
      <c r="M147" s="63"/>
      <c r="N147" s="70"/>
      <c r="O147" s="370">
        <v>1608.6966179999999</v>
      </c>
      <c r="P147" s="370"/>
      <c r="Q147" s="370"/>
      <c r="R147" s="63"/>
      <c r="S147" s="63"/>
      <c r="T147" s="63"/>
      <c r="U147" s="63"/>
      <c r="V147" s="370"/>
      <c r="W147" s="63"/>
      <c r="X147" s="320"/>
      <c r="Y147" s="320"/>
      <c r="Z147" s="320"/>
      <c r="AA147" s="320"/>
    </row>
    <row r="148" spans="1:27" s="300" customFormat="1">
      <c r="A148" s="317" t="s">
        <v>1786</v>
      </c>
      <c r="B148" s="318" t="s">
        <v>1615</v>
      </c>
      <c r="C148" s="63">
        <f t="shared" si="9"/>
        <v>2029.45</v>
      </c>
      <c r="D148" s="70">
        <v>0</v>
      </c>
      <c r="E148" s="370">
        <v>2029.45</v>
      </c>
      <c r="F148" s="370"/>
      <c r="G148" s="370"/>
      <c r="H148" s="63"/>
      <c r="I148" s="63"/>
      <c r="J148" s="63">
        <f t="shared" si="8"/>
        <v>310</v>
      </c>
      <c r="K148" s="63"/>
      <c r="L148" s="370">
        <v>310</v>
      </c>
      <c r="M148" s="63"/>
      <c r="N148" s="70"/>
      <c r="O148" s="370">
        <v>1554.731096</v>
      </c>
      <c r="P148" s="370"/>
      <c r="Q148" s="370"/>
      <c r="R148" s="63"/>
      <c r="S148" s="63"/>
      <c r="T148" s="63"/>
      <c r="U148" s="63"/>
      <c r="V148" s="370">
        <v>302.64499999999998</v>
      </c>
      <c r="W148" s="63"/>
      <c r="X148" s="320"/>
      <c r="Y148" s="320"/>
      <c r="Z148" s="320"/>
      <c r="AA148" s="320"/>
    </row>
    <row r="149" spans="1:27" s="300" customFormat="1">
      <c r="A149" s="317" t="s">
        <v>1787</v>
      </c>
      <c r="B149" s="318" t="s">
        <v>1543</v>
      </c>
      <c r="C149" s="63">
        <f t="shared" si="9"/>
        <v>230</v>
      </c>
      <c r="D149" s="319"/>
      <c r="E149" s="370">
        <v>230</v>
      </c>
      <c r="F149" s="370"/>
      <c r="G149" s="370"/>
      <c r="H149" s="63"/>
      <c r="I149" s="63"/>
      <c r="J149" s="63">
        <f t="shared" si="8"/>
        <v>0</v>
      </c>
      <c r="K149" s="63"/>
      <c r="L149" s="63"/>
      <c r="M149" s="63"/>
      <c r="N149" s="63"/>
      <c r="O149" s="370">
        <v>230</v>
      </c>
      <c r="P149" s="370"/>
      <c r="Q149" s="370"/>
      <c r="R149" s="63"/>
      <c r="S149" s="63"/>
      <c r="T149" s="63"/>
      <c r="U149" s="63"/>
      <c r="V149" s="370"/>
      <c r="W149" s="63"/>
      <c r="X149" s="320"/>
      <c r="Y149" s="320"/>
      <c r="Z149" s="320"/>
      <c r="AA149" s="320"/>
    </row>
    <row r="150" spans="1:27" s="47" customFormat="1" ht="31.2">
      <c r="A150" s="317" t="s">
        <v>1788</v>
      </c>
      <c r="B150" s="318" t="s">
        <v>1679</v>
      </c>
      <c r="C150" s="63">
        <f t="shared" si="9"/>
        <v>4103.2330000000002</v>
      </c>
      <c r="D150" s="319"/>
      <c r="E150" s="399">
        <v>4103.2330000000002</v>
      </c>
      <c r="F150" s="399"/>
      <c r="G150" s="399"/>
      <c r="H150" s="329"/>
      <c r="I150" s="329"/>
      <c r="J150" s="63">
        <f t="shared" si="8"/>
        <v>0</v>
      </c>
      <c r="K150" s="329"/>
      <c r="L150" s="329"/>
      <c r="M150" s="63"/>
      <c r="N150" s="329"/>
      <c r="O150" s="399">
        <v>4048.9944999999998</v>
      </c>
      <c r="P150" s="399"/>
      <c r="Q150" s="399"/>
      <c r="R150" s="329"/>
      <c r="S150" s="329"/>
      <c r="T150" s="329"/>
      <c r="U150" s="329"/>
      <c r="V150" s="399"/>
      <c r="W150" s="329">
        <v>16.232500000000002</v>
      </c>
      <c r="X150" s="330"/>
      <c r="Y150" s="330"/>
      <c r="Z150" s="330"/>
      <c r="AA150" s="330"/>
    </row>
    <row r="151" spans="1:27" s="300" customFormat="1" ht="31.2">
      <c r="A151" s="317" t="s">
        <v>1789</v>
      </c>
      <c r="B151" s="318" t="s">
        <v>1977</v>
      </c>
      <c r="C151" s="63">
        <f t="shared" si="9"/>
        <v>2549.826</v>
      </c>
      <c r="D151" s="319"/>
      <c r="E151" s="370">
        <v>2549.826</v>
      </c>
      <c r="F151" s="370"/>
      <c r="G151" s="370"/>
      <c r="H151" s="63"/>
      <c r="I151" s="63"/>
      <c r="J151" s="63">
        <f t="shared" si="8"/>
        <v>0</v>
      </c>
      <c r="K151" s="63"/>
      <c r="L151" s="63"/>
      <c r="M151" s="63"/>
      <c r="N151" s="63"/>
      <c r="O151" s="370">
        <v>2502.8139999999999</v>
      </c>
      <c r="P151" s="370"/>
      <c r="Q151" s="370"/>
      <c r="R151" s="63"/>
      <c r="S151" s="63"/>
      <c r="T151" s="63"/>
      <c r="U151" s="63"/>
      <c r="V151" s="370"/>
      <c r="W151" s="63">
        <v>42.02</v>
      </c>
      <c r="X151" s="320"/>
      <c r="Y151" s="320"/>
      <c r="Z151" s="320"/>
      <c r="AA151" s="320"/>
    </row>
    <row r="152" spans="1:27" s="300" customFormat="1" ht="31.2">
      <c r="A152" s="317" t="s">
        <v>1790</v>
      </c>
      <c r="B152" s="318" t="s">
        <v>1978</v>
      </c>
      <c r="C152" s="63">
        <f t="shared" si="9"/>
        <v>3474.2</v>
      </c>
      <c r="D152" s="319"/>
      <c r="E152" s="370">
        <v>3474.2</v>
      </c>
      <c r="F152" s="370"/>
      <c r="G152" s="370"/>
      <c r="H152" s="63"/>
      <c r="I152" s="63"/>
      <c r="J152" s="63">
        <f t="shared" si="8"/>
        <v>0</v>
      </c>
      <c r="K152" s="63"/>
      <c r="L152" s="63"/>
      <c r="M152" s="63"/>
      <c r="N152" s="63"/>
      <c r="O152" s="370">
        <v>3440.4958849999998</v>
      </c>
      <c r="P152" s="370"/>
      <c r="Q152" s="370"/>
      <c r="R152" s="63"/>
      <c r="S152" s="63"/>
      <c r="T152" s="63"/>
      <c r="U152" s="63"/>
      <c r="V152" s="370"/>
      <c r="W152" s="63">
        <v>11.098615000000001</v>
      </c>
      <c r="X152" s="320"/>
      <c r="Y152" s="320"/>
      <c r="Z152" s="320"/>
      <c r="AA152" s="320"/>
    </row>
    <row r="153" spans="1:27" s="300" customFormat="1">
      <c r="A153" s="317" t="s">
        <v>1791</v>
      </c>
      <c r="B153" s="318" t="s">
        <v>1674</v>
      </c>
      <c r="C153" s="63">
        <f t="shared" si="9"/>
        <v>477</v>
      </c>
      <c r="D153" s="319"/>
      <c r="E153" s="370">
        <v>477</v>
      </c>
      <c r="F153" s="370"/>
      <c r="G153" s="370"/>
      <c r="H153" s="63"/>
      <c r="I153" s="63"/>
      <c r="J153" s="63">
        <f t="shared" si="8"/>
        <v>0</v>
      </c>
      <c r="K153" s="63"/>
      <c r="L153" s="63"/>
      <c r="M153" s="63"/>
      <c r="N153" s="63"/>
      <c r="O153" s="370">
        <v>417</v>
      </c>
      <c r="P153" s="370"/>
      <c r="Q153" s="370"/>
      <c r="R153" s="63"/>
      <c r="S153" s="63"/>
      <c r="T153" s="63"/>
      <c r="U153" s="63"/>
      <c r="V153" s="370"/>
      <c r="W153" s="63"/>
      <c r="X153" s="320"/>
      <c r="Y153" s="320"/>
      <c r="Z153" s="320"/>
      <c r="AA153" s="320"/>
    </row>
    <row r="154" spans="1:27" s="300" customFormat="1">
      <c r="A154" s="317" t="s">
        <v>1792</v>
      </c>
      <c r="B154" s="318" t="s">
        <v>1979</v>
      </c>
      <c r="C154" s="63">
        <f t="shared" si="9"/>
        <v>4707.6000000000004</v>
      </c>
      <c r="D154" s="319"/>
      <c r="E154" s="370">
        <v>4707.6000000000004</v>
      </c>
      <c r="F154" s="370"/>
      <c r="G154" s="370"/>
      <c r="H154" s="63"/>
      <c r="I154" s="63"/>
      <c r="J154" s="63">
        <f t="shared" si="8"/>
        <v>0</v>
      </c>
      <c r="K154" s="63"/>
      <c r="L154" s="63"/>
      <c r="M154" s="63"/>
      <c r="N154" s="63"/>
      <c r="O154" s="370">
        <v>4387.93</v>
      </c>
      <c r="P154" s="370"/>
      <c r="Q154" s="370"/>
      <c r="R154" s="63"/>
      <c r="S154" s="63"/>
      <c r="T154" s="63"/>
      <c r="U154" s="63"/>
      <c r="V154" s="370"/>
      <c r="W154" s="63">
        <v>250</v>
      </c>
      <c r="X154" s="320"/>
      <c r="Y154" s="320"/>
      <c r="Z154" s="320"/>
      <c r="AA154" s="320"/>
    </row>
    <row r="155" spans="1:27" s="300" customFormat="1">
      <c r="A155" s="317" t="s">
        <v>1793</v>
      </c>
      <c r="B155" s="318" t="s">
        <v>476</v>
      </c>
      <c r="C155" s="63">
        <f t="shared" si="9"/>
        <v>7235</v>
      </c>
      <c r="D155" s="319"/>
      <c r="E155" s="370">
        <v>7235</v>
      </c>
      <c r="F155" s="370"/>
      <c r="G155" s="370"/>
      <c r="H155" s="63"/>
      <c r="I155" s="63"/>
      <c r="J155" s="63">
        <f t="shared" si="8"/>
        <v>0</v>
      </c>
      <c r="K155" s="63"/>
      <c r="L155" s="63"/>
      <c r="M155" s="63"/>
      <c r="N155" s="63"/>
      <c r="O155" s="370">
        <v>7102.6887699999997</v>
      </c>
      <c r="P155" s="370"/>
      <c r="Q155" s="370"/>
      <c r="R155" s="63"/>
      <c r="S155" s="63"/>
      <c r="T155" s="63"/>
      <c r="U155" s="63"/>
      <c r="V155" s="370"/>
      <c r="W155" s="63">
        <v>106.26</v>
      </c>
      <c r="X155" s="320"/>
      <c r="Y155" s="320"/>
      <c r="Z155" s="320"/>
      <c r="AA155" s="320"/>
    </row>
    <row r="156" spans="1:27" s="300" customFormat="1">
      <c r="A156" s="317" t="s">
        <v>1794</v>
      </c>
      <c r="B156" s="318" t="s">
        <v>1980</v>
      </c>
      <c r="C156" s="63">
        <f t="shared" si="9"/>
        <v>1274.45856</v>
      </c>
      <c r="D156" s="319"/>
      <c r="E156" s="370">
        <v>1274.45856</v>
      </c>
      <c r="F156" s="370"/>
      <c r="G156" s="370"/>
      <c r="H156" s="63"/>
      <c r="I156" s="63"/>
      <c r="J156" s="63">
        <f t="shared" si="8"/>
        <v>0</v>
      </c>
      <c r="K156" s="63"/>
      <c r="L156" s="63"/>
      <c r="M156" s="63"/>
      <c r="N156" s="63"/>
      <c r="O156" s="370">
        <v>1274.45856</v>
      </c>
      <c r="P156" s="370"/>
      <c r="Q156" s="370"/>
      <c r="R156" s="63"/>
      <c r="S156" s="63"/>
      <c r="T156" s="63"/>
      <c r="U156" s="63"/>
      <c r="V156" s="370"/>
      <c r="W156" s="63"/>
      <c r="X156" s="320"/>
      <c r="Y156" s="320"/>
      <c r="Z156" s="320"/>
      <c r="AA156" s="320"/>
    </row>
    <row r="157" spans="1:27" s="300" customFormat="1">
      <c r="A157" s="317" t="s">
        <v>1795</v>
      </c>
      <c r="B157" s="318" t="s">
        <v>1511</v>
      </c>
      <c r="C157" s="63">
        <f t="shared" si="9"/>
        <v>5388.4970000000003</v>
      </c>
      <c r="D157" s="70"/>
      <c r="E157" s="370">
        <v>5388.4970000000003</v>
      </c>
      <c r="F157" s="370"/>
      <c r="G157" s="370"/>
      <c r="H157" s="63"/>
      <c r="I157" s="63"/>
      <c r="J157" s="63">
        <f t="shared" si="8"/>
        <v>0</v>
      </c>
      <c r="K157" s="63"/>
      <c r="L157" s="63"/>
      <c r="M157" s="63"/>
      <c r="N157" s="70"/>
      <c r="O157" s="370">
        <v>5388.4970000000003</v>
      </c>
      <c r="P157" s="370"/>
      <c r="Q157" s="370"/>
      <c r="R157" s="63"/>
      <c r="S157" s="63"/>
      <c r="T157" s="63"/>
      <c r="U157" s="63"/>
      <c r="V157" s="370"/>
      <c r="W157" s="63"/>
      <c r="X157" s="320"/>
      <c r="Y157" s="320"/>
      <c r="Z157" s="320"/>
      <c r="AA157" s="320"/>
    </row>
    <row r="158" spans="1:27" s="300" customFormat="1">
      <c r="A158" s="317" t="s">
        <v>1796</v>
      </c>
      <c r="B158" s="318" t="s">
        <v>1981</v>
      </c>
      <c r="C158" s="63">
        <f t="shared" si="9"/>
        <v>225</v>
      </c>
      <c r="D158" s="319"/>
      <c r="E158" s="370">
        <v>225</v>
      </c>
      <c r="F158" s="370"/>
      <c r="G158" s="370"/>
      <c r="H158" s="63"/>
      <c r="I158" s="63"/>
      <c r="J158" s="63">
        <f t="shared" si="8"/>
        <v>0</v>
      </c>
      <c r="K158" s="63"/>
      <c r="L158" s="63"/>
      <c r="M158" s="63"/>
      <c r="N158" s="63"/>
      <c r="O158" s="370">
        <v>225</v>
      </c>
      <c r="P158" s="370"/>
      <c r="Q158" s="370"/>
      <c r="R158" s="63"/>
      <c r="S158" s="63"/>
      <c r="T158" s="63"/>
      <c r="U158" s="63"/>
      <c r="V158" s="370"/>
      <c r="W158" s="63"/>
      <c r="X158" s="320"/>
      <c r="Y158" s="320"/>
      <c r="Z158" s="320"/>
      <c r="AA158" s="320"/>
    </row>
    <row r="159" spans="1:27" s="300" customFormat="1">
      <c r="A159" s="317" t="s">
        <v>1797</v>
      </c>
      <c r="B159" s="318" t="s">
        <v>1982</v>
      </c>
      <c r="C159" s="63">
        <f t="shared" si="9"/>
        <v>10037.663</v>
      </c>
      <c r="D159" s="319"/>
      <c r="E159" s="370">
        <v>10037.663</v>
      </c>
      <c r="F159" s="370"/>
      <c r="G159" s="370"/>
      <c r="H159" s="63"/>
      <c r="I159" s="63"/>
      <c r="J159" s="63">
        <f t="shared" si="8"/>
        <v>0</v>
      </c>
      <c r="K159" s="63"/>
      <c r="L159" s="63"/>
      <c r="M159" s="63"/>
      <c r="N159" s="63"/>
      <c r="O159" s="370">
        <v>9828.9283340000002</v>
      </c>
      <c r="P159" s="370"/>
      <c r="Q159" s="370"/>
      <c r="R159" s="63"/>
      <c r="S159" s="63"/>
      <c r="T159" s="63"/>
      <c r="U159" s="63"/>
      <c r="V159" s="370"/>
      <c r="W159" s="63">
        <v>121.663</v>
      </c>
      <c r="X159" s="320"/>
      <c r="Y159" s="320"/>
      <c r="Z159" s="320"/>
      <c r="AA159" s="320"/>
    </row>
    <row r="160" spans="1:27" s="331" customFormat="1">
      <c r="A160" s="317" t="s">
        <v>1798</v>
      </c>
      <c r="B160" s="401" t="s">
        <v>1956</v>
      </c>
      <c r="C160" s="63">
        <f t="shared" si="9"/>
        <v>0</v>
      </c>
      <c r="D160" s="402"/>
      <c r="E160" s="389"/>
      <c r="F160" s="389"/>
      <c r="G160" s="389"/>
      <c r="H160" s="387"/>
      <c r="I160" s="387"/>
      <c r="J160" s="63">
        <f t="shared" si="8"/>
        <v>0</v>
      </c>
      <c r="K160" s="387"/>
      <c r="L160" s="387"/>
      <c r="M160" s="387"/>
      <c r="N160" s="387"/>
      <c r="O160" s="389"/>
      <c r="P160" s="389"/>
      <c r="Q160" s="389"/>
      <c r="R160" s="387"/>
      <c r="S160" s="387"/>
      <c r="T160" s="387"/>
      <c r="U160" s="387"/>
      <c r="V160" s="389"/>
      <c r="W160" s="387"/>
      <c r="X160" s="391"/>
      <c r="Y160" s="391"/>
      <c r="Z160" s="391"/>
      <c r="AA160" s="391"/>
    </row>
    <row r="161" spans="1:27" s="300" customFormat="1">
      <c r="A161" s="317" t="s">
        <v>1799</v>
      </c>
      <c r="B161" s="318" t="s">
        <v>1939</v>
      </c>
      <c r="C161" s="63">
        <f t="shared" si="9"/>
        <v>556</v>
      </c>
      <c r="D161" s="319"/>
      <c r="E161" s="370">
        <v>556</v>
      </c>
      <c r="F161" s="370"/>
      <c r="G161" s="370"/>
      <c r="H161" s="63"/>
      <c r="I161" s="63"/>
      <c r="J161" s="63">
        <f t="shared" si="8"/>
        <v>0</v>
      </c>
      <c r="K161" s="63"/>
      <c r="L161" s="63"/>
      <c r="M161" s="63"/>
      <c r="N161" s="63"/>
      <c r="O161" s="370">
        <v>469.11576500000001</v>
      </c>
      <c r="P161" s="370"/>
      <c r="Q161" s="370"/>
      <c r="R161" s="63"/>
      <c r="S161" s="63"/>
      <c r="T161" s="63"/>
      <c r="U161" s="63"/>
      <c r="V161" s="370"/>
      <c r="W161" s="63"/>
      <c r="X161" s="320"/>
      <c r="Y161" s="320"/>
      <c r="Z161" s="320"/>
      <c r="AA161" s="320"/>
    </row>
    <row r="162" spans="1:27" s="300" customFormat="1" ht="31.2">
      <c r="A162" s="317" t="s">
        <v>1800</v>
      </c>
      <c r="B162" s="318" t="s">
        <v>1940</v>
      </c>
      <c r="C162" s="63">
        <f t="shared" si="9"/>
        <v>1246.8579999999999</v>
      </c>
      <c r="D162" s="319"/>
      <c r="E162" s="370">
        <v>1246.8579999999999</v>
      </c>
      <c r="F162" s="370"/>
      <c r="G162" s="370"/>
      <c r="H162" s="63"/>
      <c r="I162" s="63"/>
      <c r="J162" s="63">
        <f t="shared" si="8"/>
        <v>0</v>
      </c>
      <c r="K162" s="63"/>
      <c r="L162" s="63"/>
      <c r="M162" s="63"/>
      <c r="N162" s="63"/>
      <c r="O162" s="370">
        <v>1229.2322119999999</v>
      </c>
      <c r="P162" s="370"/>
      <c r="Q162" s="370"/>
      <c r="R162" s="63"/>
      <c r="S162" s="63"/>
      <c r="T162" s="63"/>
      <c r="U162" s="63"/>
      <c r="V162" s="370"/>
      <c r="W162" s="63"/>
      <c r="X162" s="320"/>
      <c r="Y162" s="320"/>
      <c r="Z162" s="320"/>
      <c r="AA162" s="320"/>
    </row>
    <row r="163" spans="1:27" s="300" customFormat="1" ht="31.2">
      <c r="A163" s="317" t="s">
        <v>1801</v>
      </c>
      <c r="B163" s="318" t="s">
        <v>1983</v>
      </c>
      <c r="C163" s="63">
        <f t="shared" si="9"/>
        <v>446</v>
      </c>
      <c r="D163" s="319"/>
      <c r="E163" s="370">
        <v>446</v>
      </c>
      <c r="F163" s="370"/>
      <c r="G163" s="370"/>
      <c r="H163" s="63"/>
      <c r="I163" s="63"/>
      <c r="J163" s="63">
        <f t="shared" si="8"/>
        <v>0</v>
      </c>
      <c r="K163" s="63"/>
      <c r="L163" s="63"/>
      <c r="M163" s="63"/>
      <c r="N163" s="63"/>
      <c r="O163" s="370">
        <v>445.80630100000002</v>
      </c>
      <c r="P163" s="370"/>
      <c r="Q163" s="370"/>
      <c r="R163" s="63"/>
      <c r="S163" s="63"/>
      <c r="T163" s="63"/>
      <c r="U163" s="63"/>
      <c r="W163" s="370">
        <v>0.19359999999999999</v>
      </c>
      <c r="X163" s="320"/>
      <c r="Y163" s="320"/>
      <c r="Z163" s="320"/>
      <c r="AA163" s="320"/>
    </row>
    <row r="164" spans="1:27" s="300" customFormat="1">
      <c r="A164" s="317" t="s">
        <v>1802</v>
      </c>
      <c r="B164" s="318" t="s">
        <v>1957</v>
      </c>
      <c r="C164" s="63">
        <f t="shared" si="9"/>
        <v>180.9</v>
      </c>
      <c r="D164" s="319"/>
      <c r="E164" s="370">
        <v>180.9</v>
      </c>
      <c r="F164" s="370"/>
      <c r="G164" s="370"/>
      <c r="H164" s="63"/>
      <c r="I164" s="63"/>
      <c r="J164" s="63">
        <f t="shared" si="8"/>
        <v>0</v>
      </c>
      <c r="K164" s="63"/>
      <c r="L164" s="63"/>
      <c r="M164" s="63"/>
      <c r="N164" s="63"/>
      <c r="O164" s="370">
        <v>104</v>
      </c>
      <c r="P164" s="370"/>
      <c r="Q164" s="370"/>
      <c r="R164" s="63"/>
      <c r="S164" s="63"/>
      <c r="T164" s="63"/>
      <c r="U164" s="63"/>
      <c r="W164" s="370">
        <v>76.900000000000006</v>
      </c>
      <c r="X164" s="320"/>
      <c r="Y164" s="320"/>
      <c r="Z164" s="320"/>
      <c r="AA164" s="320"/>
    </row>
    <row r="165" spans="1:27" s="300" customFormat="1">
      <c r="A165" s="317" t="s">
        <v>1803</v>
      </c>
      <c r="B165" s="318" t="s">
        <v>1907</v>
      </c>
      <c r="C165" s="63">
        <f t="shared" si="9"/>
        <v>96</v>
      </c>
      <c r="D165" s="319"/>
      <c r="E165" s="370">
        <v>96</v>
      </c>
      <c r="F165" s="370"/>
      <c r="G165" s="370"/>
      <c r="H165" s="63"/>
      <c r="I165" s="63"/>
      <c r="J165" s="63">
        <f t="shared" si="8"/>
        <v>0</v>
      </c>
      <c r="K165" s="63"/>
      <c r="L165" s="63"/>
      <c r="M165" s="63"/>
      <c r="N165" s="63"/>
      <c r="O165" s="370">
        <v>88.109945999999994</v>
      </c>
      <c r="P165" s="370"/>
      <c r="Q165" s="370"/>
      <c r="R165" s="63"/>
      <c r="S165" s="63"/>
      <c r="T165" s="63"/>
      <c r="U165" s="63"/>
      <c r="V165" s="370"/>
      <c r="W165" s="63"/>
      <c r="X165" s="320"/>
      <c r="Y165" s="320"/>
      <c r="Z165" s="320"/>
      <c r="AA165" s="320"/>
    </row>
    <row r="166" spans="1:27" s="300" customFormat="1">
      <c r="A166" s="317" t="s">
        <v>1804</v>
      </c>
      <c r="B166" s="318" t="s">
        <v>1908</v>
      </c>
      <c r="C166" s="63">
        <f t="shared" si="9"/>
        <v>442</v>
      </c>
      <c r="D166" s="319"/>
      <c r="E166" s="370">
        <v>442</v>
      </c>
      <c r="F166" s="370"/>
      <c r="G166" s="370"/>
      <c r="H166" s="63"/>
      <c r="I166" s="63"/>
      <c r="J166" s="63">
        <f t="shared" si="8"/>
        <v>0</v>
      </c>
      <c r="K166" s="63"/>
      <c r="L166" s="63"/>
      <c r="M166" s="63"/>
      <c r="N166" s="63"/>
      <c r="O166" s="370">
        <v>442</v>
      </c>
      <c r="P166" s="370"/>
      <c r="Q166" s="370"/>
      <c r="R166" s="63"/>
      <c r="S166" s="63"/>
      <c r="T166" s="63"/>
      <c r="U166" s="63"/>
      <c r="V166" s="370"/>
      <c r="W166" s="63"/>
      <c r="X166" s="320"/>
      <c r="Y166" s="320"/>
      <c r="Z166" s="320"/>
      <c r="AA166" s="320"/>
    </row>
    <row r="167" spans="1:27" s="300" customFormat="1">
      <c r="A167" s="317" t="s">
        <v>1805</v>
      </c>
      <c r="B167" s="318" t="s">
        <v>1984</v>
      </c>
      <c r="C167" s="63">
        <f t="shared" si="9"/>
        <v>1299</v>
      </c>
      <c r="D167" s="319"/>
      <c r="E167" s="370">
        <v>1299</v>
      </c>
      <c r="F167" s="370"/>
      <c r="G167" s="370"/>
      <c r="H167" s="63"/>
      <c r="I167" s="63"/>
      <c r="J167" s="63">
        <f t="shared" si="8"/>
        <v>453</v>
      </c>
      <c r="K167" s="63"/>
      <c r="L167" s="63">
        <v>453</v>
      </c>
      <c r="M167" s="63"/>
      <c r="N167" s="63"/>
      <c r="O167" s="370">
        <v>1299</v>
      </c>
      <c r="P167" s="370"/>
      <c r="Q167" s="370"/>
      <c r="R167" s="63"/>
      <c r="S167" s="63"/>
      <c r="T167" s="63"/>
      <c r="U167" s="63"/>
      <c r="V167" s="697">
        <v>338.514365</v>
      </c>
      <c r="W167" s="63"/>
      <c r="X167" s="320"/>
      <c r="Y167" s="320"/>
      <c r="Z167" s="320"/>
      <c r="AA167" s="320"/>
    </row>
    <row r="168" spans="1:27" s="300" customFormat="1">
      <c r="A168" s="317" t="s">
        <v>1806</v>
      </c>
      <c r="B168" s="318" t="s">
        <v>1490</v>
      </c>
      <c r="C168" s="63">
        <f t="shared" si="9"/>
        <v>2640.32</v>
      </c>
      <c r="D168" s="319"/>
      <c r="E168" s="370">
        <v>2640.32</v>
      </c>
      <c r="F168" s="370"/>
      <c r="G168" s="370"/>
      <c r="H168" s="63"/>
      <c r="I168" s="63"/>
      <c r="J168" s="63">
        <f t="shared" si="8"/>
        <v>0</v>
      </c>
      <c r="K168" s="63"/>
      <c r="L168" s="63"/>
      <c r="M168" s="63"/>
      <c r="N168" s="63"/>
      <c r="O168" s="370">
        <v>2640.32</v>
      </c>
      <c r="P168" s="370"/>
      <c r="Q168" s="370"/>
      <c r="R168" s="63"/>
      <c r="S168" s="63"/>
      <c r="T168" s="63"/>
      <c r="U168" s="63"/>
      <c r="V168" s="370"/>
      <c r="W168" s="63"/>
      <c r="X168" s="320"/>
      <c r="Y168" s="320"/>
      <c r="Z168" s="320"/>
      <c r="AA168" s="320"/>
    </row>
    <row r="169" spans="1:27" s="300" customFormat="1" ht="31.2">
      <c r="A169" s="317" t="s">
        <v>1807</v>
      </c>
      <c r="B169" s="318" t="s">
        <v>1910</v>
      </c>
      <c r="C169" s="63">
        <f t="shared" si="9"/>
        <v>1257.2908319999999</v>
      </c>
      <c r="D169" s="319"/>
      <c r="E169" s="370">
        <v>1257.2908319999999</v>
      </c>
      <c r="F169" s="370"/>
      <c r="G169" s="370"/>
      <c r="H169" s="63"/>
      <c r="I169" s="63"/>
      <c r="J169" s="63">
        <f t="shared" si="8"/>
        <v>0</v>
      </c>
      <c r="K169" s="63"/>
      <c r="L169" s="63"/>
      <c r="M169" s="63"/>
      <c r="N169" s="63"/>
      <c r="O169" s="370">
        <v>1257.2908319999999</v>
      </c>
      <c r="P169" s="370"/>
      <c r="Q169" s="370"/>
      <c r="R169" s="63"/>
      <c r="S169" s="63"/>
      <c r="T169" s="63"/>
      <c r="U169" s="63"/>
      <c r="V169" s="370"/>
      <c r="W169" s="63"/>
      <c r="X169" s="320"/>
      <c r="Y169" s="320"/>
      <c r="Z169" s="320"/>
      <c r="AA169" s="320"/>
    </row>
    <row r="170" spans="1:27" s="300" customFormat="1">
      <c r="A170" s="317" t="s">
        <v>1808</v>
      </c>
      <c r="B170" s="318" t="s">
        <v>1537</v>
      </c>
      <c r="C170" s="63">
        <f t="shared" si="9"/>
        <v>4674.1509999999998</v>
      </c>
      <c r="D170" s="319"/>
      <c r="E170" s="370">
        <v>4674.1509999999998</v>
      </c>
      <c r="F170" s="370"/>
      <c r="G170" s="370"/>
      <c r="H170" s="63"/>
      <c r="I170" s="63"/>
      <c r="J170" s="63">
        <f t="shared" si="8"/>
        <v>0</v>
      </c>
      <c r="K170" s="63"/>
      <c r="L170" s="63"/>
      <c r="M170" s="63"/>
      <c r="N170" s="63"/>
      <c r="O170" s="370">
        <v>4672.8509999999997</v>
      </c>
      <c r="P170" s="370"/>
      <c r="Q170" s="370"/>
      <c r="R170" s="63"/>
      <c r="S170" s="63"/>
      <c r="T170" s="63"/>
      <c r="U170" s="63"/>
      <c r="V170" s="370"/>
      <c r="W170" s="63"/>
      <c r="X170" s="320"/>
      <c r="Y170" s="320"/>
      <c r="Z170" s="320"/>
      <c r="AA170" s="320"/>
    </row>
    <row r="171" spans="1:27" s="300" customFormat="1">
      <c r="A171" s="317" t="s">
        <v>1809</v>
      </c>
      <c r="B171" s="318" t="s">
        <v>1556</v>
      </c>
      <c r="C171" s="63">
        <f t="shared" si="9"/>
        <v>1285.9671639999999</v>
      </c>
      <c r="D171" s="319"/>
      <c r="E171" s="370">
        <v>1285.9671639999999</v>
      </c>
      <c r="F171" s="370"/>
      <c r="G171" s="370"/>
      <c r="H171" s="63"/>
      <c r="I171" s="63"/>
      <c r="J171" s="63">
        <f t="shared" si="8"/>
        <v>0</v>
      </c>
      <c r="K171" s="63"/>
      <c r="L171" s="63"/>
      <c r="M171" s="63"/>
      <c r="N171" s="63"/>
      <c r="O171" s="370">
        <v>1285.9671639999999</v>
      </c>
      <c r="P171" s="370"/>
      <c r="Q171" s="370"/>
      <c r="R171" s="63"/>
      <c r="S171" s="63"/>
      <c r="T171" s="63"/>
      <c r="U171" s="63"/>
      <c r="V171" s="370"/>
      <c r="W171" s="63"/>
      <c r="X171" s="320"/>
      <c r="Y171" s="320"/>
      <c r="Z171" s="320"/>
      <c r="AA171" s="320"/>
    </row>
    <row r="172" spans="1:27" s="300" customFormat="1">
      <c r="A172" s="317" t="s">
        <v>1810</v>
      </c>
      <c r="B172" s="318" t="s">
        <v>1657</v>
      </c>
      <c r="C172" s="63">
        <f t="shared" si="9"/>
        <v>414</v>
      </c>
      <c r="D172" s="319"/>
      <c r="E172" s="370">
        <v>414</v>
      </c>
      <c r="F172" s="370"/>
      <c r="G172" s="370"/>
      <c r="H172" s="63"/>
      <c r="I172" s="63"/>
      <c r="J172" s="63">
        <f t="shared" si="8"/>
        <v>0</v>
      </c>
      <c r="K172" s="63"/>
      <c r="L172" s="63"/>
      <c r="M172" s="63"/>
      <c r="N172" s="63"/>
      <c r="O172" s="370">
        <v>413.999841</v>
      </c>
      <c r="P172" s="370"/>
      <c r="Q172" s="370"/>
      <c r="R172" s="63"/>
      <c r="S172" s="63"/>
      <c r="T172" s="63"/>
      <c r="U172" s="63"/>
      <c r="V172" s="370"/>
      <c r="W172" s="63"/>
      <c r="X172" s="320"/>
      <c r="Y172" s="320"/>
      <c r="Z172" s="320"/>
      <c r="AA172" s="320"/>
    </row>
    <row r="173" spans="1:27" s="300" customFormat="1" ht="31.2">
      <c r="A173" s="317" t="s">
        <v>1811</v>
      </c>
      <c r="B173" s="318" t="s">
        <v>1589</v>
      </c>
      <c r="C173" s="63">
        <f t="shared" si="9"/>
        <v>8572</v>
      </c>
      <c r="D173" s="319"/>
      <c r="E173" s="370">
        <v>8572</v>
      </c>
      <c r="F173" s="370"/>
      <c r="G173" s="370"/>
      <c r="H173" s="63"/>
      <c r="I173" s="63"/>
      <c r="J173" s="63">
        <f t="shared" si="8"/>
        <v>0</v>
      </c>
      <c r="K173" s="63"/>
      <c r="L173" s="63"/>
      <c r="M173" s="63"/>
      <c r="N173" s="63"/>
      <c r="O173" s="370">
        <v>8572</v>
      </c>
      <c r="P173" s="370"/>
      <c r="Q173" s="370"/>
      <c r="R173" s="63"/>
      <c r="S173" s="63"/>
      <c r="T173" s="63"/>
      <c r="U173" s="63"/>
      <c r="V173" s="370"/>
      <c r="W173" s="63"/>
      <c r="X173" s="320"/>
      <c r="Y173" s="320"/>
      <c r="Z173" s="320"/>
      <c r="AA173" s="320"/>
    </row>
    <row r="174" spans="1:27" s="300" customFormat="1" ht="31.2">
      <c r="A174" s="317" t="s">
        <v>1812</v>
      </c>
      <c r="B174" s="318" t="s">
        <v>1985</v>
      </c>
      <c r="C174" s="63">
        <f t="shared" si="9"/>
        <v>2563.5390000000002</v>
      </c>
      <c r="D174" s="319"/>
      <c r="E174" s="370">
        <v>2563.5390000000002</v>
      </c>
      <c r="F174" s="370"/>
      <c r="G174" s="370"/>
      <c r="H174" s="63"/>
      <c r="I174" s="63"/>
      <c r="J174" s="63">
        <f t="shared" si="8"/>
        <v>0</v>
      </c>
      <c r="K174" s="63"/>
      <c r="L174" s="63"/>
      <c r="M174" s="63"/>
      <c r="N174" s="63"/>
      <c r="O174" s="370">
        <v>2550.951</v>
      </c>
      <c r="P174" s="370"/>
      <c r="Q174" s="370"/>
      <c r="R174" s="63"/>
      <c r="S174" s="63"/>
      <c r="T174" s="63"/>
      <c r="U174" s="63"/>
      <c r="V174" s="370"/>
      <c r="W174" s="63"/>
      <c r="X174" s="320"/>
      <c r="Y174" s="320"/>
      <c r="Z174" s="320"/>
      <c r="AA174" s="320"/>
    </row>
    <row r="175" spans="1:27" s="300" customFormat="1">
      <c r="A175" s="317" t="s">
        <v>1813</v>
      </c>
      <c r="B175" s="318" t="s">
        <v>1987</v>
      </c>
      <c r="C175" s="63">
        <f t="shared" si="9"/>
        <v>13165.032836</v>
      </c>
      <c r="D175" s="319"/>
      <c r="E175" s="370">
        <v>13165.032836</v>
      </c>
      <c r="F175" s="370"/>
      <c r="G175" s="370"/>
      <c r="H175" s="63"/>
      <c r="I175" s="63"/>
      <c r="J175" s="63">
        <f t="shared" si="8"/>
        <v>0</v>
      </c>
      <c r="K175" s="63"/>
      <c r="L175" s="63"/>
      <c r="M175" s="63"/>
      <c r="N175" s="63"/>
      <c r="O175" s="370">
        <v>13004.0304</v>
      </c>
      <c r="P175" s="370"/>
      <c r="Q175" s="370"/>
      <c r="R175" s="63"/>
      <c r="S175" s="63"/>
      <c r="T175" s="63"/>
      <c r="U175" s="63"/>
      <c r="V175" s="370"/>
      <c r="W175" s="63"/>
      <c r="X175" s="320"/>
      <c r="Y175" s="320"/>
      <c r="Z175" s="320"/>
      <c r="AA175" s="320"/>
    </row>
    <row r="176" spans="1:27" s="331" customFormat="1">
      <c r="A176" s="317" t="s">
        <v>1921</v>
      </c>
      <c r="B176" s="401" t="s">
        <v>1597</v>
      </c>
      <c r="C176" s="63">
        <f t="shared" si="9"/>
        <v>0</v>
      </c>
      <c r="D176" s="402"/>
      <c r="E176" s="389"/>
      <c r="F176" s="389"/>
      <c r="G176" s="389"/>
      <c r="H176" s="387"/>
      <c r="I176" s="387"/>
      <c r="J176" s="63">
        <f t="shared" si="8"/>
        <v>0</v>
      </c>
      <c r="K176" s="387"/>
      <c r="L176" s="387"/>
      <c r="M176" s="387"/>
      <c r="N176" s="387"/>
      <c r="O176" s="389"/>
      <c r="P176" s="389"/>
      <c r="Q176" s="389"/>
      <c r="R176" s="387"/>
      <c r="S176" s="387"/>
      <c r="T176" s="387"/>
      <c r="U176" s="387"/>
      <c r="V176" s="389"/>
      <c r="W176" s="387"/>
      <c r="X176" s="391"/>
      <c r="Y176" s="391"/>
      <c r="Z176" s="391"/>
      <c r="AA176" s="391"/>
    </row>
    <row r="177" spans="1:38" s="300" customFormat="1" ht="31.2">
      <c r="A177" s="317" t="s">
        <v>1814</v>
      </c>
      <c r="B177" s="318" t="s">
        <v>1596</v>
      </c>
      <c r="C177" s="63">
        <f t="shared" si="9"/>
        <v>3380</v>
      </c>
      <c r="D177" s="319"/>
      <c r="E177" s="370">
        <v>3380</v>
      </c>
      <c r="F177" s="370"/>
      <c r="G177" s="370"/>
      <c r="H177" s="63"/>
      <c r="I177" s="63"/>
      <c r="J177" s="63">
        <f t="shared" si="8"/>
        <v>0</v>
      </c>
      <c r="K177" s="63"/>
      <c r="L177" s="63"/>
      <c r="M177" s="63"/>
      <c r="N177" s="63"/>
      <c r="O177" s="370">
        <v>3371.9023769999999</v>
      </c>
      <c r="P177" s="370"/>
      <c r="Q177" s="370"/>
      <c r="R177" s="63"/>
      <c r="S177" s="63"/>
      <c r="T177" s="63"/>
      <c r="U177" s="63"/>
      <c r="V177" s="370"/>
      <c r="W177" s="63"/>
      <c r="X177" s="320"/>
      <c r="Y177" s="320"/>
      <c r="Z177" s="320"/>
      <c r="AA177" s="320"/>
    </row>
    <row r="178" spans="1:38" s="300" customFormat="1">
      <c r="A178" s="317" t="s">
        <v>1815</v>
      </c>
      <c r="B178" s="318" t="s">
        <v>1986</v>
      </c>
      <c r="C178" s="63">
        <f t="shared" si="9"/>
        <v>29537.391264999998</v>
      </c>
      <c r="D178" s="319">
        <v>5616</v>
      </c>
      <c r="E178" s="370">
        <v>23921.391264999998</v>
      </c>
      <c r="F178" s="370"/>
      <c r="G178" s="370"/>
      <c r="H178" s="63"/>
      <c r="I178" s="63"/>
      <c r="J178" s="63">
        <f t="shared" si="8"/>
        <v>0</v>
      </c>
      <c r="K178" s="63"/>
      <c r="L178" s="63"/>
      <c r="M178" s="63"/>
      <c r="N178" s="63">
        <v>5255.3469999999998</v>
      </c>
      <c r="O178" s="370">
        <v>23813.095311000001</v>
      </c>
      <c r="P178" s="370"/>
      <c r="Q178" s="370"/>
      <c r="R178" s="63"/>
      <c r="S178" s="63"/>
      <c r="T178" s="63"/>
      <c r="U178" s="63"/>
      <c r="V178" s="370"/>
      <c r="W178" s="63"/>
      <c r="X178" s="320"/>
      <c r="Y178" s="320"/>
      <c r="Z178" s="320"/>
      <c r="AA178" s="320"/>
    </row>
    <row r="179" spans="1:38" s="300" customFormat="1" ht="31.2">
      <c r="A179" s="317" t="s">
        <v>1816</v>
      </c>
      <c r="B179" s="318" t="s">
        <v>1909</v>
      </c>
      <c r="C179" s="63">
        <f t="shared" si="9"/>
        <v>304.09001499999999</v>
      </c>
      <c r="D179" s="319"/>
      <c r="E179" s="370">
        <v>304.09001499999999</v>
      </c>
      <c r="F179" s="370"/>
      <c r="G179" s="370"/>
      <c r="H179" s="63"/>
      <c r="I179" s="63"/>
      <c r="J179" s="63">
        <f t="shared" si="8"/>
        <v>0</v>
      </c>
      <c r="K179" s="63"/>
      <c r="L179" s="63"/>
      <c r="M179" s="63"/>
      <c r="N179" s="63"/>
      <c r="O179" s="370">
        <v>304.09001499999999</v>
      </c>
      <c r="P179" s="370"/>
      <c r="Q179" s="370"/>
      <c r="R179" s="63"/>
      <c r="S179" s="63"/>
      <c r="T179" s="63"/>
      <c r="U179" s="63"/>
      <c r="V179" s="370"/>
      <c r="W179" s="63"/>
      <c r="X179" s="320"/>
      <c r="Y179" s="320"/>
      <c r="Z179" s="320"/>
      <c r="AA179" s="320"/>
    </row>
    <row r="180" spans="1:38" s="300" customFormat="1">
      <c r="A180" s="317" t="s">
        <v>1817</v>
      </c>
      <c r="B180" s="318" t="s">
        <v>1575</v>
      </c>
      <c r="C180" s="63">
        <f t="shared" si="9"/>
        <v>1127.0670419999999</v>
      </c>
      <c r="D180" s="319"/>
      <c r="E180" s="370">
        <v>1127.0670419999999</v>
      </c>
      <c r="F180" s="370"/>
      <c r="G180" s="370"/>
      <c r="H180" s="63"/>
      <c r="I180" s="63"/>
      <c r="J180" s="63">
        <f t="shared" si="8"/>
        <v>0</v>
      </c>
      <c r="K180" s="63"/>
      <c r="L180" s="63"/>
      <c r="M180" s="63"/>
      <c r="N180" s="63"/>
      <c r="O180" s="370">
        <v>1127.0670419999999</v>
      </c>
      <c r="P180" s="370"/>
      <c r="Q180" s="370"/>
      <c r="R180" s="63"/>
      <c r="S180" s="63"/>
      <c r="T180" s="63"/>
      <c r="U180" s="63"/>
      <c r="V180" s="370"/>
      <c r="W180" s="63"/>
      <c r="X180" s="320"/>
      <c r="Y180" s="320"/>
      <c r="Z180" s="320"/>
      <c r="AA180" s="320"/>
    </row>
    <row r="181" spans="1:38" s="406" customFormat="1" ht="31.2">
      <c r="A181" s="317" t="s">
        <v>1818</v>
      </c>
      <c r="B181" s="379" t="s">
        <v>2035</v>
      </c>
      <c r="C181" s="63">
        <f t="shared" si="9"/>
        <v>981.00317900000005</v>
      </c>
      <c r="D181" s="381"/>
      <c r="E181" s="382">
        <v>981.00317900000005</v>
      </c>
      <c r="F181" s="382"/>
      <c r="G181" s="382"/>
      <c r="H181" s="380"/>
      <c r="I181" s="380"/>
      <c r="J181" s="63">
        <f t="shared" si="8"/>
        <v>0</v>
      </c>
      <c r="K181" s="380"/>
      <c r="L181" s="380"/>
      <c r="M181" s="380"/>
      <c r="N181" s="380"/>
      <c r="O181" s="382">
        <v>981.00317900000005</v>
      </c>
      <c r="P181" s="382"/>
      <c r="Q181" s="382"/>
      <c r="R181" s="380"/>
      <c r="S181" s="380"/>
      <c r="T181" s="380"/>
      <c r="U181" s="380"/>
      <c r="V181" s="382"/>
      <c r="W181" s="380"/>
      <c r="X181" s="383"/>
      <c r="Y181" s="383"/>
      <c r="Z181" s="383"/>
      <c r="AA181" s="383"/>
    </row>
    <row r="182" spans="1:38" s="406" customFormat="1" ht="31.2">
      <c r="A182" s="317" t="s">
        <v>1819</v>
      </c>
      <c r="B182" s="379" t="s">
        <v>2036</v>
      </c>
      <c r="C182" s="63">
        <f t="shared" si="9"/>
        <v>1569.9529050000001</v>
      </c>
      <c r="D182" s="381"/>
      <c r="E182" s="382">
        <v>1569.9529050000001</v>
      </c>
      <c r="F182" s="382"/>
      <c r="G182" s="382"/>
      <c r="H182" s="380"/>
      <c r="I182" s="380"/>
      <c r="J182" s="63">
        <f t="shared" si="8"/>
        <v>0</v>
      </c>
      <c r="K182" s="380"/>
      <c r="L182" s="380"/>
      <c r="M182" s="380"/>
      <c r="N182" s="380"/>
      <c r="O182" s="382">
        <v>1231.579</v>
      </c>
      <c r="P182" s="382"/>
      <c r="Q182" s="382"/>
      <c r="R182" s="380"/>
      <c r="S182" s="380"/>
      <c r="T182" s="380"/>
      <c r="U182" s="380"/>
      <c r="V182" s="382"/>
      <c r="W182" s="380"/>
      <c r="X182" s="383"/>
      <c r="Y182" s="383"/>
      <c r="Z182" s="383"/>
      <c r="AA182" s="383"/>
    </row>
    <row r="183" spans="1:38" s="300" customFormat="1">
      <c r="A183" s="317" t="s">
        <v>1820</v>
      </c>
      <c r="B183" s="321" t="s">
        <v>1911</v>
      </c>
      <c r="C183" s="63">
        <f t="shared" si="9"/>
        <v>19710</v>
      </c>
      <c r="D183" s="70">
        <v>17399</v>
      </c>
      <c r="E183" s="370">
        <v>2311</v>
      </c>
      <c r="F183" s="370"/>
      <c r="G183" s="370"/>
      <c r="H183" s="63"/>
      <c r="I183" s="63"/>
      <c r="J183" s="63">
        <f t="shared" si="8"/>
        <v>0</v>
      </c>
      <c r="K183" s="63"/>
      <c r="L183" s="63"/>
      <c r="M183" s="63"/>
      <c r="N183" s="70">
        <v>11904.159</v>
      </c>
      <c r="O183" s="370">
        <v>2250.3270339999999</v>
      </c>
      <c r="P183" s="370"/>
      <c r="Q183" s="370"/>
      <c r="R183" s="63"/>
      <c r="S183" s="63"/>
      <c r="T183" s="63"/>
      <c r="U183" s="63"/>
      <c r="V183" s="370"/>
      <c r="W183" s="63"/>
      <c r="X183" s="320"/>
      <c r="Y183" s="320"/>
      <c r="Z183" s="320"/>
      <c r="AA183" s="320"/>
    </row>
    <row r="184" spans="1:38" s="300" customFormat="1">
      <c r="A184" s="317" t="s">
        <v>1821</v>
      </c>
      <c r="B184" s="318" t="s">
        <v>1528</v>
      </c>
      <c r="C184" s="63">
        <f t="shared" si="9"/>
        <v>2437.4</v>
      </c>
      <c r="D184" s="319"/>
      <c r="E184" s="370">
        <v>2437.4</v>
      </c>
      <c r="F184" s="370"/>
      <c r="G184" s="370"/>
      <c r="H184" s="63"/>
      <c r="I184" s="63"/>
      <c r="J184" s="63">
        <f t="shared" si="8"/>
        <v>0</v>
      </c>
      <c r="K184" s="63"/>
      <c r="L184" s="63"/>
      <c r="M184" s="63"/>
      <c r="N184" s="63"/>
      <c r="O184" s="370">
        <v>2437.4</v>
      </c>
      <c r="P184" s="370"/>
      <c r="Q184" s="370"/>
      <c r="R184" s="63"/>
      <c r="S184" s="63"/>
      <c r="T184" s="63"/>
      <c r="U184" s="63"/>
      <c r="V184" s="370"/>
      <c r="W184" s="63"/>
      <c r="X184" s="320"/>
      <c r="Y184" s="320"/>
      <c r="Z184" s="320"/>
      <c r="AA184" s="320"/>
    </row>
    <row r="185" spans="1:38" s="300" customFormat="1">
      <c r="A185" s="317" t="s">
        <v>1822</v>
      </c>
      <c r="B185" s="318" t="s">
        <v>1988</v>
      </c>
      <c r="C185" s="63">
        <f t="shared" si="9"/>
        <v>724.92667700000004</v>
      </c>
      <c r="D185" s="319"/>
      <c r="E185" s="370">
        <v>724.92667700000004</v>
      </c>
      <c r="F185" s="370"/>
      <c r="G185" s="370"/>
      <c r="H185" s="63"/>
      <c r="I185" s="63"/>
      <c r="J185" s="63">
        <f t="shared" si="8"/>
        <v>0</v>
      </c>
      <c r="K185" s="63"/>
      <c r="L185" s="63"/>
      <c r="M185" s="63"/>
      <c r="N185" s="63"/>
      <c r="O185" s="370">
        <v>724.92667700000004</v>
      </c>
      <c r="P185" s="370"/>
      <c r="Q185" s="370"/>
      <c r="R185" s="63"/>
      <c r="S185" s="63"/>
      <c r="T185" s="63"/>
      <c r="U185" s="63"/>
      <c r="V185" s="370"/>
      <c r="W185" s="63"/>
      <c r="X185" s="320"/>
      <c r="Y185" s="320"/>
      <c r="Z185" s="320"/>
      <c r="AA185" s="320"/>
    </row>
    <row r="186" spans="1:38" s="300" customFormat="1">
      <c r="A186" s="317" t="s">
        <v>1823</v>
      </c>
      <c r="B186" s="318" t="s">
        <v>1640</v>
      </c>
      <c r="C186" s="63">
        <f t="shared" si="9"/>
        <v>764.52</v>
      </c>
      <c r="D186" s="70"/>
      <c r="E186" s="370">
        <v>764.52</v>
      </c>
      <c r="F186" s="370"/>
      <c r="G186" s="370"/>
      <c r="H186" s="63"/>
      <c r="I186" s="63"/>
      <c r="J186" s="63">
        <f t="shared" si="8"/>
        <v>0</v>
      </c>
      <c r="K186" s="63"/>
      <c r="L186" s="63"/>
      <c r="M186" s="63"/>
      <c r="N186" s="70"/>
      <c r="O186" s="370">
        <v>764.52</v>
      </c>
      <c r="P186" s="370"/>
      <c r="Q186" s="370"/>
      <c r="R186" s="63"/>
      <c r="S186" s="63"/>
      <c r="T186" s="63"/>
      <c r="U186" s="63"/>
      <c r="V186" s="370"/>
      <c r="W186" s="63"/>
      <c r="X186" s="320"/>
      <c r="Y186" s="320"/>
      <c r="Z186" s="320"/>
      <c r="AA186" s="320"/>
    </row>
    <row r="187" spans="1:38" s="332" customFormat="1">
      <c r="A187" s="317" t="s">
        <v>1824</v>
      </c>
      <c r="B187" s="401" t="s">
        <v>1610</v>
      </c>
      <c r="C187" s="63">
        <f t="shared" si="9"/>
        <v>0</v>
      </c>
      <c r="D187" s="402"/>
      <c r="E187" s="389"/>
      <c r="F187" s="389"/>
      <c r="G187" s="389"/>
      <c r="H187" s="387"/>
      <c r="I187" s="387"/>
      <c r="J187" s="63">
        <f t="shared" si="8"/>
        <v>0</v>
      </c>
      <c r="K187" s="387"/>
      <c r="L187" s="387"/>
      <c r="M187" s="387"/>
      <c r="N187" s="387"/>
      <c r="O187" s="389"/>
      <c r="P187" s="389"/>
      <c r="Q187" s="389"/>
      <c r="R187" s="387"/>
      <c r="S187" s="387"/>
      <c r="T187" s="387"/>
      <c r="U187" s="387"/>
      <c r="V187" s="389"/>
      <c r="W187" s="387"/>
      <c r="X187" s="391"/>
      <c r="Y187" s="391"/>
      <c r="Z187" s="391"/>
      <c r="AA187" s="391"/>
      <c r="AB187" s="331"/>
      <c r="AC187" s="331"/>
      <c r="AD187" s="331"/>
      <c r="AE187" s="331"/>
      <c r="AF187" s="331"/>
      <c r="AG187" s="331"/>
      <c r="AH187" s="331"/>
      <c r="AI187" s="331"/>
      <c r="AJ187" s="331"/>
      <c r="AK187" s="331"/>
      <c r="AL187" s="331"/>
    </row>
    <row r="188" spans="1:38" s="332" customFormat="1">
      <c r="A188" s="317" t="s">
        <v>1825</v>
      </c>
      <c r="B188" s="401" t="s">
        <v>1527</v>
      </c>
      <c r="C188" s="63">
        <f t="shared" si="9"/>
        <v>0</v>
      </c>
      <c r="D188" s="402"/>
      <c r="E188" s="389"/>
      <c r="F188" s="389"/>
      <c r="G188" s="389"/>
      <c r="H188" s="387"/>
      <c r="I188" s="387"/>
      <c r="J188" s="63">
        <f t="shared" si="8"/>
        <v>0</v>
      </c>
      <c r="K188" s="387"/>
      <c r="L188" s="387"/>
      <c r="M188" s="387"/>
      <c r="N188" s="387"/>
      <c r="O188" s="389"/>
      <c r="P188" s="389"/>
      <c r="Q188" s="389"/>
      <c r="R188" s="387"/>
      <c r="S188" s="387"/>
      <c r="T188" s="387"/>
      <c r="U188" s="387"/>
      <c r="V188" s="389"/>
      <c r="W188" s="387"/>
      <c r="X188" s="391"/>
      <c r="Y188" s="391"/>
      <c r="Z188" s="391"/>
      <c r="AA188" s="391"/>
      <c r="AB188" s="331"/>
      <c r="AC188" s="331"/>
      <c r="AD188" s="331"/>
      <c r="AE188" s="331"/>
      <c r="AF188" s="331"/>
      <c r="AG188" s="331"/>
      <c r="AH188" s="331"/>
      <c r="AI188" s="331"/>
      <c r="AJ188" s="331"/>
      <c r="AK188" s="331"/>
      <c r="AL188" s="331"/>
    </row>
    <row r="189" spans="1:38" s="332" customFormat="1">
      <c r="A189" s="317" t="s">
        <v>1826</v>
      </c>
      <c r="B189" s="401" t="s">
        <v>1489</v>
      </c>
      <c r="C189" s="63">
        <f t="shared" si="9"/>
        <v>0</v>
      </c>
      <c r="D189" s="402"/>
      <c r="E189" s="389"/>
      <c r="F189" s="389"/>
      <c r="G189" s="389"/>
      <c r="H189" s="387"/>
      <c r="I189" s="387"/>
      <c r="J189" s="63">
        <f t="shared" si="8"/>
        <v>0</v>
      </c>
      <c r="K189" s="387"/>
      <c r="L189" s="387"/>
      <c r="M189" s="387"/>
      <c r="N189" s="387"/>
      <c r="O189" s="389"/>
      <c r="P189" s="389"/>
      <c r="Q189" s="389"/>
      <c r="R189" s="387"/>
      <c r="S189" s="387"/>
      <c r="T189" s="387"/>
      <c r="U189" s="387"/>
      <c r="V189" s="389"/>
      <c r="W189" s="387"/>
      <c r="X189" s="391"/>
      <c r="Y189" s="391"/>
      <c r="Z189" s="391"/>
      <c r="AA189" s="391"/>
      <c r="AB189" s="331"/>
      <c r="AC189" s="331"/>
      <c r="AD189" s="331"/>
      <c r="AE189" s="331"/>
      <c r="AF189" s="331"/>
      <c r="AG189" s="331"/>
      <c r="AH189" s="331"/>
      <c r="AI189" s="331"/>
      <c r="AJ189" s="331"/>
      <c r="AK189" s="331"/>
      <c r="AL189" s="331"/>
    </row>
    <row r="190" spans="1:38" s="332" customFormat="1">
      <c r="A190" s="317" t="s">
        <v>1827</v>
      </c>
      <c r="B190" s="318" t="s">
        <v>1989</v>
      </c>
      <c r="C190" s="63">
        <f t="shared" si="9"/>
        <v>1382.6</v>
      </c>
      <c r="D190" s="319"/>
      <c r="E190" s="370">
        <v>1382.6</v>
      </c>
      <c r="F190" s="370"/>
      <c r="G190" s="370"/>
      <c r="H190" s="63"/>
      <c r="I190" s="63"/>
      <c r="J190" s="63">
        <f t="shared" si="8"/>
        <v>0</v>
      </c>
      <c r="K190" s="63"/>
      <c r="L190" s="63"/>
      <c r="M190" s="63"/>
      <c r="N190" s="63"/>
      <c r="O190" s="370">
        <v>1382.6</v>
      </c>
      <c r="P190" s="370"/>
      <c r="Q190" s="370"/>
      <c r="R190" s="63"/>
      <c r="S190" s="63"/>
      <c r="T190" s="63"/>
      <c r="U190" s="63"/>
      <c r="V190" s="370"/>
      <c r="W190" s="63"/>
      <c r="X190" s="320"/>
      <c r="Y190" s="320"/>
      <c r="Z190" s="320"/>
      <c r="AA190" s="320"/>
      <c r="AB190" s="331"/>
      <c r="AC190" s="331"/>
      <c r="AD190" s="331"/>
      <c r="AE190" s="331"/>
      <c r="AF190" s="331"/>
      <c r="AG190" s="331"/>
      <c r="AH190" s="331"/>
      <c r="AI190" s="331"/>
      <c r="AJ190" s="331"/>
      <c r="AK190" s="331"/>
      <c r="AL190" s="331"/>
    </row>
    <row r="191" spans="1:38" s="326" customFormat="1" ht="31.2">
      <c r="A191" s="317" t="s">
        <v>1828</v>
      </c>
      <c r="B191" s="318" t="s">
        <v>1912</v>
      </c>
      <c r="C191" s="63">
        <f t="shared" si="9"/>
        <v>143.77387999999999</v>
      </c>
      <c r="D191" s="319"/>
      <c r="E191" s="370">
        <v>143.77387999999999</v>
      </c>
      <c r="F191" s="370"/>
      <c r="G191" s="370"/>
      <c r="H191" s="63"/>
      <c r="I191" s="63"/>
      <c r="J191" s="63">
        <f t="shared" si="8"/>
        <v>0</v>
      </c>
      <c r="K191" s="63"/>
      <c r="L191" s="63"/>
      <c r="M191" s="63"/>
      <c r="N191" s="63"/>
      <c r="O191" s="370">
        <v>143.77387999999999</v>
      </c>
      <c r="P191" s="370"/>
      <c r="Q191" s="370"/>
      <c r="R191" s="63"/>
      <c r="S191" s="63"/>
      <c r="T191" s="63"/>
      <c r="U191" s="63"/>
      <c r="V191" s="370"/>
      <c r="W191" s="63"/>
      <c r="X191" s="320"/>
      <c r="Y191" s="320"/>
      <c r="Z191" s="320"/>
      <c r="AA191" s="320"/>
      <c r="AB191" s="300"/>
      <c r="AC191" s="300"/>
      <c r="AD191" s="300"/>
      <c r="AE191" s="300"/>
      <c r="AF191" s="300"/>
      <c r="AG191" s="300"/>
      <c r="AH191" s="300"/>
      <c r="AI191" s="300"/>
      <c r="AJ191" s="300"/>
      <c r="AK191" s="300"/>
      <c r="AL191" s="300"/>
    </row>
    <row r="192" spans="1:38" s="326" customFormat="1">
      <c r="A192" s="317" t="s">
        <v>1829</v>
      </c>
      <c r="B192" s="318" t="s">
        <v>1579</v>
      </c>
      <c r="C192" s="63">
        <f t="shared" si="9"/>
        <v>1386</v>
      </c>
      <c r="D192" s="319"/>
      <c r="E192" s="370">
        <v>1386</v>
      </c>
      <c r="F192" s="370"/>
      <c r="G192" s="370"/>
      <c r="H192" s="63"/>
      <c r="I192" s="63"/>
      <c r="J192" s="63">
        <f t="shared" si="8"/>
        <v>0</v>
      </c>
      <c r="K192" s="63"/>
      <c r="L192" s="63"/>
      <c r="M192" s="63"/>
      <c r="N192" s="63"/>
      <c r="O192" s="370">
        <v>1255.2935</v>
      </c>
      <c r="P192" s="370"/>
      <c r="Q192" s="370"/>
      <c r="R192" s="63"/>
      <c r="S192" s="63"/>
      <c r="T192" s="63"/>
      <c r="U192" s="63"/>
      <c r="V192" s="370"/>
      <c r="W192" s="63"/>
      <c r="X192" s="320"/>
      <c r="Y192" s="320"/>
      <c r="Z192" s="320"/>
      <c r="AA192" s="320"/>
      <c r="AB192" s="300"/>
      <c r="AC192" s="300"/>
      <c r="AD192" s="300"/>
      <c r="AE192" s="300"/>
      <c r="AF192" s="300"/>
      <c r="AG192" s="300"/>
      <c r="AH192" s="300"/>
      <c r="AI192" s="300"/>
      <c r="AJ192" s="300"/>
      <c r="AK192" s="300"/>
      <c r="AL192" s="300"/>
    </row>
    <row r="193" spans="1:38" s="332" customFormat="1">
      <c r="A193" s="317" t="s">
        <v>1830</v>
      </c>
      <c r="B193" s="401" t="s">
        <v>1990</v>
      </c>
      <c r="C193" s="63">
        <f t="shared" si="9"/>
        <v>0</v>
      </c>
      <c r="D193" s="402"/>
      <c r="E193" s="389"/>
      <c r="F193" s="389"/>
      <c r="G193" s="389"/>
      <c r="H193" s="387"/>
      <c r="I193" s="387"/>
      <c r="J193" s="63">
        <f t="shared" si="8"/>
        <v>0</v>
      </c>
      <c r="K193" s="387"/>
      <c r="L193" s="387"/>
      <c r="M193" s="387"/>
      <c r="N193" s="387"/>
      <c r="O193" s="389"/>
      <c r="P193" s="389"/>
      <c r="Q193" s="389"/>
      <c r="R193" s="387"/>
      <c r="S193" s="387"/>
      <c r="T193" s="387"/>
      <c r="U193" s="387"/>
      <c r="V193" s="389"/>
      <c r="W193" s="387"/>
      <c r="X193" s="391"/>
      <c r="Y193" s="391"/>
      <c r="Z193" s="391"/>
      <c r="AA193" s="391"/>
      <c r="AB193" s="331"/>
      <c r="AC193" s="331"/>
      <c r="AD193" s="331"/>
      <c r="AE193" s="331"/>
      <c r="AF193" s="331"/>
      <c r="AG193" s="331"/>
      <c r="AH193" s="331"/>
      <c r="AI193" s="331"/>
      <c r="AJ193" s="331"/>
      <c r="AK193" s="331"/>
      <c r="AL193" s="331"/>
    </row>
    <row r="194" spans="1:38" s="326" customFormat="1" ht="31.2">
      <c r="A194" s="317" t="s">
        <v>1831</v>
      </c>
      <c r="B194" s="318" t="s">
        <v>1991</v>
      </c>
      <c r="C194" s="63">
        <f t="shared" si="9"/>
        <v>767.18320000000006</v>
      </c>
      <c r="D194" s="319"/>
      <c r="E194" s="370">
        <v>767.18320000000006</v>
      </c>
      <c r="F194" s="370"/>
      <c r="G194" s="370"/>
      <c r="H194" s="63"/>
      <c r="I194" s="63"/>
      <c r="J194" s="63">
        <f t="shared" si="8"/>
        <v>0</v>
      </c>
      <c r="K194" s="63"/>
      <c r="L194" s="63"/>
      <c r="M194" s="63"/>
      <c r="N194" s="63"/>
      <c r="O194" s="370">
        <v>767.18320000000006</v>
      </c>
      <c r="P194" s="370"/>
      <c r="Q194" s="370"/>
      <c r="R194" s="63"/>
      <c r="S194" s="63"/>
      <c r="T194" s="63"/>
      <c r="U194" s="63"/>
      <c r="V194" s="370"/>
      <c r="W194" s="63"/>
      <c r="X194" s="320"/>
      <c r="Y194" s="320"/>
      <c r="Z194" s="320"/>
      <c r="AA194" s="320"/>
      <c r="AB194" s="300"/>
      <c r="AC194" s="300"/>
      <c r="AD194" s="300"/>
      <c r="AE194" s="300"/>
      <c r="AF194" s="300"/>
      <c r="AG194" s="300"/>
      <c r="AH194" s="300"/>
      <c r="AI194" s="300"/>
      <c r="AJ194" s="300"/>
      <c r="AK194" s="300"/>
      <c r="AL194" s="300"/>
    </row>
    <row r="195" spans="1:38" s="326" customFormat="1">
      <c r="A195" s="317" t="s">
        <v>1832</v>
      </c>
      <c r="B195" s="318" t="s">
        <v>1992</v>
      </c>
      <c r="C195" s="63">
        <f t="shared" si="9"/>
        <v>6737.5249460000005</v>
      </c>
      <c r="D195" s="319"/>
      <c r="E195" s="370">
        <v>6737.5249460000005</v>
      </c>
      <c r="F195" s="370"/>
      <c r="G195" s="370"/>
      <c r="H195" s="63"/>
      <c r="I195" s="63"/>
      <c r="J195" s="63">
        <f t="shared" si="8"/>
        <v>0</v>
      </c>
      <c r="K195" s="63"/>
      <c r="L195" s="63"/>
      <c r="M195" s="63"/>
      <c r="N195" s="63"/>
      <c r="O195" s="370">
        <v>6737.5249460000005</v>
      </c>
      <c r="P195" s="370"/>
      <c r="Q195" s="370"/>
      <c r="R195" s="63"/>
      <c r="S195" s="63"/>
      <c r="T195" s="63"/>
      <c r="U195" s="63"/>
      <c r="V195" s="370"/>
      <c r="W195" s="63"/>
      <c r="X195" s="320"/>
      <c r="Y195" s="320"/>
      <c r="Z195" s="320"/>
      <c r="AA195" s="320"/>
      <c r="AB195" s="300"/>
      <c r="AC195" s="300"/>
      <c r="AD195" s="300"/>
      <c r="AE195" s="300"/>
      <c r="AF195" s="300"/>
      <c r="AG195" s="300"/>
      <c r="AH195" s="300"/>
      <c r="AI195" s="300"/>
      <c r="AJ195" s="300"/>
      <c r="AK195" s="300"/>
      <c r="AL195" s="300"/>
    </row>
    <row r="196" spans="1:38" s="326" customFormat="1">
      <c r="A196" s="317" t="s">
        <v>1833</v>
      </c>
      <c r="B196" s="318" t="s">
        <v>1993</v>
      </c>
      <c r="C196" s="63">
        <f t="shared" si="9"/>
        <v>2345.5030000000002</v>
      </c>
      <c r="D196" s="319"/>
      <c r="E196" s="370">
        <v>2345.5030000000002</v>
      </c>
      <c r="F196" s="370"/>
      <c r="G196" s="370"/>
      <c r="H196" s="63"/>
      <c r="I196" s="63"/>
      <c r="J196" s="63">
        <f t="shared" si="8"/>
        <v>0</v>
      </c>
      <c r="K196" s="63"/>
      <c r="L196" s="63"/>
      <c r="M196" s="63"/>
      <c r="N196" s="63"/>
      <c r="O196" s="370">
        <v>2345.5030000000002</v>
      </c>
      <c r="P196" s="370"/>
      <c r="Q196" s="370"/>
      <c r="R196" s="63"/>
      <c r="S196" s="63"/>
      <c r="T196" s="63"/>
      <c r="U196" s="63"/>
      <c r="V196" s="370"/>
      <c r="W196" s="63"/>
      <c r="X196" s="320"/>
      <c r="Y196" s="320"/>
      <c r="Z196" s="320"/>
      <c r="AA196" s="320"/>
      <c r="AB196" s="300"/>
      <c r="AC196" s="300"/>
      <c r="AD196" s="300"/>
      <c r="AE196" s="300"/>
      <c r="AF196" s="300"/>
      <c r="AG196" s="300"/>
      <c r="AH196" s="300"/>
      <c r="AI196" s="300"/>
      <c r="AJ196" s="300"/>
      <c r="AK196" s="300"/>
      <c r="AL196" s="300"/>
    </row>
    <row r="197" spans="1:38" s="300" customFormat="1">
      <c r="A197" s="317" t="s">
        <v>1834</v>
      </c>
      <c r="B197" s="318" t="s">
        <v>1994</v>
      </c>
      <c r="C197" s="63">
        <f t="shared" si="9"/>
        <v>1614.7583770000001</v>
      </c>
      <c r="D197" s="319"/>
      <c r="E197" s="370">
        <v>1614.7583770000001</v>
      </c>
      <c r="F197" s="370"/>
      <c r="G197" s="370"/>
      <c r="H197" s="63"/>
      <c r="I197" s="63"/>
      <c r="J197" s="63">
        <f t="shared" si="8"/>
        <v>0</v>
      </c>
      <c r="K197" s="63"/>
      <c r="L197" s="63"/>
      <c r="M197" s="63"/>
      <c r="N197" s="63"/>
      <c r="O197" s="370">
        <v>1614.7583770000001</v>
      </c>
      <c r="P197" s="370"/>
      <c r="Q197" s="370"/>
      <c r="R197" s="63"/>
      <c r="S197" s="63"/>
      <c r="T197" s="63"/>
      <c r="U197" s="63"/>
      <c r="V197" s="370"/>
      <c r="W197" s="63"/>
      <c r="X197" s="320"/>
      <c r="Y197" s="320"/>
      <c r="Z197" s="320"/>
      <c r="AA197" s="320"/>
    </row>
    <row r="198" spans="1:38" s="300" customFormat="1">
      <c r="A198" s="317" t="s">
        <v>1835</v>
      </c>
      <c r="B198" s="318" t="s">
        <v>1995</v>
      </c>
      <c r="C198" s="63">
        <f t="shared" si="9"/>
        <v>1972.8030000000001</v>
      </c>
      <c r="D198" s="319"/>
      <c r="E198" s="370">
        <v>1972.8030000000001</v>
      </c>
      <c r="F198" s="370"/>
      <c r="G198" s="370"/>
      <c r="H198" s="63"/>
      <c r="I198" s="63"/>
      <c r="J198" s="63">
        <f t="shared" si="8"/>
        <v>0</v>
      </c>
      <c r="K198" s="63"/>
      <c r="L198" s="63"/>
      <c r="M198" s="63"/>
      <c r="N198" s="63"/>
      <c r="O198" s="370">
        <v>1969.161742</v>
      </c>
      <c r="P198" s="370"/>
      <c r="Q198" s="370"/>
      <c r="R198" s="63"/>
      <c r="S198" s="63"/>
      <c r="T198" s="63"/>
      <c r="U198" s="63"/>
      <c r="V198" s="370"/>
      <c r="W198" s="63">
        <v>3.297615</v>
      </c>
      <c r="X198" s="320"/>
      <c r="Y198" s="320"/>
      <c r="Z198" s="320"/>
      <c r="AA198" s="320"/>
    </row>
    <row r="199" spans="1:38" s="300" customFormat="1">
      <c r="A199" s="317" t="s">
        <v>1836</v>
      </c>
      <c r="B199" s="318" t="s">
        <v>1879</v>
      </c>
      <c r="C199" s="63">
        <f t="shared" si="9"/>
        <v>14536.181344000001</v>
      </c>
      <c r="D199" s="319"/>
      <c r="E199" s="370">
        <v>14536.181344000001</v>
      </c>
      <c r="F199" s="370"/>
      <c r="G199" s="370"/>
      <c r="H199" s="63"/>
      <c r="I199" s="63"/>
      <c r="J199" s="63">
        <f t="shared" si="8"/>
        <v>0</v>
      </c>
      <c r="K199" s="63"/>
      <c r="L199" s="63"/>
      <c r="M199" s="63"/>
      <c r="N199" s="63"/>
      <c r="O199" s="370">
        <v>13777.5692</v>
      </c>
      <c r="P199" s="370"/>
      <c r="Q199" s="370"/>
      <c r="R199" s="63"/>
      <c r="S199" s="63"/>
      <c r="T199" s="63"/>
      <c r="U199" s="63"/>
      <c r="V199" s="370"/>
      <c r="W199" s="63">
        <v>500</v>
      </c>
      <c r="X199" s="320"/>
      <c r="Y199" s="320"/>
      <c r="Z199" s="320"/>
      <c r="AA199" s="320"/>
    </row>
    <row r="200" spans="1:38" s="300" customFormat="1">
      <c r="A200" s="317" t="s">
        <v>1837</v>
      </c>
      <c r="B200" s="318" t="s">
        <v>1880</v>
      </c>
      <c r="C200" s="63">
        <f t="shared" si="9"/>
        <v>9800.0550000000003</v>
      </c>
      <c r="D200" s="319"/>
      <c r="E200" s="370">
        <v>9800.0550000000003</v>
      </c>
      <c r="F200" s="370"/>
      <c r="G200" s="370"/>
      <c r="H200" s="63"/>
      <c r="I200" s="63"/>
      <c r="J200" s="63">
        <f t="shared" si="8"/>
        <v>0</v>
      </c>
      <c r="K200" s="63"/>
      <c r="L200" s="63"/>
      <c r="M200" s="63"/>
      <c r="N200" s="63"/>
      <c r="O200" s="370">
        <v>9781.6080000000002</v>
      </c>
      <c r="P200" s="370"/>
      <c r="Q200" s="370"/>
      <c r="R200" s="63"/>
      <c r="S200" s="63"/>
      <c r="T200" s="63"/>
      <c r="U200" s="63"/>
      <c r="V200" s="370"/>
      <c r="W200" s="63"/>
      <c r="X200" s="320"/>
      <c r="Y200" s="320"/>
      <c r="Z200" s="320"/>
      <c r="AA200" s="320"/>
    </row>
    <row r="201" spans="1:38" s="300" customFormat="1">
      <c r="A201" s="317" t="s">
        <v>1838</v>
      </c>
      <c r="B201" s="318" t="s">
        <v>1953</v>
      </c>
      <c r="C201" s="63">
        <f t="shared" si="9"/>
        <v>10370.25</v>
      </c>
      <c r="D201" s="319"/>
      <c r="E201" s="370">
        <v>10370.25</v>
      </c>
      <c r="F201" s="370"/>
      <c r="G201" s="370"/>
      <c r="H201" s="63"/>
      <c r="I201" s="63"/>
      <c r="J201" s="63">
        <f t="shared" si="8"/>
        <v>0</v>
      </c>
      <c r="K201" s="63"/>
      <c r="L201" s="63"/>
      <c r="M201" s="63"/>
      <c r="N201" s="63"/>
      <c r="O201" s="370">
        <v>10348.198947000001</v>
      </c>
      <c r="P201" s="370"/>
      <c r="Q201" s="370"/>
      <c r="R201" s="63"/>
      <c r="S201" s="63"/>
      <c r="T201" s="63"/>
      <c r="U201" s="63"/>
      <c r="V201" s="370"/>
      <c r="W201" s="63"/>
      <c r="X201" s="320"/>
      <c r="Y201" s="320"/>
      <c r="Z201" s="320"/>
      <c r="AA201" s="320"/>
    </row>
    <row r="202" spans="1:38" s="300" customFormat="1">
      <c r="A202" s="317" t="s">
        <v>1839</v>
      </c>
      <c r="B202" s="318" t="s">
        <v>1606</v>
      </c>
      <c r="C202" s="63">
        <f t="shared" si="9"/>
        <v>14810.655944</v>
      </c>
      <c r="D202" s="319"/>
      <c r="E202" s="370">
        <v>14810.655944</v>
      </c>
      <c r="F202" s="370"/>
      <c r="G202" s="370"/>
      <c r="H202" s="63"/>
      <c r="I202" s="63"/>
      <c r="J202" s="63">
        <f t="shared" si="8"/>
        <v>0</v>
      </c>
      <c r="K202" s="63"/>
      <c r="L202" s="63"/>
      <c r="M202" s="63"/>
      <c r="N202" s="63"/>
      <c r="O202" s="370">
        <v>14663.837380000001</v>
      </c>
      <c r="P202" s="370"/>
      <c r="Q202" s="370"/>
      <c r="R202" s="63"/>
      <c r="S202" s="63"/>
      <c r="T202" s="63"/>
      <c r="U202" s="63"/>
      <c r="V202" s="370"/>
      <c r="W202" s="63">
        <v>115.35594399999999</v>
      </c>
      <c r="X202" s="320"/>
      <c r="Y202" s="320"/>
      <c r="Z202" s="320"/>
      <c r="AA202" s="320"/>
    </row>
    <row r="203" spans="1:38" s="300" customFormat="1">
      <c r="A203" s="317" t="s">
        <v>1840</v>
      </c>
      <c r="B203" s="318" t="s">
        <v>1601</v>
      </c>
      <c r="C203" s="63">
        <f t="shared" si="9"/>
        <v>11135.455728000001</v>
      </c>
      <c r="D203" s="319"/>
      <c r="E203" s="370">
        <v>11135.455728000001</v>
      </c>
      <c r="F203" s="370"/>
      <c r="G203" s="370"/>
      <c r="H203" s="63"/>
      <c r="I203" s="63"/>
      <c r="J203" s="63">
        <f t="shared" si="8"/>
        <v>0</v>
      </c>
      <c r="K203" s="63"/>
      <c r="L203" s="63"/>
      <c r="M203" s="63"/>
      <c r="N203" s="63"/>
      <c r="O203" s="370">
        <v>10859.470525999999</v>
      </c>
      <c r="P203" s="370"/>
      <c r="Q203" s="370"/>
      <c r="R203" s="63"/>
      <c r="S203" s="63"/>
      <c r="T203" s="63"/>
      <c r="U203" s="63"/>
      <c r="V203" s="370"/>
      <c r="W203" s="63"/>
      <c r="X203" s="320"/>
      <c r="Y203" s="320"/>
      <c r="Z203" s="320"/>
      <c r="AA203" s="320"/>
    </row>
    <row r="204" spans="1:38" s="300" customFormat="1">
      <c r="A204" s="317" t="s">
        <v>1841</v>
      </c>
      <c r="B204" s="318" t="s">
        <v>1996</v>
      </c>
      <c r="C204" s="63">
        <f t="shared" si="9"/>
        <v>7176.7356</v>
      </c>
      <c r="D204" s="319"/>
      <c r="E204" s="370">
        <v>7176.7356</v>
      </c>
      <c r="F204" s="370"/>
      <c r="G204" s="370"/>
      <c r="H204" s="63"/>
      <c r="I204" s="63"/>
      <c r="J204" s="63">
        <f t="shared" si="8"/>
        <v>0</v>
      </c>
      <c r="K204" s="63"/>
      <c r="L204" s="63"/>
      <c r="M204" s="63"/>
      <c r="N204" s="63"/>
      <c r="O204" s="370">
        <v>7087.2202239999997</v>
      </c>
      <c r="P204" s="370"/>
      <c r="Q204" s="370"/>
      <c r="R204" s="63"/>
      <c r="S204" s="63"/>
      <c r="T204" s="63"/>
      <c r="U204" s="63"/>
      <c r="V204" s="370"/>
      <c r="W204" s="63"/>
      <c r="X204" s="320"/>
      <c r="Y204" s="320"/>
      <c r="Z204" s="320"/>
      <c r="AA204" s="320"/>
    </row>
    <row r="205" spans="1:38" s="300" customFormat="1">
      <c r="A205" s="317" t="s">
        <v>1842</v>
      </c>
      <c r="B205" s="318" t="s">
        <v>1954</v>
      </c>
      <c r="C205" s="63">
        <f t="shared" si="9"/>
        <v>11581.146000000001</v>
      </c>
      <c r="D205" s="319"/>
      <c r="E205" s="370">
        <v>11581.146000000001</v>
      </c>
      <c r="F205" s="370"/>
      <c r="G205" s="370"/>
      <c r="H205" s="63"/>
      <c r="I205" s="63"/>
      <c r="J205" s="63">
        <f t="shared" si="8"/>
        <v>0</v>
      </c>
      <c r="K205" s="63"/>
      <c r="L205" s="63"/>
      <c r="M205" s="63"/>
      <c r="N205" s="63"/>
      <c r="O205" s="370">
        <v>11373.477360999999</v>
      </c>
      <c r="P205" s="370"/>
      <c r="Q205" s="370"/>
      <c r="R205" s="63"/>
      <c r="S205" s="63"/>
      <c r="T205" s="63"/>
      <c r="U205" s="63"/>
      <c r="V205" s="370"/>
      <c r="W205" s="63">
        <v>93.127559000000005</v>
      </c>
      <c r="X205" s="320"/>
      <c r="Y205" s="320"/>
      <c r="Z205" s="320"/>
      <c r="AA205" s="320"/>
    </row>
    <row r="206" spans="1:38" s="300" customFormat="1">
      <c r="A206" s="317" t="s">
        <v>1843</v>
      </c>
      <c r="B206" s="318" t="s">
        <v>1913</v>
      </c>
      <c r="C206" s="63">
        <f t="shared" si="9"/>
        <v>13258.235076999999</v>
      </c>
      <c r="D206" s="319"/>
      <c r="E206" s="370">
        <v>13258.235076999999</v>
      </c>
      <c r="F206" s="370"/>
      <c r="G206" s="370"/>
      <c r="H206" s="63"/>
      <c r="I206" s="63"/>
      <c r="J206" s="63">
        <f t="shared" ref="J206:J269" si="10">K206+L206</f>
        <v>0</v>
      </c>
      <c r="K206" s="63"/>
      <c r="L206" s="63"/>
      <c r="M206" s="63"/>
      <c r="N206" s="63"/>
      <c r="O206" s="370">
        <v>12955.635786000001</v>
      </c>
      <c r="P206" s="370"/>
      <c r="Q206" s="370"/>
      <c r="R206" s="63"/>
      <c r="S206" s="63"/>
      <c r="T206" s="63"/>
      <c r="U206" s="63"/>
      <c r="V206" s="370"/>
      <c r="W206" s="63">
        <v>2.2885550000000001</v>
      </c>
      <c r="X206" s="320"/>
      <c r="Y206" s="320"/>
      <c r="Z206" s="320"/>
      <c r="AA206" s="320"/>
    </row>
    <row r="207" spans="1:38" s="300" customFormat="1">
      <c r="A207" s="317" t="s">
        <v>1844</v>
      </c>
      <c r="B207" s="318" t="s">
        <v>1997</v>
      </c>
      <c r="C207" s="63">
        <f t="shared" ref="C207:C270" si="11">D207+E207</f>
        <v>16913.426255999999</v>
      </c>
      <c r="D207" s="319"/>
      <c r="E207" s="370">
        <v>16913.426255999999</v>
      </c>
      <c r="F207" s="370"/>
      <c r="G207" s="370"/>
      <c r="H207" s="63"/>
      <c r="I207" s="63"/>
      <c r="J207" s="63">
        <f t="shared" si="10"/>
        <v>0</v>
      </c>
      <c r="K207" s="63"/>
      <c r="L207" s="63"/>
      <c r="M207" s="63"/>
      <c r="N207" s="63"/>
      <c r="O207" s="370">
        <v>15719.719067</v>
      </c>
      <c r="P207" s="370"/>
      <c r="Q207" s="370"/>
      <c r="R207" s="63"/>
      <c r="S207" s="63"/>
      <c r="T207" s="63"/>
      <c r="U207" s="63"/>
      <c r="V207" s="370"/>
      <c r="W207" s="63">
        <v>1000</v>
      </c>
      <c r="X207" s="320"/>
      <c r="Y207" s="320"/>
      <c r="Z207" s="320"/>
      <c r="AA207" s="320"/>
    </row>
    <row r="208" spans="1:38" s="300" customFormat="1">
      <c r="A208" s="317" t="s">
        <v>1845</v>
      </c>
      <c r="B208" s="318" t="s">
        <v>1881</v>
      </c>
      <c r="C208" s="63">
        <f t="shared" si="11"/>
        <v>16534.537</v>
      </c>
      <c r="D208" s="319"/>
      <c r="E208" s="370">
        <v>16534.537</v>
      </c>
      <c r="F208" s="370"/>
      <c r="G208" s="370"/>
      <c r="H208" s="63"/>
      <c r="I208" s="63"/>
      <c r="J208" s="63">
        <f t="shared" si="10"/>
        <v>0</v>
      </c>
      <c r="K208" s="63"/>
      <c r="L208" s="63"/>
      <c r="M208" s="63"/>
      <c r="N208" s="63"/>
      <c r="O208" s="370">
        <v>15153.991031</v>
      </c>
      <c r="P208" s="370"/>
      <c r="Q208" s="370"/>
      <c r="R208" s="63"/>
      <c r="S208" s="63"/>
      <c r="T208" s="63"/>
      <c r="U208" s="63"/>
      <c r="V208" s="370"/>
      <c r="W208" s="63">
        <v>1200</v>
      </c>
      <c r="X208" s="320"/>
      <c r="Y208" s="320"/>
      <c r="Z208" s="320"/>
      <c r="AA208" s="320"/>
    </row>
    <row r="209" spans="1:27" s="300" customFormat="1">
      <c r="A209" s="317" t="s">
        <v>1846</v>
      </c>
      <c r="B209" s="318" t="s">
        <v>1518</v>
      </c>
      <c r="C209" s="63">
        <f t="shared" si="11"/>
        <v>44610.357619999995</v>
      </c>
      <c r="D209" s="319">
        <v>221.61699999999999</v>
      </c>
      <c r="E209" s="370">
        <v>44388.740619999997</v>
      </c>
      <c r="F209" s="370"/>
      <c r="G209" s="370"/>
      <c r="H209" s="63"/>
      <c r="I209" s="63"/>
      <c r="J209" s="63">
        <f t="shared" si="10"/>
        <v>302</v>
      </c>
      <c r="K209" s="63"/>
      <c r="L209" s="370">
        <v>302</v>
      </c>
      <c r="M209" s="63"/>
      <c r="N209" s="63">
        <v>221.61699999999999</v>
      </c>
      <c r="O209" s="370">
        <v>42923.201768999999</v>
      </c>
      <c r="P209" s="370"/>
      <c r="Q209" s="370"/>
      <c r="R209" s="63"/>
      <c r="S209" s="63"/>
      <c r="T209" s="63"/>
      <c r="U209" s="63"/>
      <c r="V209" s="370">
        <v>293.32844</v>
      </c>
      <c r="W209" s="63"/>
      <c r="X209" s="320"/>
      <c r="Y209" s="320"/>
      <c r="Z209" s="320"/>
      <c r="AA209" s="320"/>
    </row>
    <row r="210" spans="1:27" s="331" customFormat="1">
      <c r="A210" s="317" t="s">
        <v>1847</v>
      </c>
      <c r="B210" s="401" t="s">
        <v>1943</v>
      </c>
      <c r="C210" s="63">
        <f t="shared" si="11"/>
        <v>0</v>
      </c>
      <c r="D210" s="402"/>
      <c r="E210" s="389"/>
      <c r="F210" s="389"/>
      <c r="G210" s="389"/>
      <c r="H210" s="387"/>
      <c r="I210" s="387"/>
      <c r="J210" s="63">
        <f t="shared" si="10"/>
        <v>0</v>
      </c>
      <c r="K210" s="387"/>
      <c r="L210" s="387"/>
      <c r="M210" s="387"/>
      <c r="N210" s="387"/>
      <c r="O210" s="389"/>
      <c r="P210" s="389"/>
      <c r="Q210" s="389"/>
      <c r="R210" s="387"/>
      <c r="S210" s="387"/>
      <c r="T210" s="387"/>
      <c r="U210" s="387"/>
      <c r="V210" s="389"/>
      <c r="W210" s="387"/>
      <c r="X210" s="391"/>
      <c r="Y210" s="391"/>
      <c r="Z210" s="391"/>
      <c r="AA210" s="391"/>
    </row>
    <row r="211" spans="1:27" s="300" customFormat="1">
      <c r="A211" s="317" t="s">
        <v>1848</v>
      </c>
      <c r="B211" s="318" t="s">
        <v>1955</v>
      </c>
      <c r="C211" s="63">
        <f t="shared" si="11"/>
        <v>6458.2</v>
      </c>
      <c r="D211" s="319"/>
      <c r="E211" s="370">
        <v>6458.2</v>
      </c>
      <c r="F211" s="370"/>
      <c r="G211" s="370"/>
      <c r="H211" s="63"/>
      <c r="I211" s="63"/>
      <c r="J211" s="63">
        <f t="shared" si="10"/>
        <v>0</v>
      </c>
      <c r="K211" s="63"/>
      <c r="L211" s="63"/>
      <c r="M211" s="63"/>
      <c r="N211" s="63"/>
      <c r="O211" s="370">
        <v>6235.3955999999998</v>
      </c>
      <c r="P211" s="370"/>
      <c r="Q211" s="370"/>
      <c r="R211" s="63"/>
      <c r="S211" s="63"/>
      <c r="T211" s="63"/>
      <c r="U211" s="63"/>
      <c r="V211" s="370"/>
      <c r="W211" s="63"/>
      <c r="X211" s="320"/>
      <c r="Y211" s="320"/>
      <c r="Z211" s="320"/>
      <c r="AA211" s="320"/>
    </row>
    <row r="212" spans="1:27" s="300" customFormat="1">
      <c r="A212" s="317" t="s">
        <v>1849</v>
      </c>
      <c r="B212" s="318" t="s">
        <v>1951</v>
      </c>
      <c r="C212" s="63">
        <f t="shared" si="11"/>
        <v>11018.033347000001</v>
      </c>
      <c r="D212" s="319"/>
      <c r="E212" s="370">
        <v>11018.033347000001</v>
      </c>
      <c r="F212" s="370"/>
      <c r="G212" s="370"/>
      <c r="H212" s="63"/>
      <c r="I212" s="63"/>
      <c r="J212" s="63">
        <f t="shared" si="10"/>
        <v>0</v>
      </c>
      <c r="K212" s="63"/>
      <c r="L212" s="63"/>
      <c r="M212" s="63"/>
      <c r="N212" s="63"/>
      <c r="O212" s="370">
        <v>10437.505347</v>
      </c>
      <c r="P212" s="370"/>
      <c r="Q212" s="370"/>
      <c r="R212" s="63"/>
      <c r="S212" s="63"/>
      <c r="T212" s="63"/>
      <c r="U212" s="63"/>
      <c r="V212" s="370"/>
      <c r="W212" s="63">
        <v>339.76799999999997</v>
      </c>
      <c r="X212" s="320"/>
      <c r="Y212" s="320"/>
      <c r="Z212" s="320"/>
      <c r="AA212" s="320"/>
    </row>
    <row r="213" spans="1:27" s="300" customFormat="1">
      <c r="A213" s="317" t="s">
        <v>1850</v>
      </c>
      <c r="B213" s="318" t="s">
        <v>1998</v>
      </c>
      <c r="C213" s="63">
        <f t="shared" si="11"/>
        <v>4365</v>
      </c>
      <c r="D213" s="319"/>
      <c r="E213" s="370">
        <v>4365</v>
      </c>
      <c r="F213" s="370"/>
      <c r="G213" s="370"/>
      <c r="H213" s="63"/>
      <c r="I213" s="63"/>
      <c r="J213" s="63">
        <f t="shared" si="10"/>
        <v>0</v>
      </c>
      <c r="K213" s="63"/>
      <c r="L213" s="63"/>
      <c r="M213" s="63"/>
      <c r="N213" s="63"/>
      <c r="O213" s="370">
        <v>4362.192</v>
      </c>
      <c r="P213" s="370"/>
      <c r="Q213" s="370"/>
      <c r="R213" s="63"/>
      <c r="S213" s="63"/>
      <c r="T213" s="63"/>
      <c r="U213" s="63"/>
      <c r="V213" s="370"/>
      <c r="W213" s="63"/>
      <c r="X213" s="320"/>
      <c r="Y213" s="320"/>
      <c r="Z213" s="320"/>
      <c r="AA213" s="320"/>
    </row>
    <row r="214" spans="1:27" s="300" customFormat="1" ht="31.2">
      <c r="A214" s="317" t="s">
        <v>1851</v>
      </c>
      <c r="B214" s="318" t="s">
        <v>1947</v>
      </c>
      <c r="C214" s="63">
        <f t="shared" si="11"/>
        <v>9772.2000000000007</v>
      </c>
      <c r="D214" s="319"/>
      <c r="E214" s="370">
        <v>9772.2000000000007</v>
      </c>
      <c r="F214" s="370"/>
      <c r="G214" s="370"/>
      <c r="H214" s="63"/>
      <c r="I214" s="63"/>
      <c r="J214" s="63">
        <f t="shared" si="10"/>
        <v>0</v>
      </c>
      <c r="K214" s="63"/>
      <c r="L214" s="63"/>
      <c r="M214" s="63"/>
      <c r="N214" s="63"/>
      <c r="O214" s="370">
        <v>9614.4539999999997</v>
      </c>
      <c r="P214" s="370"/>
      <c r="Q214" s="370"/>
      <c r="R214" s="63"/>
      <c r="S214" s="63"/>
      <c r="T214" s="63"/>
      <c r="U214" s="63"/>
      <c r="V214" s="370"/>
      <c r="W214" s="63">
        <v>127.072</v>
      </c>
      <c r="X214" s="320"/>
      <c r="Y214" s="320"/>
      <c r="Z214" s="320"/>
      <c r="AA214" s="320"/>
    </row>
    <row r="215" spans="1:27" s="300" customFormat="1" ht="31.2">
      <c r="A215" s="317" t="s">
        <v>1852</v>
      </c>
      <c r="B215" s="318" t="s">
        <v>1561</v>
      </c>
      <c r="C215" s="63">
        <f t="shared" si="11"/>
        <v>12625.843000000001</v>
      </c>
      <c r="D215" s="319"/>
      <c r="E215" s="370">
        <v>12625.843000000001</v>
      </c>
      <c r="F215" s="370"/>
      <c r="G215" s="370"/>
      <c r="H215" s="63"/>
      <c r="I215" s="63"/>
      <c r="J215" s="63">
        <f t="shared" si="10"/>
        <v>0</v>
      </c>
      <c r="K215" s="63"/>
      <c r="L215" s="63"/>
      <c r="M215" s="63"/>
      <c r="N215" s="63"/>
      <c r="O215" s="370">
        <v>12034.001</v>
      </c>
      <c r="P215" s="370"/>
      <c r="Q215" s="370"/>
      <c r="R215" s="63"/>
      <c r="S215" s="63"/>
      <c r="T215" s="63"/>
      <c r="U215" s="63"/>
      <c r="V215" s="370"/>
      <c r="W215" s="63">
        <v>507.79199999999997</v>
      </c>
      <c r="X215" s="320"/>
      <c r="Y215" s="320"/>
      <c r="Z215" s="320"/>
      <c r="AA215" s="320"/>
    </row>
    <row r="216" spans="1:27" s="300" customFormat="1">
      <c r="A216" s="317" t="s">
        <v>1853</v>
      </c>
      <c r="B216" s="318" t="s">
        <v>1617</v>
      </c>
      <c r="C216" s="63">
        <f t="shared" si="11"/>
        <v>18057.587</v>
      </c>
      <c r="D216" s="319"/>
      <c r="E216" s="370">
        <v>18057.587</v>
      </c>
      <c r="F216" s="370"/>
      <c r="G216" s="370"/>
      <c r="H216" s="63"/>
      <c r="I216" s="63"/>
      <c r="J216" s="63">
        <f t="shared" si="10"/>
        <v>0</v>
      </c>
      <c r="K216" s="63"/>
      <c r="L216" s="63"/>
      <c r="M216" s="63"/>
      <c r="N216" s="63"/>
      <c r="O216" s="370">
        <v>17351.067999999999</v>
      </c>
      <c r="P216" s="370"/>
      <c r="Q216" s="370"/>
      <c r="R216" s="63"/>
      <c r="S216" s="63"/>
      <c r="T216" s="63"/>
      <c r="U216" s="63"/>
      <c r="V216" s="370"/>
      <c r="W216" s="63">
        <v>535.32399999999996</v>
      </c>
      <c r="X216" s="320"/>
      <c r="Y216" s="320"/>
      <c r="Z216" s="320"/>
      <c r="AA216" s="320"/>
    </row>
    <row r="217" spans="1:27" s="300" customFormat="1">
      <c r="A217" s="317" t="s">
        <v>1854</v>
      </c>
      <c r="B217" s="318" t="s">
        <v>1945</v>
      </c>
      <c r="C217" s="63">
        <f t="shared" si="11"/>
        <v>13236.9</v>
      </c>
      <c r="D217" s="319"/>
      <c r="E217" s="370">
        <v>13236.9</v>
      </c>
      <c r="F217" s="370"/>
      <c r="G217" s="370"/>
      <c r="H217" s="63"/>
      <c r="I217" s="63"/>
      <c r="J217" s="63">
        <f t="shared" si="10"/>
        <v>0</v>
      </c>
      <c r="K217" s="63"/>
      <c r="L217" s="63"/>
      <c r="M217" s="63"/>
      <c r="N217" s="63"/>
      <c r="O217" s="370">
        <v>13231.096</v>
      </c>
      <c r="P217" s="370"/>
      <c r="Q217" s="370"/>
      <c r="R217" s="63"/>
      <c r="S217" s="63"/>
      <c r="T217" s="63"/>
      <c r="U217" s="63"/>
      <c r="V217" s="370"/>
      <c r="W217" s="63"/>
      <c r="X217" s="320"/>
      <c r="Y217" s="320"/>
      <c r="Z217" s="320"/>
      <c r="AA217" s="320"/>
    </row>
    <row r="218" spans="1:27" s="300" customFormat="1" ht="31.2">
      <c r="A218" s="317" t="s">
        <v>1855</v>
      </c>
      <c r="B218" s="318" t="s">
        <v>1948</v>
      </c>
      <c r="C218" s="63">
        <f t="shared" si="11"/>
        <v>9648.6015439999992</v>
      </c>
      <c r="D218" s="319"/>
      <c r="E218" s="370">
        <v>9648.6015439999992</v>
      </c>
      <c r="F218" s="370"/>
      <c r="G218" s="370"/>
      <c r="H218" s="63"/>
      <c r="I218" s="63"/>
      <c r="J218" s="63">
        <f t="shared" si="10"/>
        <v>0</v>
      </c>
      <c r="K218" s="63"/>
      <c r="L218" s="63"/>
      <c r="M218" s="63"/>
      <c r="N218" s="63"/>
      <c r="O218" s="370">
        <v>9354.3345439999994</v>
      </c>
      <c r="P218" s="370"/>
      <c r="Q218" s="370"/>
      <c r="R218" s="63"/>
      <c r="S218" s="63"/>
      <c r="T218" s="63"/>
      <c r="U218" s="63"/>
      <c r="V218" s="370"/>
      <c r="W218" s="63">
        <v>217.08799999999999</v>
      </c>
      <c r="X218" s="320"/>
      <c r="Y218" s="320"/>
      <c r="Z218" s="320"/>
      <c r="AA218" s="320"/>
    </row>
    <row r="219" spans="1:27" s="300" customFormat="1" ht="31.2">
      <c r="A219" s="317" t="s">
        <v>1856</v>
      </c>
      <c r="B219" s="318" t="s">
        <v>1949</v>
      </c>
      <c r="C219" s="63">
        <f t="shared" si="11"/>
        <v>13297.144</v>
      </c>
      <c r="D219" s="319"/>
      <c r="E219" s="370">
        <v>13297.144</v>
      </c>
      <c r="F219" s="370"/>
      <c r="G219" s="370"/>
      <c r="H219" s="63"/>
      <c r="I219" s="63"/>
      <c r="J219" s="63">
        <f t="shared" si="10"/>
        <v>0</v>
      </c>
      <c r="K219" s="63"/>
      <c r="L219" s="63"/>
      <c r="M219" s="63"/>
      <c r="N219" s="63"/>
      <c r="O219" s="370">
        <v>13035.5175</v>
      </c>
      <c r="P219" s="370"/>
      <c r="Q219" s="370"/>
      <c r="R219" s="63"/>
      <c r="S219" s="63"/>
      <c r="T219" s="63"/>
      <c r="U219" s="63"/>
      <c r="V219" s="370"/>
      <c r="W219" s="63">
        <v>259.68</v>
      </c>
      <c r="X219" s="320"/>
      <c r="Y219" s="320"/>
      <c r="Z219" s="320"/>
      <c r="AA219" s="320"/>
    </row>
    <row r="220" spans="1:27" s="300" customFormat="1" ht="31.2">
      <c r="A220" s="317" t="s">
        <v>1857</v>
      </c>
      <c r="B220" s="318" t="s">
        <v>2006</v>
      </c>
      <c r="C220" s="63">
        <f t="shared" si="11"/>
        <v>12245.18</v>
      </c>
      <c r="D220" s="319"/>
      <c r="E220" s="370">
        <v>12245.18</v>
      </c>
      <c r="F220" s="370"/>
      <c r="G220" s="370"/>
      <c r="H220" s="63"/>
      <c r="I220" s="63"/>
      <c r="J220" s="63">
        <f t="shared" si="10"/>
        <v>0</v>
      </c>
      <c r="K220" s="63"/>
      <c r="L220" s="63"/>
      <c r="M220" s="63"/>
      <c r="N220" s="63"/>
      <c r="O220" s="370">
        <v>12073.090131999999</v>
      </c>
      <c r="P220" s="370"/>
      <c r="Q220" s="370"/>
      <c r="R220" s="63"/>
      <c r="S220" s="63"/>
      <c r="T220" s="63"/>
      <c r="U220" s="63"/>
      <c r="V220" s="370"/>
      <c r="W220" s="63">
        <v>154.108</v>
      </c>
      <c r="X220" s="320"/>
      <c r="Y220" s="320"/>
      <c r="Z220" s="320"/>
      <c r="AA220" s="320"/>
    </row>
    <row r="221" spans="1:27" s="300" customFormat="1" ht="31.2">
      <c r="A221" s="317" t="s">
        <v>1858</v>
      </c>
      <c r="B221" s="318" t="s">
        <v>2007</v>
      </c>
      <c r="C221" s="63">
        <f t="shared" si="11"/>
        <v>10355.5</v>
      </c>
      <c r="D221" s="319"/>
      <c r="E221" s="370">
        <v>10355.5</v>
      </c>
      <c r="F221" s="370"/>
      <c r="G221" s="370"/>
      <c r="H221" s="63"/>
      <c r="I221" s="63"/>
      <c r="J221" s="63">
        <f t="shared" si="10"/>
        <v>0</v>
      </c>
      <c r="K221" s="63"/>
      <c r="L221" s="63"/>
      <c r="M221" s="63"/>
      <c r="N221" s="63"/>
      <c r="O221" s="370">
        <v>10156.71255</v>
      </c>
      <c r="P221" s="370"/>
      <c r="Q221" s="370"/>
      <c r="R221" s="63"/>
      <c r="S221" s="63"/>
      <c r="T221" s="63"/>
      <c r="U221" s="63"/>
      <c r="V221" s="370"/>
      <c r="W221" s="63">
        <v>159.73599999999999</v>
      </c>
      <c r="X221" s="320"/>
      <c r="Y221" s="320"/>
      <c r="Z221" s="320"/>
      <c r="AA221" s="320"/>
    </row>
    <row r="222" spans="1:27" s="300" customFormat="1" ht="31.2">
      <c r="A222" s="317" t="s">
        <v>1859</v>
      </c>
      <c r="B222" s="318" t="s">
        <v>1950</v>
      </c>
      <c r="C222" s="63">
        <f t="shared" si="11"/>
        <v>14119.51</v>
      </c>
      <c r="D222" s="319"/>
      <c r="E222" s="370">
        <v>14119.51</v>
      </c>
      <c r="F222" s="370"/>
      <c r="G222" s="370"/>
      <c r="H222" s="63"/>
      <c r="I222" s="63"/>
      <c r="J222" s="63">
        <f t="shared" si="10"/>
        <v>0</v>
      </c>
      <c r="K222" s="63"/>
      <c r="L222" s="63"/>
      <c r="M222" s="63"/>
      <c r="N222" s="63"/>
      <c r="O222" s="370">
        <v>13772.34081</v>
      </c>
      <c r="P222" s="370"/>
      <c r="Q222" s="370"/>
      <c r="R222" s="63"/>
      <c r="S222" s="63"/>
      <c r="T222" s="63"/>
      <c r="U222" s="63"/>
      <c r="V222" s="370"/>
      <c r="W222" s="63">
        <v>237.93199999999999</v>
      </c>
      <c r="X222" s="320"/>
      <c r="Y222" s="320"/>
      <c r="Z222" s="320"/>
      <c r="AA222" s="320"/>
    </row>
    <row r="223" spans="1:27" s="300" customFormat="1" ht="31.2">
      <c r="A223" s="317" t="s">
        <v>1860</v>
      </c>
      <c r="B223" s="318" t="s">
        <v>1946</v>
      </c>
      <c r="C223" s="63">
        <f t="shared" si="11"/>
        <v>8691</v>
      </c>
      <c r="D223" s="319"/>
      <c r="E223" s="370">
        <v>8691</v>
      </c>
      <c r="F223" s="370"/>
      <c r="G223" s="370"/>
      <c r="H223" s="63"/>
      <c r="I223" s="63"/>
      <c r="J223" s="63">
        <f t="shared" si="10"/>
        <v>0</v>
      </c>
      <c r="K223" s="63"/>
      <c r="L223" s="63"/>
      <c r="M223" s="63"/>
      <c r="N223" s="63"/>
      <c r="O223" s="370">
        <v>8690.2000000000007</v>
      </c>
      <c r="P223" s="370"/>
      <c r="Q223" s="370"/>
      <c r="R223" s="63"/>
      <c r="S223" s="63"/>
      <c r="T223" s="63"/>
      <c r="U223" s="63"/>
      <c r="V223" s="370"/>
      <c r="W223" s="63"/>
      <c r="X223" s="320"/>
      <c r="Y223" s="320"/>
      <c r="Z223" s="320"/>
      <c r="AA223" s="320"/>
    </row>
    <row r="224" spans="1:27" s="331" customFormat="1">
      <c r="A224" s="317" t="s">
        <v>1861</v>
      </c>
      <c r="B224" s="401" t="s">
        <v>529</v>
      </c>
      <c r="C224" s="63">
        <f t="shared" si="11"/>
        <v>0</v>
      </c>
      <c r="D224" s="402"/>
      <c r="E224" s="389"/>
      <c r="F224" s="389"/>
      <c r="G224" s="389"/>
      <c r="H224" s="387"/>
      <c r="I224" s="387"/>
      <c r="J224" s="63">
        <f t="shared" si="10"/>
        <v>0</v>
      </c>
      <c r="K224" s="387"/>
      <c r="L224" s="387"/>
      <c r="M224" s="387"/>
      <c r="N224" s="387"/>
      <c r="O224" s="389"/>
      <c r="P224" s="389"/>
      <c r="Q224" s="389"/>
      <c r="R224" s="387"/>
      <c r="S224" s="387"/>
      <c r="T224" s="387"/>
      <c r="U224" s="387"/>
      <c r="V224" s="389"/>
      <c r="W224" s="387"/>
      <c r="X224" s="391"/>
      <c r="Y224" s="391"/>
      <c r="Z224" s="391"/>
      <c r="AA224" s="391"/>
    </row>
    <row r="225" spans="1:27" s="331" customFormat="1">
      <c r="A225" s="317" t="s">
        <v>1862</v>
      </c>
      <c r="B225" s="401" t="s">
        <v>1999</v>
      </c>
      <c r="C225" s="63">
        <f t="shared" si="11"/>
        <v>0</v>
      </c>
      <c r="D225" s="402"/>
      <c r="E225" s="389"/>
      <c r="F225" s="389"/>
      <c r="G225" s="389"/>
      <c r="H225" s="387"/>
      <c r="I225" s="387"/>
      <c r="J225" s="63">
        <f t="shared" si="10"/>
        <v>0</v>
      </c>
      <c r="K225" s="387"/>
      <c r="L225" s="387"/>
      <c r="M225" s="387"/>
      <c r="N225" s="387"/>
      <c r="O225" s="389"/>
      <c r="P225" s="389"/>
      <c r="Q225" s="389"/>
      <c r="R225" s="387"/>
      <c r="S225" s="387"/>
      <c r="T225" s="387"/>
      <c r="U225" s="387"/>
      <c r="V225" s="389"/>
      <c r="W225" s="387"/>
      <c r="X225" s="391"/>
      <c r="Y225" s="391"/>
      <c r="Z225" s="391"/>
      <c r="AA225" s="391"/>
    </row>
    <row r="226" spans="1:27" s="300" customFormat="1">
      <c r="A226" s="317" t="s">
        <v>1863</v>
      </c>
      <c r="B226" s="318" t="s">
        <v>2000</v>
      </c>
      <c r="C226" s="63">
        <f t="shared" si="11"/>
        <v>12632.6</v>
      </c>
      <c r="D226" s="319"/>
      <c r="E226" s="370">
        <v>12632.6</v>
      </c>
      <c r="F226" s="370"/>
      <c r="G226" s="370"/>
      <c r="H226" s="63"/>
      <c r="I226" s="63"/>
      <c r="J226" s="63">
        <f t="shared" si="10"/>
        <v>0</v>
      </c>
      <c r="K226" s="63"/>
      <c r="L226" s="63"/>
      <c r="M226" s="63"/>
      <c r="N226" s="63"/>
      <c r="O226" s="370">
        <v>12344.519</v>
      </c>
      <c r="P226" s="370"/>
      <c r="Q226" s="370"/>
      <c r="R226" s="63"/>
      <c r="S226" s="63"/>
      <c r="T226" s="63"/>
      <c r="U226" s="63"/>
      <c r="V226" s="370"/>
      <c r="W226" s="63"/>
      <c r="X226" s="320"/>
      <c r="Y226" s="320"/>
      <c r="Z226" s="320"/>
      <c r="AA226" s="320"/>
    </row>
    <row r="227" spans="1:27" s="300" customFormat="1" ht="31.2">
      <c r="A227" s="317" t="s">
        <v>1864</v>
      </c>
      <c r="B227" s="318" t="s">
        <v>1942</v>
      </c>
      <c r="C227" s="63">
        <f t="shared" si="11"/>
        <v>4007.04</v>
      </c>
      <c r="D227" s="319"/>
      <c r="E227" s="370">
        <v>4007.04</v>
      </c>
      <c r="F227" s="370"/>
      <c r="G227" s="370"/>
      <c r="H227" s="63"/>
      <c r="I227" s="63"/>
      <c r="J227" s="63">
        <f t="shared" si="10"/>
        <v>0</v>
      </c>
      <c r="K227" s="63"/>
      <c r="L227" s="63"/>
      <c r="M227" s="63"/>
      <c r="N227" s="63"/>
      <c r="O227" s="370">
        <v>3962.6503120000002</v>
      </c>
      <c r="P227" s="370"/>
      <c r="Q227" s="370"/>
      <c r="R227" s="63"/>
      <c r="S227" s="63"/>
      <c r="T227" s="63"/>
      <c r="U227" s="63"/>
      <c r="V227" s="370"/>
      <c r="W227" s="63"/>
      <c r="X227" s="320"/>
      <c r="Y227" s="320"/>
      <c r="Z227" s="320"/>
      <c r="AA227" s="320"/>
    </row>
    <row r="228" spans="1:27" s="300" customFormat="1" ht="31.2">
      <c r="A228" s="317" t="s">
        <v>1865</v>
      </c>
      <c r="B228" s="318" t="s">
        <v>2001</v>
      </c>
      <c r="C228" s="63">
        <f t="shared" si="11"/>
        <v>13452.7</v>
      </c>
      <c r="D228" s="319"/>
      <c r="E228" s="370">
        <v>13452.7</v>
      </c>
      <c r="F228" s="370"/>
      <c r="G228" s="370"/>
      <c r="H228" s="63"/>
      <c r="I228" s="63"/>
      <c r="J228" s="63">
        <f t="shared" si="10"/>
        <v>0</v>
      </c>
      <c r="K228" s="63"/>
      <c r="L228" s="63"/>
      <c r="M228" s="63"/>
      <c r="N228" s="63"/>
      <c r="O228" s="370">
        <v>13416.308230000001</v>
      </c>
      <c r="P228" s="370"/>
      <c r="Q228" s="370"/>
      <c r="R228" s="63"/>
      <c r="S228" s="63"/>
      <c r="T228" s="63"/>
      <c r="U228" s="63"/>
      <c r="V228" s="370"/>
      <c r="W228" s="63"/>
      <c r="X228" s="320"/>
      <c r="Y228" s="320"/>
      <c r="Z228" s="320"/>
      <c r="AA228" s="320"/>
    </row>
    <row r="229" spans="1:27" s="300" customFormat="1">
      <c r="A229" s="317" t="s">
        <v>1866</v>
      </c>
      <c r="B229" s="318" t="s">
        <v>1555</v>
      </c>
      <c r="C229" s="63">
        <f t="shared" si="11"/>
        <v>10265.341289</v>
      </c>
      <c r="D229" s="319"/>
      <c r="E229" s="370">
        <v>10265.341289</v>
      </c>
      <c r="F229" s="370"/>
      <c r="G229" s="370"/>
      <c r="H229" s="63"/>
      <c r="I229" s="63"/>
      <c r="J229" s="63">
        <f t="shared" si="10"/>
        <v>0</v>
      </c>
      <c r="K229" s="63"/>
      <c r="L229" s="63"/>
      <c r="M229" s="63"/>
      <c r="N229" s="63"/>
      <c r="O229" s="370">
        <v>10254.137289</v>
      </c>
      <c r="P229" s="370"/>
      <c r="Q229" s="370"/>
      <c r="R229" s="63"/>
      <c r="S229" s="63"/>
      <c r="T229" s="63"/>
      <c r="U229" s="63"/>
      <c r="V229" s="370"/>
      <c r="W229" s="63"/>
      <c r="X229" s="320"/>
      <c r="Y229" s="320"/>
      <c r="Z229" s="320"/>
      <c r="AA229" s="320"/>
    </row>
    <row r="230" spans="1:27" s="300" customFormat="1">
      <c r="A230" s="317" t="s">
        <v>1867</v>
      </c>
      <c r="B230" s="318" t="s">
        <v>1636</v>
      </c>
      <c r="C230" s="63">
        <f t="shared" si="11"/>
        <v>7690.66</v>
      </c>
      <c r="D230" s="319"/>
      <c r="E230" s="370">
        <v>7690.66</v>
      </c>
      <c r="F230" s="370"/>
      <c r="G230" s="370"/>
      <c r="H230" s="63"/>
      <c r="I230" s="63"/>
      <c r="J230" s="63">
        <f t="shared" si="10"/>
        <v>0</v>
      </c>
      <c r="K230" s="63"/>
      <c r="L230" s="63"/>
      <c r="M230" s="63"/>
      <c r="N230" s="63"/>
      <c r="O230" s="370">
        <v>7690.66</v>
      </c>
      <c r="P230" s="370"/>
      <c r="Q230" s="370"/>
      <c r="R230" s="63"/>
      <c r="S230" s="63"/>
      <c r="T230" s="63"/>
      <c r="U230" s="63"/>
      <c r="V230" s="370"/>
      <c r="W230" s="63"/>
      <c r="X230" s="320"/>
      <c r="Y230" s="320"/>
      <c r="Z230" s="320"/>
      <c r="AA230" s="320"/>
    </row>
    <row r="231" spans="1:27" s="300" customFormat="1" ht="31.2">
      <c r="A231" s="317" t="s">
        <v>1868</v>
      </c>
      <c r="B231" s="318" t="s">
        <v>2002</v>
      </c>
      <c r="C231" s="63">
        <f t="shared" si="11"/>
        <v>5230</v>
      </c>
      <c r="D231" s="319"/>
      <c r="E231" s="370">
        <v>5230</v>
      </c>
      <c r="F231" s="370"/>
      <c r="G231" s="370"/>
      <c r="H231" s="63"/>
      <c r="I231" s="63"/>
      <c r="J231" s="63">
        <f t="shared" si="10"/>
        <v>0</v>
      </c>
      <c r="K231" s="63"/>
      <c r="L231" s="63"/>
      <c r="M231" s="63"/>
      <c r="N231" s="63"/>
      <c r="O231" s="660">
        <v>5152.424</v>
      </c>
      <c r="P231" s="669"/>
      <c r="Q231" s="669"/>
      <c r="R231" s="63"/>
      <c r="S231" s="63"/>
      <c r="T231" s="63"/>
      <c r="U231" s="63"/>
      <c r="V231" s="370"/>
      <c r="W231" s="63"/>
      <c r="X231" s="320"/>
      <c r="Y231" s="320"/>
      <c r="Z231" s="320"/>
      <c r="AA231" s="320"/>
    </row>
    <row r="232" spans="1:27" s="300" customFormat="1">
      <c r="A232" s="317" t="s">
        <v>1869</v>
      </c>
      <c r="B232" s="318" t="s">
        <v>1952</v>
      </c>
      <c r="C232" s="63">
        <f t="shared" si="11"/>
        <v>9212.2520000000004</v>
      </c>
      <c r="D232" s="319"/>
      <c r="E232" s="370">
        <v>9212.2520000000004</v>
      </c>
      <c r="F232" s="370"/>
      <c r="G232" s="370"/>
      <c r="H232" s="63"/>
      <c r="I232" s="63"/>
      <c r="J232" s="63">
        <f t="shared" si="10"/>
        <v>0</v>
      </c>
      <c r="K232" s="63"/>
      <c r="L232" s="63"/>
      <c r="M232" s="63"/>
      <c r="N232" s="63"/>
      <c r="O232" s="370">
        <v>9111.1380000000008</v>
      </c>
      <c r="P232" s="370"/>
      <c r="Q232" s="370"/>
      <c r="R232" s="63"/>
      <c r="S232" s="63"/>
      <c r="T232" s="63"/>
      <c r="U232" s="63"/>
      <c r="V232" s="370"/>
      <c r="W232" s="63"/>
      <c r="X232" s="320"/>
      <c r="Y232" s="320"/>
      <c r="Z232" s="320"/>
      <c r="AA232" s="320"/>
    </row>
    <row r="233" spans="1:27" s="300" customFormat="1">
      <c r="A233" s="317" t="s">
        <v>1870</v>
      </c>
      <c r="B233" s="318" t="s">
        <v>1565</v>
      </c>
      <c r="C233" s="63">
        <f t="shared" si="11"/>
        <v>5208.8999999999996</v>
      </c>
      <c r="D233" s="319"/>
      <c r="E233" s="370">
        <v>5208.8999999999996</v>
      </c>
      <c r="F233" s="370"/>
      <c r="G233" s="370"/>
      <c r="H233" s="63"/>
      <c r="I233" s="63"/>
      <c r="J233" s="63">
        <f t="shared" si="10"/>
        <v>0</v>
      </c>
      <c r="K233" s="63"/>
      <c r="L233" s="63"/>
      <c r="M233" s="63"/>
      <c r="N233" s="63"/>
      <c r="O233" s="370">
        <v>5179.5434999999998</v>
      </c>
      <c r="P233" s="370"/>
      <c r="Q233" s="370"/>
      <c r="R233" s="63"/>
      <c r="S233" s="63"/>
      <c r="T233" s="63"/>
      <c r="U233" s="63"/>
      <c r="V233" s="370"/>
      <c r="W233" s="63"/>
      <c r="X233" s="320"/>
      <c r="Y233" s="320"/>
      <c r="Z233" s="320"/>
      <c r="AA233" s="320"/>
    </row>
    <row r="234" spans="1:27" s="300" customFormat="1" ht="31.2">
      <c r="A234" s="317" t="s">
        <v>1871</v>
      </c>
      <c r="B234" s="318" t="s">
        <v>1635</v>
      </c>
      <c r="C234" s="63">
        <f t="shared" si="11"/>
        <v>6555.8</v>
      </c>
      <c r="D234" s="319"/>
      <c r="E234" s="370">
        <v>6555.8</v>
      </c>
      <c r="F234" s="370"/>
      <c r="G234" s="370"/>
      <c r="H234" s="63"/>
      <c r="I234" s="63"/>
      <c r="J234" s="63">
        <f t="shared" si="10"/>
        <v>0</v>
      </c>
      <c r="K234" s="63"/>
      <c r="L234" s="63"/>
      <c r="M234" s="63"/>
      <c r="N234" s="63"/>
      <c r="O234" s="370">
        <v>6545.0550000000003</v>
      </c>
      <c r="P234" s="370"/>
      <c r="Q234" s="370"/>
      <c r="R234" s="63"/>
      <c r="S234" s="63"/>
      <c r="T234" s="63"/>
      <c r="U234" s="63"/>
      <c r="V234" s="370"/>
      <c r="W234" s="63"/>
      <c r="X234" s="320"/>
      <c r="Y234" s="320"/>
      <c r="Z234" s="320"/>
      <c r="AA234" s="320"/>
    </row>
    <row r="235" spans="1:27" s="300" customFormat="1">
      <c r="A235" s="317" t="s">
        <v>1872</v>
      </c>
      <c r="B235" s="318" t="s">
        <v>1558</v>
      </c>
      <c r="C235" s="63">
        <f t="shared" si="11"/>
        <v>6504.4412490000004</v>
      </c>
      <c r="D235" s="319"/>
      <c r="E235" s="370">
        <v>6504.4412490000004</v>
      </c>
      <c r="F235" s="370"/>
      <c r="G235" s="370"/>
      <c r="H235" s="63"/>
      <c r="I235" s="63"/>
      <c r="J235" s="63">
        <f t="shared" si="10"/>
        <v>0</v>
      </c>
      <c r="K235" s="63"/>
      <c r="L235" s="63"/>
      <c r="M235" s="63"/>
      <c r="N235" s="63"/>
      <c r="O235" s="370">
        <v>6494.2312490000004</v>
      </c>
      <c r="P235" s="370"/>
      <c r="Q235" s="370"/>
      <c r="R235" s="63"/>
      <c r="S235" s="63"/>
      <c r="T235" s="63"/>
      <c r="U235" s="63"/>
      <c r="V235" s="370"/>
      <c r="W235" s="63"/>
      <c r="X235" s="320"/>
      <c r="Y235" s="320"/>
      <c r="Z235" s="320"/>
      <c r="AA235" s="320"/>
    </row>
    <row r="236" spans="1:27" s="300" customFormat="1">
      <c r="A236" s="317" t="s">
        <v>1873</v>
      </c>
      <c r="B236" s="318" t="s">
        <v>2003</v>
      </c>
      <c r="C236" s="63">
        <f t="shared" si="11"/>
        <v>3582.7750000000001</v>
      </c>
      <c r="D236" s="319"/>
      <c r="E236" s="370">
        <v>3582.7750000000001</v>
      </c>
      <c r="F236" s="370"/>
      <c r="G236" s="370"/>
      <c r="H236" s="63"/>
      <c r="I236" s="63"/>
      <c r="J236" s="63">
        <f t="shared" si="10"/>
        <v>0</v>
      </c>
      <c r="K236" s="63"/>
      <c r="L236" s="63"/>
      <c r="M236" s="63"/>
      <c r="N236" s="63"/>
      <c r="O236" s="370">
        <v>3581.9720000000002</v>
      </c>
      <c r="P236" s="370"/>
      <c r="Q236" s="370"/>
      <c r="R236" s="63"/>
      <c r="S236" s="63"/>
      <c r="T236" s="63"/>
      <c r="U236" s="63"/>
      <c r="V236" s="370"/>
      <c r="W236" s="63"/>
      <c r="X236" s="320"/>
      <c r="Y236" s="320"/>
      <c r="Z236" s="320"/>
      <c r="AA236" s="320"/>
    </row>
    <row r="237" spans="1:27" s="300" customFormat="1" ht="31.2">
      <c r="A237" s="317" t="s">
        <v>1874</v>
      </c>
      <c r="B237" s="318" t="s">
        <v>1659</v>
      </c>
      <c r="C237" s="63">
        <f t="shared" si="11"/>
        <v>3557.18</v>
      </c>
      <c r="D237" s="319"/>
      <c r="E237" s="370">
        <v>3557.18</v>
      </c>
      <c r="F237" s="370"/>
      <c r="G237" s="370"/>
      <c r="H237" s="63"/>
      <c r="I237" s="63"/>
      <c r="J237" s="63">
        <f t="shared" si="10"/>
        <v>0</v>
      </c>
      <c r="K237" s="63"/>
      <c r="L237" s="63"/>
      <c r="M237" s="63"/>
      <c r="N237" s="63"/>
      <c r="O237" s="370">
        <v>3516.6621209999998</v>
      </c>
      <c r="P237" s="370"/>
      <c r="Q237" s="370"/>
      <c r="R237" s="63"/>
      <c r="S237" s="63"/>
      <c r="T237" s="63"/>
      <c r="U237" s="63"/>
      <c r="V237" s="370"/>
      <c r="W237" s="63">
        <v>1.3818790000000001</v>
      </c>
      <c r="X237" s="320"/>
      <c r="Y237" s="320"/>
      <c r="Z237" s="320"/>
      <c r="AA237" s="320"/>
    </row>
    <row r="238" spans="1:27" s="300" customFormat="1">
      <c r="A238" s="317" t="s">
        <v>2277</v>
      </c>
      <c r="B238" s="318" t="s">
        <v>2008</v>
      </c>
      <c r="C238" s="63">
        <f t="shared" si="11"/>
        <v>6179.0050000000001</v>
      </c>
      <c r="D238" s="319"/>
      <c r="E238" s="370">
        <v>6179.0050000000001</v>
      </c>
      <c r="F238" s="370"/>
      <c r="G238" s="370"/>
      <c r="H238" s="63"/>
      <c r="I238" s="63"/>
      <c r="J238" s="63">
        <f t="shared" si="10"/>
        <v>0</v>
      </c>
      <c r="K238" s="63"/>
      <c r="L238" s="63"/>
      <c r="M238" s="63"/>
      <c r="N238" s="63"/>
      <c r="O238" s="370">
        <v>6159.4780000000001</v>
      </c>
      <c r="P238" s="370"/>
      <c r="Q238" s="370"/>
      <c r="R238" s="63"/>
      <c r="S238" s="63"/>
      <c r="T238" s="63"/>
      <c r="U238" s="63"/>
      <c r="V238" s="370"/>
      <c r="W238" s="63"/>
      <c r="X238" s="320"/>
      <c r="Y238" s="320"/>
      <c r="Z238" s="320"/>
      <c r="AA238" s="320"/>
    </row>
    <row r="239" spans="1:27" s="300" customFormat="1">
      <c r="A239" s="317" t="s">
        <v>2278</v>
      </c>
      <c r="B239" s="318" t="s">
        <v>2037</v>
      </c>
      <c r="C239" s="63">
        <f t="shared" si="11"/>
        <v>8648</v>
      </c>
      <c r="D239" s="319"/>
      <c r="E239" s="370">
        <v>8648</v>
      </c>
      <c r="F239" s="370"/>
      <c r="G239" s="370"/>
      <c r="H239" s="63"/>
      <c r="I239" s="63"/>
      <c r="J239" s="63">
        <f t="shared" si="10"/>
        <v>0</v>
      </c>
      <c r="K239" s="63"/>
      <c r="L239" s="63"/>
      <c r="M239" s="63"/>
      <c r="N239" s="63"/>
      <c r="O239" s="370">
        <v>8638.0609999999997</v>
      </c>
      <c r="P239" s="370"/>
      <c r="Q239" s="370"/>
      <c r="R239" s="63"/>
      <c r="S239" s="63"/>
      <c r="T239" s="63"/>
      <c r="U239" s="63"/>
      <c r="V239" s="370"/>
      <c r="W239" s="63"/>
      <c r="X239" s="320"/>
      <c r="Y239" s="320"/>
      <c r="Z239" s="320"/>
      <c r="AA239" s="320"/>
    </row>
    <row r="240" spans="1:27" s="300" customFormat="1">
      <c r="A240" s="317" t="s">
        <v>2279</v>
      </c>
      <c r="B240" s="318" t="s">
        <v>1656</v>
      </c>
      <c r="C240" s="63">
        <f t="shared" si="11"/>
        <v>7124</v>
      </c>
      <c r="D240" s="319"/>
      <c r="E240" s="370">
        <v>7124</v>
      </c>
      <c r="F240" s="370"/>
      <c r="G240" s="370"/>
      <c r="H240" s="63"/>
      <c r="I240" s="63"/>
      <c r="J240" s="63">
        <f t="shared" si="10"/>
        <v>0</v>
      </c>
      <c r="K240" s="63"/>
      <c r="L240" s="63"/>
      <c r="M240" s="63"/>
      <c r="N240" s="63"/>
      <c r="O240" s="370">
        <v>7084.3220000000001</v>
      </c>
      <c r="P240" s="370"/>
      <c r="Q240" s="370"/>
      <c r="R240" s="63"/>
      <c r="S240" s="63"/>
      <c r="T240" s="63"/>
      <c r="U240" s="63"/>
      <c r="V240" s="370"/>
      <c r="W240" s="63"/>
      <c r="X240" s="320"/>
      <c r="Y240" s="320"/>
      <c r="Z240" s="320"/>
      <c r="AA240" s="320"/>
    </row>
    <row r="241" spans="1:27" s="300" customFormat="1">
      <c r="A241" s="317" t="s">
        <v>2280</v>
      </c>
      <c r="B241" s="318" t="s">
        <v>1633</v>
      </c>
      <c r="C241" s="63">
        <f t="shared" si="11"/>
        <v>6943</v>
      </c>
      <c r="D241" s="319"/>
      <c r="E241" s="370">
        <v>6943</v>
      </c>
      <c r="F241" s="370"/>
      <c r="G241" s="370"/>
      <c r="H241" s="63"/>
      <c r="I241" s="63"/>
      <c r="J241" s="63">
        <f t="shared" si="10"/>
        <v>150</v>
      </c>
      <c r="K241" s="63"/>
      <c r="L241" s="370">
        <v>150</v>
      </c>
      <c r="M241" s="63"/>
      <c r="N241" s="63"/>
      <c r="O241" s="370">
        <v>6512.224236</v>
      </c>
      <c r="P241" s="370"/>
      <c r="Q241" s="370"/>
      <c r="R241" s="63"/>
      <c r="S241" s="63"/>
      <c r="T241" s="63"/>
      <c r="U241" s="63"/>
      <c r="V241" s="370">
        <v>50.599040000000002</v>
      </c>
      <c r="W241" s="63"/>
      <c r="X241" s="320"/>
      <c r="Y241" s="320"/>
      <c r="Z241" s="320"/>
      <c r="AA241" s="320"/>
    </row>
    <row r="242" spans="1:27" s="300" customFormat="1">
      <c r="A242" s="317" t="s">
        <v>2281</v>
      </c>
      <c r="B242" s="318" t="s">
        <v>1652</v>
      </c>
      <c r="C242" s="63">
        <f t="shared" si="11"/>
        <v>162</v>
      </c>
      <c r="D242" s="319"/>
      <c r="E242" s="370">
        <v>162</v>
      </c>
      <c r="F242" s="370"/>
      <c r="G242" s="370"/>
      <c r="H242" s="63"/>
      <c r="I242" s="63"/>
      <c r="J242" s="63">
        <f t="shared" si="10"/>
        <v>0</v>
      </c>
      <c r="K242" s="63"/>
      <c r="L242" s="63"/>
      <c r="M242" s="63"/>
      <c r="N242" s="63"/>
      <c r="O242" s="370">
        <v>162</v>
      </c>
      <c r="P242" s="370"/>
      <c r="Q242" s="370"/>
      <c r="R242" s="63"/>
      <c r="S242" s="63"/>
      <c r="T242" s="63"/>
      <c r="U242" s="63"/>
      <c r="V242" s="370"/>
      <c r="W242" s="63"/>
      <c r="X242" s="320"/>
      <c r="Y242" s="320"/>
      <c r="Z242" s="320"/>
      <c r="AA242" s="320"/>
    </row>
    <row r="243" spans="1:27" s="300" customFormat="1">
      <c r="A243" s="317" t="s">
        <v>2282</v>
      </c>
      <c r="B243" s="318" t="s">
        <v>1941</v>
      </c>
      <c r="C243" s="63">
        <f t="shared" si="11"/>
        <v>7341.6220000000003</v>
      </c>
      <c r="D243" s="319"/>
      <c r="E243" s="370">
        <v>7341.6220000000003</v>
      </c>
      <c r="F243" s="370"/>
      <c r="G243" s="370"/>
      <c r="H243" s="63"/>
      <c r="I243" s="63"/>
      <c r="J243" s="63">
        <f t="shared" si="10"/>
        <v>0</v>
      </c>
      <c r="K243" s="63"/>
      <c r="L243" s="63"/>
      <c r="M243" s="63"/>
      <c r="N243" s="63"/>
      <c r="O243" s="370">
        <v>7337.0766149999999</v>
      </c>
      <c r="P243" s="370"/>
      <c r="Q243" s="370"/>
      <c r="R243" s="63"/>
      <c r="S243" s="63"/>
      <c r="T243" s="63"/>
      <c r="U243" s="63"/>
      <c r="V243" s="370"/>
      <c r="W243" s="63"/>
      <c r="X243" s="320"/>
      <c r="Y243" s="320"/>
      <c r="Z243" s="320"/>
      <c r="AA243" s="320"/>
    </row>
    <row r="244" spans="1:27" s="48" customFormat="1">
      <c r="A244" s="317" t="s">
        <v>2283</v>
      </c>
      <c r="B244" s="318" t="s">
        <v>2004</v>
      </c>
      <c r="C244" s="63">
        <f t="shared" si="11"/>
        <v>20867.950700000001</v>
      </c>
      <c r="D244" s="407"/>
      <c r="E244" s="376">
        <v>20867.950700000001</v>
      </c>
      <c r="F244" s="376"/>
      <c r="G244" s="376"/>
      <c r="H244" s="374"/>
      <c r="I244" s="374"/>
      <c r="J244" s="63">
        <f t="shared" si="10"/>
        <v>0</v>
      </c>
      <c r="K244" s="374"/>
      <c r="L244" s="374"/>
      <c r="M244" s="374"/>
      <c r="N244" s="374"/>
      <c r="O244" s="376">
        <v>20867.950700000001</v>
      </c>
      <c r="P244" s="376"/>
      <c r="Q244" s="376"/>
      <c r="R244" s="374"/>
      <c r="S244" s="374"/>
      <c r="T244" s="374"/>
      <c r="U244" s="374"/>
      <c r="V244" s="376"/>
      <c r="W244" s="374"/>
      <c r="X244" s="378"/>
      <c r="Y244" s="378"/>
      <c r="Z244" s="378"/>
      <c r="AA244" s="378"/>
    </row>
    <row r="245" spans="1:27" s="48" customFormat="1" ht="31.2">
      <c r="A245" s="317" t="s">
        <v>2284</v>
      </c>
      <c r="B245" s="318" t="s">
        <v>1934</v>
      </c>
      <c r="C245" s="63">
        <f t="shared" si="11"/>
        <v>1077</v>
      </c>
      <c r="D245" s="407"/>
      <c r="E245" s="376">
        <v>1077</v>
      </c>
      <c r="F245" s="376"/>
      <c r="G245" s="376"/>
      <c r="H245" s="374"/>
      <c r="I245" s="374"/>
      <c r="J245" s="63">
        <f t="shared" si="10"/>
        <v>0</v>
      </c>
      <c r="K245" s="374"/>
      <c r="L245" s="374"/>
      <c r="M245" s="374"/>
      <c r="N245" s="374"/>
      <c r="O245" s="376">
        <v>1077</v>
      </c>
      <c r="P245" s="376"/>
      <c r="Q245" s="376"/>
      <c r="R245" s="374"/>
      <c r="S245" s="374"/>
      <c r="T245" s="374"/>
      <c r="U245" s="374"/>
      <c r="V245" s="376"/>
      <c r="W245" s="374"/>
      <c r="X245" s="378"/>
      <c r="Y245" s="378"/>
      <c r="Z245" s="378"/>
      <c r="AA245" s="378"/>
    </row>
    <row r="246" spans="1:27" s="331" customFormat="1">
      <c r="A246" s="317" t="s">
        <v>2285</v>
      </c>
      <c r="B246" s="401" t="s">
        <v>1933</v>
      </c>
      <c r="C246" s="63">
        <f t="shared" si="11"/>
        <v>0</v>
      </c>
      <c r="D246" s="402"/>
      <c r="E246" s="389"/>
      <c r="F246" s="389"/>
      <c r="G246" s="389"/>
      <c r="H246" s="387"/>
      <c r="I246" s="387"/>
      <c r="J246" s="63">
        <f t="shared" si="10"/>
        <v>0</v>
      </c>
      <c r="K246" s="387"/>
      <c r="L246" s="387"/>
      <c r="M246" s="387"/>
      <c r="N246" s="387"/>
      <c r="O246" s="389"/>
      <c r="P246" s="389"/>
      <c r="Q246" s="389"/>
      <c r="R246" s="387"/>
      <c r="S246" s="387"/>
      <c r="T246" s="387"/>
      <c r="U246" s="387"/>
      <c r="V246" s="389"/>
      <c r="W246" s="387"/>
      <c r="X246" s="391"/>
      <c r="Y246" s="391"/>
      <c r="Z246" s="391"/>
      <c r="AA246" s="391"/>
    </row>
    <row r="247" spans="1:27" s="48" customFormat="1" ht="46.8">
      <c r="A247" s="317" t="s">
        <v>2286</v>
      </c>
      <c r="B247" s="318" t="s">
        <v>2020</v>
      </c>
      <c r="C247" s="63">
        <f t="shared" si="11"/>
        <v>8882</v>
      </c>
      <c r="D247" s="407"/>
      <c r="E247" s="376">
        <v>8882</v>
      </c>
      <c r="F247" s="376"/>
      <c r="G247" s="376"/>
      <c r="H247" s="374"/>
      <c r="I247" s="374"/>
      <c r="J247" s="63">
        <f t="shared" si="10"/>
        <v>0</v>
      </c>
      <c r="K247" s="374"/>
      <c r="L247" s="374"/>
      <c r="M247" s="374"/>
      <c r="N247" s="374"/>
      <c r="O247" s="376">
        <v>8882</v>
      </c>
      <c r="P247" s="376"/>
      <c r="Q247" s="376"/>
      <c r="R247" s="374"/>
      <c r="S247" s="374"/>
      <c r="T247" s="374"/>
      <c r="U247" s="374"/>
      <c r="V247" s="376"/>
      <c r="W247" s="374"/>
      <c r="X247" s="378"/>
      <c r="Y247" s="378"/>
      <c r="Z247" s="378"/>
      <c r="AA247" s="378"/>
    </row>
    <row r="248" spans="1:27" s="48" customFormat="1" ht="31.2">
      <c r="A248" s="317" t="s">
        <v>2287</v>
      </c>
      <c r="B248" s="318" t="s">
        <v>1932</v>
      </c>
      <c r="C248" s="63">
        <f t="shared" si="11"/>
        <v>17779</v>
      </c>
      <c r="D248" s="407"/>
      <c r="E248" s="376">
        <v>17779</v>
      </c>
      <c r="F248" s="376"/>
      <c r="G248" s="376"/>
      <c r="H248" s="374"/>
      <c r="I248" s="374"/>
      <c r="J248" s="63">
        <f t="shared" si="10"/>
        <v>0</v>
      </c>
      <c r="K248" s="374"/>
      <c r="L248" s="374"/>
      <c r="M248" s="374"/>
      <c r="N248" s="374"/>
      <c r="O248" s="376">
        <v>17779</v>
      </c>
      <c r="P248" s="376"/>
      <c r="Q248" s="376"/>
      <c r="R248" s="374"/>
      <c r="S248" s="374"/>
      <c r="T248" s="374"/>
      <c r="U248" s="374"/>
      <c r="V248" s="376"/>
      <c r="W248" s="374"/>
      <c r="X248" s="378"/>
      <c r="Y248" s="378"/>
      <c r="Z248" s="378"/>
      <c r="AA248" s="378"/>
    </row>
    <row r="249" spans="1:27" s="48" customFormat="1" ht="31.2">
      <c r="A249" s="317" t="s">
        <v>2288</v>
      </c>
      <c r="B249" s="408" t="s">
        <v>2038</v>
      </c>
      <c r="C249" s="63">
        <f t="shared" si="11"/>
        <v>215312.398865</v>
      </c>
      <c r="D249" s="407"/>
      <c r="E249" s="376">
        <f>215301.398865+11</f>
        <v>215312.398865</v>
      </c>
      <c r="F249" s="376"/>
      <c r="G249" s="376"/>
      <c r="H249" s="374"/>
      <c r="I249" s="374"/>
      <c r="J249" s="63">
        <f t="shared" si="10"/>
        <v>0</v>
      </c>
      <c r="K249" s="374"/>
      <c r="L249" s="374"/>
      <c r="M249" s="374"/>
      <c r="N249" s="374"/>
      <c r="O249" s="376">
        <f>215301.398865+11</f>
        <v>215312.398865</v>
      </c>
      <c r="P249" s="376"/>
      <c r="Q249" s="376"/>
      <c r="R249" s="374"/>
      <c r="S249" s="374"/>
      <c r="T249" s="374"/>
      <c r="U249" s="374"/>
      <c r="V249" s="376"/>
      <c r="W249" s="374"/>
      <c r="X249" s="378"/>
      <c r="Y249" s="378"/>
      <c r="Z249" s="378"/>
      <c r="AA249" s="378"/>
    </row>
    <row r="250" spans="1:27" s="48" customFormat="1" ht="31.2">
      <c r="A250" s="317" t="s">
        <v>2289</v>
      </c>
      <c r="B250" s="409" t="s">
        <v>2005</v>
      </c>
      <c r="C250" s="63">
        <f t="shared" si="11"/>
        <v>369.2</v>
      </c>
      <c r="D250" s="407"/>
      <c r="E250" s="376">
        <v>369.2</v>
      </c>
      <c r="F250" s="376"/>
      <c r="G250" s="376"/>
      <c r="H250" s="374"/>
      <c r="I250" s="374"/>
      <c r="J250" s="63">
        <f t="shared" si="10"/>
        <v>700</v>
      </c>
      <c r="K250" s="374"/>
      <c r="L250" s="376">
        <v>700</v>
      </c>
      <c r="M250" s="374"/>
      <c r="N250" s="374"/>
      <c r="O250" s="376">
        <v>369.2</v>
      </c>
      <c r="P250" s="376"/>
      <c r="Q250" s="376"/>
      <c r="R250" s="374"/>
      <c r="S250" s="374"/>
      <c r="T250" s="374"/>
      <c r="U250" s="374"/>
      <c r="V250" s="376">
        <v>674.88199999999995</v>
      </c>
      <c r="W250" s="374"/>
      <c r="X250" s="378"/>
      <c r="Y250" s="378"/>
      <c r="Z250" s="378"/>
      <c r="AA250" s="378"/>
    </row>
    <row r="251" spans="1:27" s="406" customFormat="1" ht="31.2">
      <c r="A251" s="317" t="s">
        <v>2290</v>
      </c>
      <c r="B251" s="379" t="s">
        <v>2039</v>
      </c>
      <c r="C251" s="63">
        <f t="shared" si="11"/>
        <v>557</v>
      </c>
      <c r="D251" s="381"/>
      <c r="E251" s="382">
        <v>557</v>
      </c>
      <c r="F251" s="382"/>
      <c r="G251" s="382"/>
      <c r="H251" s="380"/>
      <c r="I251" s="380"/>
      <c r="J251" s="63">
        <f t="shared" si="10"/>
        <v>0</v>
      </c>
      <c r="K251" s="380"/>
      <c r="L251" s="380"/>
      <c r="M251" s="380"/>
      <c r="N251" s="380"/>
      <c r="O251" s="382">
        <v>557</v>
      </c>
      <c r="P251" s="382"/>
      <c r="Q251" s="382"/>
      <c r="R251" s="380"/>
      <c r="S251" s="380"/>
      <c r="T251" s="380"/>
      <c r="U251" s="380"/>
      <c r="V251" s="382"/>
      <c r="W251" s="380"/>
      <c r="X251" s="383"/>
      <c r="Y251" s="383"/>
      <c r="Z251" s="383"/>
      <c r="AA251" s="383"/>
    </row>
    <row r="252" spans="1:27" s="406" customFormat="1">
      <c r="A252" s="317" t="s">
        <v>2291</v>
      </c>
      <c r="B252" s="379" t="s">
        <v>2040</v>
      </c>
      <c r="C252" s="63">
        <f t="shared" si="11"/>
        <v>50</v>
      </c>
      <c r="D252" s="381"/>
      <c r="E252" s="382">
        <v>50</v>
      </c>
      <c r="F252" s="382"/>
      <c r="G252" s="382"/>
      <c r="H252" s="380"/>
      <c r="I252" s="380"/>
      <c r="J252" s="63">
        <f t="shared" si="10"/>
        <v>0</v>
      </c>
      <c r="K252" s="380"/>
      <c r="L252" s="380"/>
      <c r="M252" s="380"/>
      <c r="N252" s="380"/>
      <c r="O252" s="382">
        <v>50</v>
      </c>
      <c r="P252" s="382"/>
      <c r="Q252" s="382"/>
      <c r="R252" s="380"/>
      <c r="S252" s="380"/>
      <c r="T252" s="380"/>
      <c r="U252" s="380"/>
      <c r="V252" s="382"/>
      <c r="W252" s="380"/>
      <c r="X252" s="383"/>
      <c r="Y252" s="383"/>
      <c r="Z252" s="383"/>
      <c r="AA252" s="383"/>
    </row>
    <row r="253" spans="1:27" s="406" customFormat="1">
      <c r="A253" s="317" t="s">
        <v>2292</v>
      </c>
      <c r="B253" s="379" t="s">
        <v>2041</v>
      </c>
      <c r="C253" s="63">
        <f t="shared" si="11"/>
        <v>18929.599999999999</v>
      </c>
      <c r="D253" s="381"/>
      <c r="E253" s="382">
        <v>18929.599999999999</v>
      </c>
      <c r="F253" s="382"/>
      <c r="G253" s="382"/>
      <c r="H253" s="380"/>
      <c r="I253" s="380"/>
      <c r="J253" s="63">
        <f t="shared" si="10"/>
        <v>0</v>
      </c>
      <c r="K253" s="380"/>
      <c r="L253" s="380"/>
      <c r="M253" s="380"/>
      <c r="N253" s="380"/>
      <c r="O253" s="382">
        <v>18929.599999999999</v>
      </c>
      <c r="P253" s="382"/>
      <c r="Q253" s="382"/>
      <c r="R253" s="380"/>
      <c r="S253" s="380"/>
      <c r="T253" s="380"/>
      <c r="U253" s="380"/>
      <c r="V253" s="382"/>
      <c r="W253" s="380"/>
      <c r="X253" s="383"/>
      <c r="Y253" s="383"/>
      <c r="Z253" s="383"/>
      <c r="AA253" s="383"/>
    </row>
    <row r="254" spans="1:27" s="406" customFormat="1">
      <c r="A254" s="317" t="s">
        <v>2293</v>
      </c>
      <c r="B254" s="379"/>
      <c r="C254" s="63">
        <f t="shared" si="11"/>
        <v>0</v>
      </c>
      <c r="D254" s="381"/>
      <c r="E254" s="382"/>
      <c r="F254" s="382"/>
      <c r="G254" s="382"/>
      <c r="H254" s="380"/>
      <c r="I254" s="380"/>
      <c r="J254" s="63">
        <f t="shared" si="10"/>
        <v>0</v>
      </c>
      <c r="K254" s="380"/>
      <c r="L254" s="380"/>
      <c r="M254" s="380"/>
      <c r="N254" s="380"/>
      <c r="O254" s="382"/>
      <c r="P254" s="382"/>
      <c r="Q254" s="382"/>
      <c r="R254" s="380"/>
      <c r="S254" s="380"/>
      <c r="T254" s="380"/>
      <c r="U254" s="380"/>
      <c r="V254" s="382"/>
      <c r="W254" s="380"/>
      <c r="X254" s="383"/>
      <c r="Y254" s="383"/>
      <c r="Z254" s="383"/>
      <c r="AA254" s="383"/>
    </row>
    <row r="255" spans="1:27" s="49" customFormat="1" ht="31.2">
      <c r="A255" s="333" t="s">
        <v>444</v>
      </c>
      <c r="B255" s="334" t="s">
        <v>2015</v>
      </c>
      <c r="C255" s="59">
        <f t="shared" ref="C255:M255" si="12">SUM(C256:C265)</f>
        <v>280293.56099999999</v>
      </c>
      <c r="D255" s="59">
        <f t="shared" ref="D255" si="13">SUM(D256:D265)</f>
        <v>280293.56099999999</v>
      </c>
      <c r="E255" s="59">
        <f t="shared" si="12"/>
        <v>0</v>
      </c>
      <c r="F255" s="59"/>
      <c r="G255" s="59"/>
      <c r="H255" s="59">
        <f t="shared" si="12"/>
        <v>0</v>
      </c>
      <c r="I255" s="59">
        <f t="shared" si="12"/>
        <v>0</v>
      </c>
      <c r="J255" s="63">
        <f t="shared" si="10"/>
        <v>85132.456000000006</v>
      </c>
      <c r="K255" s="59">
        <f t="shared" ref="K255" si="14">SUM(K256:K265)</f>
        <v>85132.456000000006</v>
      </c>
      <c r="L255" s="59">
        <f t="shared" si="12"/>
        <v>0</v>
      </c>
      <c r="M255" s="59">
        <f t="shared" si="12"/>
        <v>0</v>
      </c>
      <c r="N255" s="59">
        <f>SUM(N256:N265)</f>
        <v>371882.98148399999</v>
      </c>
      <c r="O255" s="59">
        <f t="shared" ref="O255:W255" si="15">SUM(O256:O265)</f>
        <v>0</v>
      </c>
      <c r="P255" s="59"/>
      <c r="Q255" s="59"/>
      <c r="R255" s="59">
        <f t="shared" si="15"/>
        <v>0</v>
      </c>
      <c r="S255" s="59">
        <f t="shared" si="15"/>
        <v>0</v>
      </c>
      <c r="T255" s="59">
        <f t="shared" si="15"/>
        <v>0</v>
      </c>
      <c r="U255" s="59">
        <f t="shared" si="15"/>
        <v>86872.697607000009</v>
      </c>
      <c r="V255" s="59">
        <f t="shared" si="15"/>
        <v>0</v>
      </c>
      <c r="W255" s="59">
        <f t="shared" si="15"/>
        <v>0</v>
      </c>
      <c r="X255" s="316"/>
      <c r="Y255" s="316"/>
      <c r="Z255" s="316"/>
      <c r="AA255" s="316"/>
    </row>
    <row r="256" spans="1:27" s="300" customFormat="1">
      <c r="A256" s="317" t="s">
        <v>211</v>
      </c>
      <c r="B256" s="321" t="s">
        <v>609</v>
      </c>
      <c r="C256" s="63">
        <f t="shared" si="11"/>
        <v>22368</v>
      </c>
      <c r="D256" s="70">
        <v>22368</v>
      </c>
      <c r="E256" s="371"/>
      <c r="F256" s="371"/>
      <c r="G256" s="371"/>
      <c r="H256" s="70"/>
      <c r="I256" s="70"/>
      <c r="J256" s="63">
        <f t="shared" si="10"/>
        <v>0</v>
      </c>
      <c r="K256" s="70"/>
      <c r="L256" s="70"/>
      <c r="M256" s="63"/>
      <c r="N256" s="70">
        <v>59752.801597999991</v>
      </c>
      <c r="O256" s="371"/>
      <c r="P256" s="371"/>
      <c r="Q256" s="371"/>
      <c r="R256" s="70"/>
      <c r="S256" s="70"/>
      <c r="T256" s="70"/>
      <c r="U256" s="70"/>
      <c r="V256" s="371"/>
      <c r="W256" s="63"/>
      <c r="X256" s="320"/>
      <c r="Y256" s="320"/>
      <c r="Z256" s="320"/>
      <c r="AA256" s="320"/>
    </row>
    <row r="257" spans="1:28" s="300" customFormat="1">
      <c r="A257" s="317" t="s">
        <v>212</v>
      </c>
      <c r="B257" s="321" t="s">
        <v>610</v>
      </c>
      <c r="C257" s="63">
        <f t="shared" si="11"/>
        <v>28226</v>
      </c>
      <c r="D257" s="70">
        <v>28226</v>
      </c>
      <c r="E257" s="371"/>
      <c r="F257" s="371"/>
      <c r="G257" s="371"/>
      <c r="H257" s="70"/>
      <c r="I257" s="70"/>
      <c r="J257" s="63">
        <f t="shared" si="10"/>
        <v>0</v>
      </c>
      <c r="K257" s="70"/>
      <c r="L257" s="70"/>
      <c r="M257" s="63"/>
      <c r="N257" s="70">
        <v>36687.530355999996</v>
      </c>
      <c r="O257" s="371"/>
      <c r="P257" s="371"/>
      <c r="Q257" s="371"/>
      <c r="R257" s="70"/>
      <c r="S257" s="70"/>
      <c r="T257" s="70"/>
      <c r="U257" s="70"/>
      <c r="V257" s="371"/>
      <c r="W257" s="63"/>
      <c r="X257" s="320"/>
      <c r="Y257" s="320"/>
      <c r="Z257" s="320"/>
      <c r="AA257" s="320"/>
    </row>
    <row r="258" spans="1:28" s="300" customFormat="1">
      <c r="A258" s="317" t="s">
        <v>213</v>
      </c>
      <c r="B258" s="321" t="s">
        <v>611</v>
      </c>
      <c r="C258" s="63">
        <f t="shared" si="11"/>
        <v>8887.9760000000006</v>
      </c>
      <c r="D258" s="70">
        <v>8887.9760000000006</v>
      </c>
      <c r="E258" s="371"/>
      <c r="F258" s="371"/>
      <c r="G258" s="371"/>
      <c r="H258" s="70"/>
      <c r="I258" s="70"/>
      <c r="J258" s="63">
        <f t="shared" si="10"/>
        <v>17351.056</v>
      </c>
      <c r="K258" s="653">
        <v>17351.056</v>
      </c>
      <c r="L258" s="70"/>
      <c r="M258" s="63"/>
      <c r="N258" s="70">
        <v>13940.674000000001</v>
      </c>
      <c r="O258" s="371"/>
      <c r="P258" s="371"/>
      <c r="Q258" s="371"/>
      <c r="R258" s="70"/>
      <c r="S258" s="70"/>
      <c r="T258" s="70"/>
      <c r="U258" s="70">
        <v>4334.5619999999999</v>
      </c>
      <c r="V258" s="371"/>
      <c r="W258" s="63"/>
      <c r="X258" s="320"/>
      <c r="Y258" s="320"/>
      <c r="Z258" s="320"/>
      <c r="AA258" s="320"/>
    </row>
    <row r="259" spans="1:28" s="300" customFormat="1">
      <c r="A259" s="317" t="s">
        <v>214</v>
      </c>
      <c r="B259" s="321" t="s">
        <v>612</v>
      </c>
      <c r="C259" s="63">
        <f t="shared" si="11"/>
        <v>27194</v>
      </c>
      <c r="D259" s="70">
        <v>27194</v>
      </c>
      <c r="E259" s="371"/>
      <c r="F259" s="371"/>
      <c r="G259" s="371"/>
      <c r="H259" s="70"/>
      <c r="I259" s="70"/>
      <c r="J259" s="63">
        <f t="shared" si="10"/>
        <v>15520</v>
      </c>
      <c r="K259" s="653">
        <v>15520</v>
      </c>
      <c r="L259" s="70"/>
      <c r="M259" s="63"/>
      <c r="N259" s="70">
        <v>34799.152999999998</v>
      </c>
      <c r="O259" s="371"/>
      <c r="P259" s="371"/>
      <c r="Q259" s="371"/>
      <c r="R259" s="70"/>
      <c r="S259" s="70"/>
      <c r="T259" s="70"/>
      <c r="U259" s="70">
        <v>18770.345999999998</v>
      </c>
      <c r="V259" s="371"/>
      <c r="W259" s="63"/>
      <c r="X259" s="320"/>
      <c r="Y259" s="320"/>
      <c r="Z259" s="320"/>
      <c r="AA259" s="320"/>
    </row>
    <row r="260" spans="1:28" s="300" customFormat="1">
      <c r="A260" s="317" t="s">
        <v>215</v>
      </c>
      <c r="B260" s="321" t="s">
        <v>613</v>
      </c>
      <c r="C260" s="63">
        <f t="shared" si="11"/>
        <v>16195</v>
      </c>
      <c r="D260" s="70">
        <v>16195</v>
      </c>
      <c r="E260" s="371"/>
      <c r="F260" s="371"/>
      <c r="G260" s="371"/>
      <c r="H260" s="70"/>
      <c r="I260" s="70"/>
      <c r="J260" s="63">
        <f t="shared" si="10"/>
        <v>0</v>
      </c>
      <c r="K260" s="653"/>
      <c r="L260" s="70"/>
      <c r="M260" s="63"/>
      <c r="N260" s="70">
        <v>23880.924100000004</v>
      </c>
      <c r="O260" s="371"/>
      <c r="P260" s="371"/>
      <c r="Q260" s="371"/>
      <c r="R260" s="70"/>
      <c r="S260" s="70"/>
      <c r="T260" s="70"/>
      <c r="U260" s="70"/>
      <c r="V260" s="371"/>
      <c r="W260" s="63"/>
      <c r="X260" s="320"/>
      <c r="Y260" s="320"/>
      <c r="Z260" s="320"/>
      <c r="AA260" s="320"/>
    </row>
    <row r="261" spans="1:28" s="300" customFormat="1">
      <c r="A261" s="317" t="s">
        <v>216</v>
      </c>
      <c r="B261" s="321" t="s">
        <v>614</v>
      </c>
      <c r="C261" s="63">
        <f t="shared" si="11"/>
        <v>23779</v>
      </c>
      <c r="D261" s="70">
        <v>23779</v>
      </c>
      <c r="E261" s="371"/>
      <c r="F261" s="371"/>
      <c r="G261" s="371"/>
      <c r="H261" s="70"/>
      <c r="I261" s="70"/>
      <c r="J261" s="63">
        <f t="shared" si="10"/>
        <v>5390.4</v>
      </c>
      <c r="K261" s="653">
        <v>5390.4</v>
      </c>
      <c r="L261" s="70"/>
      <c r="M261" s="63"/>
      <c r="N261" s="70">
        <v>26626.618178999997</v>
      </c>
      <c r="O261" s="371"/>
      <c r="P261" s="371"/>
      <c r="Q261" s="371"/>
      <c r="R261" s="70"/>
      <c r="S261" s="70"/>
      <c r="T261" s="70"/>
      <c r="U261" s="70">
        <v>5796.0819070000007</v>
      </c>
      <c r="V261" s="371"/>
      <c r="W261" s="63"/>
      <c r="X261" s="320"/>
      <c r="Y261" s="320"/>
      <c r="Z261" s="320"/>
      <c r="AA261" s="320"/>
    </row>
    <row r="262" spans="1:28" s="300" customFormat="1">
      <c r="A262" s="317" t="s">
        <v>217</v>
      </c>
      <c r="B262" s="321" t="s">
        <v>615</v>
      </c>
      <c r="C262" s="63">
        <f t="shared" si="11"/>
        <v>31256</v>
      </c>
      <c r="D262" s="70">
        <v>31256</v>
      </c>
      <c r="E262" s="371"/>
      <c r="F262" s="371"/>
      <c r="G262" s="371"/>
      <c r="H262" s="70"/>
      <c r="I262" s="70"/>
      <c r="J262" s="63">
        <f t="shared" si="10"/>
        <v>0</v>
      </c>
      <c r="K262" s="653"/>
      <c r="L262" s="70"/>
      <c r="M262" s="63"/>
      <c r="N262" s="70">
        <v>41769.101999999999</v>
      </c>
      <c r="O262" s="371"/>
      <c r="P262" s="371"/>
      <c r="Q262" s="371"/>
      <c r="R262" s="70"/>
      <c r="S262" s="70"/>
      <c r="T262" s="70"/>
      <c r="U262" s="70"/>
      <c r="V262" s="371"/>
      <c r="W262" s="63"/>
      <c r="X262" s="320"/>
      <c r="Y262" s="320"/>
      <c r="Z262" s="320"/>
      <c r="AA262" s="320"/>
    </row>
    <row r="263" spans="1:28" s="300" customFormat="1">
      <c r="A263" s="317" t="s">
        <v>218</v>
      </c>
      <c r="B263" s="321" t="s">
        <v>616</v>
      </c>
      <c r="C263" s="63">
        <f t="shared" si="11"/>
        <v>19568</v>
      </c>
      <c r="D263" s="70">
        <v>19568</v>
      </c>
      <c r="E263" s="371"/>
      <c r="F263" s="371"/>
      <c r="G263" s="371"/>
      <c r="H263" s="70"/>
      <c r="I263" s="70"/>
      <c r="J263" s="63">
        <f t="shared" si="10"/>
        <v>25694</v>
      </c>
      <c r="K263" s="653">
        <v>25694</v>
      </c>
      <c r="L263" s="70"/>
      <c r="M263" s="63"/>
      <c r="N263" s="388">
        <v>21593.975000000002</v>
      </c>
      <c r="O263" s="390"/>
      <c r="P263" s="390"/>
      <c r="Q263" s="390"/>
      <c r="R263" s="388"/>
      <c r="S263" s="388"/>
      <c r="T263" s="388"/>
      <c r="U263" s="388">
        <v>26544.834700000003</v>
      </c>
      <c r="V263" s="371"/>
      <c r="W263" s="63"/>
      <c r="X263" s="320"/>
      <c r="Y263" s="320"/>
      <c r="Z263" s="320"/>
      <c r="AA263" s="320"/>
    </row>
    <row r="264" spans="1:28" s="300" customFormat="1">
      <c r="A264" s="317" t="s">
        <v>219</v>
      </c>
      <c r="B264" s="321" t="s">
        <v>617</v>
      </c>
      <c r="C264" s="63">
        <f t="shared" si="11"/>
        <v>20420.769</v>
      </c>
      <c r="D264" s="70">
        <v>20420.769</v>
      </c>
      <c r="E264" s="371"/>
      <c r="F264" s="371"/>
      <c r="G264" s="371"/>
      <c r="H264" s="70"/>
      <c r="I264" s="70"/>
      <c r="J264" s="63">
        <f t="shared" si="10"/>
        <v>21177</v>
      </c>
      <c r="K264" s="653">
        <v>21177</v>
      </c>
      <c r="L264" s="70"/>
      <c r="M264" s="63"/>
      <c r="N264" s="388">
        <v>25168.977999999999</v>
      </c>
      <c r="O264" s="390"/>
      <c r="P264" s="390"/>
      <c r="Q264" s="390"/>
      <c r="R264" s="388"/>
      <c r="S264" s="388"/>
      <c r="T264" s="388"/>
      <c r="U264" s="388">
        <v>31426.873000000003</v>
      </c>
      <c r="V264" s="371"/>
      <c r="W264" s="63"/>
      <c r="X264" s="320"/>
      <c r="Y264" s="320"/>
      <c r="Z264" s="320"/>
      <c r="AA264" s="320"/>
    </row>
    <row r="265" spans="1:28" s="300" customFormat="1">
      <c r="A265" s="317" t="s">
        <v>220</v>
      </c>
      <c r="B265" s="321" t="s">
        <v>2312</v>
      </c>
      <c r="C265" s="63">
        <f t="shared" si="11"/>
        <v>82398.816000000006</v>
      </c>
      <c r="D265" s="70">
        <v>82398.816000000006</v>
      </c>
      <c r="E265" s="371"/>
      <c r="F265" s="371"/>
      <c r="G265" s="371"/>
      <c r="H265" s="70"/>
      <c r="I265" s="70"/>
      <c r="J265" s="63">
        <f t="shared" si="10"/>
        <v>0</v>
      </c>
      <c r="K265" s="70"/>
      <c r="L265" s="70"/>
      <c r="M265" s="63"/>
      <c r="N265" s="70">
        <v>87663.225250999996</v>
      </c>
      <c r="O265" s="371"/>
      <c r="P265" s="371"/>
      <c r="Q265" s="371"/>
      <c r="R265" s="70"/>
      <c r="S265" s="70"/>
      <c r="T265" s="70"/>
      <c r="U265" s="70"/>
      <c r="V265" s="371"/>
      <c r="W265" s="63"/>
      <c r="X265" s="320"/>
      <c r="Y265" s="320"/>
      <c r="Z265" s="320"/>
      <c r="AA265" s="320"/>
    </row>
    <row r="266" spans="1:28" s="49" customFormat="1">
      <c r="A266" s="105" t="s">
        <v>29</v>
      </c>
      <c r="B266" s="57" t="s">
        <v>1935</v>
      </c>
      <c r="C266" s="63">
        <f t="shared" si="11"/>
        <v>0</v>
      </c>
      <c r="D266" s="68"/>
      <c r="E266" s="410"/>
      <c r="F266" s="410"/>
      <c r="G266" s="410"/>
      <c r="H266" s="68"/>
      <c r="I266" s="68"/>
      <c r="J266" s="63">
        <f t="shared" si="10"/>
        <v>0</v>
      </c>
      <c r="K266" s="68"/>
      <c r="L266" s="68"/>
      <c r="M266" s="59"/>
      <c r="N266" s="68"/>
      <c r="O266" s="410"/>
      <c r="P266" s="410"/>
      <c r="Q266" s="410"/>
      <c r="R266" s="68">
        <f>'65_QT'!D39</f>
        <v>38500</v>
      </c>
      <c r="S266" s="68"/>
      <c r="T266" s="68"/>
      <c r="U266" s="68"/>
      <c r="V266" s="410"/>
      <c r="W266" s="68"/>
      <c r="X266" s="320"/>
      <c r="Y266" s="320"/>
      <c r="Z266" s="320"/>
      <c r="AA266" s="320"/>
      <c r="AB266" s="335"/>
    </row>
    <row r="267" spans="1:28" s="49" customFormat="1">
      <c r="A267" s="105" t="s">
        <v>33</v>
      </c>
      <c r="B267" s="57" t="s">
        <v>131</v>
      </c>
      <c r="C267" s="63">
        <f t="shared" si="11"/>
        <v>0</v>
      </c>
      <c r="D267" s="68"/>
      <c r="E267" s="410"/>
      <c r="F267" s="410"/>
      <c r="G267" s="410"/>
      <c r="H267" s="68"/>
      <c r="I267" s="59"/>
      <c r="J267" s="63">
        <f t="shared" si="10"/>
        <v>0</v>
      </c>
      <c r="K267" s="68"/>
      <c r="L267" s="68"/>
      <c r="M267" s="59"/>
      <c r="N267" s="68"/>
      <c r="O267" s="410"/>
      <c r="P267" s="410"/>
      <c r="Q267" s="410"/>
      <c r="R267" s="68"/>
      <c r="S267" s="68">
        <f>'65_QT'!D40</f>
        <v>2000</v>
      </c>
      <c r="T267" s="68"/>
      <c r="U267" s="68"/>
      <c r="V267" s="410"/>
      <c r="W267" s="68"/>
      <c r="X267" s="320"/>
      <c r="Y267" s="320"/>
      <c r="Z267" s="320"/>
      <c r="AA267" s="320"/>
      <c r="AB267" s="335"/>
    </row>
    <row r="268" spans="1:28" s="49" customFormat="1">
      <c r="A268" s="105" t="s">
        <v>71</v>
      </c>
      <c r="B268" s="57" t="s">
        <v>139</v>
      </c>
      <c r="C268" s="63">
        <f t="shared" si="11"/>
        <v>0</v>
      </c>
      <c r="D268" s="68"/>
      <c r="E268" s="410"/>
      <c r="F268" s="410"/>
      <c r="G268" s="410"/>
      <c r="H268" s="68"/>
      <c r="I268" s="59"/>
      <c r="J268" s="63">
        <f t="shared" si="10"/>
        <v>0</v>
      </c>
      <c r="K268" s="68"/>
      <c r="L268" s="68"/>
      <c r="M268" s="59"/>
      <c r="N268" s="68"/>
      <c r="O268" s="410"/>
      <c r="P268" s="410"/>
      <c r="Q268" s="410"/>
      <c r="R268" s="68"/>
      <c r="S268" s="68">
        <v>0</v>
      </c>
      <c r="T268" s="68"/>
      <c r="U268" s="68"/>
      <c r="V268" s="410"/>
      <c r="W268" s="68"/>
      <c r="X268" s="320"/>
      <c r="Y268" s="320"/>
      <c r="Z268" s="320"/>
      <c r="AA268" s="320"/>
      <c r="AB268" s="335"/>
    </row>
    <row r="269" spans="1:28" s="49" customFormat="1" ht="31.2">
      <c r="A269" s="105" t="s">
        <v>96</v>
      </c>
      <c r="B269" s="57" t="s">
        <v>140</v>
      </c>
      <c r="C269" s="63">
        <f t="shared" si="11"/>
        <v>0</v>
      </c>
      <c r="D269" s="68"/>
      <c r="E269" s="410"/>
      <c r="F269" s="410"/>
      <c r="G269" s="410"/>
      <c r="H269" s="68"/>
      <c r="I269" s="59"/>
      <c r="J269" s="63">
        <f t="shared" si="10"/>
        <v>0</v>
      </c>
      <c r="K269" s="68"/>
      <c r="L269" s="68"/>
      <c r="M269" s="59"/>
      <c r="N269" s="68"/>
      <c r="O269" s="410"/>
      <c r="P269" s="410"/>
      <c r="Q269" s="410"/>
      <c r="R269" s="68"/>
      <c r="S269" s="68">
        <v>0</v>
      </c>
      <c r="T269" s="68"/>
      <c r="U269" s="68"/>
      <c r="V269" s="410"/>
      <c r="W269" s="68"/>
      <c r="X269" s="320"/>
      <c r="Y269" s="320"/>
      <c r="Z269" s="320"/>
      <c r="AA269" s="320"/>
      <c r="AB269" s="335"/>
    </row>
    <row r="270" spans="1:28" s="49" customFormat="1" ht="31.2">
      <c r="A270" s="105" t="s">
        <v>97</v>
      </c>
      <c r="B270" s="57" t="s">
        <v>141</v>
      </c>
      <c r="C270" s="63">
        <f t="shared" si="11"/>
        <v>0</v>
      </c>
      <c r="D270" s="68"/>
      <c r="E270" s="410"/>
      <c r="F270" s="410"/>
      <c r="G270" s="410"/>
      <c r="H270" s="68"/>
      <c r="I270" s="59">
        <f>'67_QT'!C10</f>
        <v>2435185.7000000002</v>
      </c>
      <c r="J270" s="63">
        <f t="shared" ref="J270:J271" si="16">K270+L270</f>
        <v>0</v>
      </c>
      <c r="K270" s="68"/>
      <c r="L270" s="68"/>
      <c r="M270" s="59"/>
      <c r="N270" s="68"/>
      <c r="O270" s="410"/>
      <c r="P270" s="410"/>
      <c r="Q270" s="410"/>
      <c r="R270" s="68"/>
      <c r="S270" s="68">
        <f>'67_QT'!I10</f>
        <v>2693670</v>
      </c>
      <c r="T270" s="68"/>
      <c r="U270" s="68"/>
      <c r="V270" s="410"/>
      <c r="W270" s="68"/>
      <c r="X270" s="320"/>
      <c r="Y270" s="320"/>
      <c r="Z270" s="320"/>
      <c r="AA270" s="320"/>
      <c r="AB270" s="335"/>
    </row>
    <row r="271" spans="1:28" s="49" customFormat="1" ht="31.2">
      <c r="A271" s="336" t="s">
        <v>142</v>
      </c>
      <c r="B271" s="337" t="s">
        <v>133</v>
      </c>
      <c r="C271" s="63">
        <f t="shared" ref="C271" si="17">D271+E271</f>
        <v>0</v>
      </c>
      <c r="D271" s="339"/>
      <c r="E271" s="411"/>
      <c r="F271" s="411"/>
      <c r="G271" s="411"/>
      <c r="H271" s="339"/>
      <c r="I271" s="339"/>
      <c r="J271" s="63">
        <f t="shared" si="16"/>
        <v>0</v>
      </c>
      <c r="K271" s="339"/>
      <c r="L271" s="339"/>
      <c r="M271" s="338"/>
      <c r="N271" s="339"/>
      <c r="O271" s="411"/>
      <c r="P271" s="411"/>
      <c r="Q271" s="411"/>
      <c r="R271" s="339"/>
      <c r="S271" s="339">
        <f>'65_QT'!D45</f>
        <v>1833064.2520000001</v>
      </c>
      <c r="T271" s="339"/>
      <c r="U271" s="339"/>
      <c r="V271" s="411"/>
      <c r="W271" s="339"/>
      <c r="X271" s="340"/>
      <c r="Y271" s="340"/>
      <c r="Z271" s="340"/>
      <c r="AA271" s="340"/>
      <c r="AB271" s="335"/>
    </row>
  </sheetData>
  <mergeCells count="26">
    <mergeCell ref="X7:X8"/>
    <mergeCell ref="Y7:Y8"/>
    <mergeCell ref="Z7:Z8"/>
    <mergeCell ref="AA7:AA8"/>
    <mergeCell ref="O7:O8"/>
    <mergeCell ref="P7:Q7"/>
    <mergeCell ref="R7:R8"/>
    <mergeCell ref="S7:S8"/>
    <mergeCell ref="T7:V7"/>
    <mergeCell ref="W7:W8"/>
    <mergeCell ref="N7:N8"/>
    <mergeCell ref="A3:Z3"/>
    <mergeCell ref="A4:Z4"/>
    <mergeCell ref="A6:A8"/>
    <mergeCell ref="B6:B8"/>
    <mergeCell ref="C6:L6"/>
    <mergeCell ref="M6:W6"/>
    <mergeCell ref="X6:AA6"/>
    <mergeCell ref="C7:C8"/>
    <mergeCell ref="D7:D8"/>
    <mergeCell ref="E7:E8"/>
    <mergeCell ref="F7:G7"/>
    <mergeCell ref="H7:H8"/>
    <mergeCell ref="I7:I8"/>
    <mergeCell ref="J7:L7"/>
    <mergeCell ref="M7:M8"/>
  </mergeCells>
  <dataValidations count="2">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WVO98305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C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C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C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C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C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C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C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C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C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C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C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C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C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C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C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xr:uid="{00000000-0002-0000-0700-000000000000}"/>
    <dataValidation allowBlank="1" showInputMessage="1" showErrorMessage="1" prompt="trừ 453 của TT dịch vụi liệc làm_x000a_" sqref="L18"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W48"/>
  <sheetViews>
    <sheetView zoomScale="80" zoomScaleNormal="80" workbookViewId="0">
      <pane xSplit="2" ySplit="9" topLeftCell="C16" activePane="bottomRight" state="frozen"/>
      <selection pane="topRight" activeCell="C1" sqref="C1"/>
      <selection pane="bottomLeft" activeCell="A10" sqref="A10"/>
      <selection pane="bottomRight" activeCell="N24" sqref="N24"/>
    </sheetView>
  </sheetViews>
  <sheetFormatPr defaultColWidth="9.109375" defaultRowHeight="13.8"/>
  <cols>
    <col min="1" max="1" width="6.5546875" style="310" customWidth="1"/>
    <col min="2" max="2" width="20.5546875" style="310" customWidth="1"/>
    <col min="3" max="4" width="11.33203125" style="310" customWidth="1"/>
    <col min="5" max="6" width="9.5546875" style="310" customWidth="1"/>
    <col min="7" max="7" width="9.6640625" style="310" customWidth="1"/>
    <col min="8" max="8" width="9.5546875" style="310" customWidth="1"/>
    <col min="9" max="10" width="11.33203125" style="310" customWidth="1"/>
    <col min="11" max="14" width="9.5546875" style="310" customWidth="1"/>
    <col min="15" max="15" width="7.33203125" style="310" customWidth="1"/>
    <col min="16" max="16" width="7.109375" style="310" customWidth="1"/>
    <col min="17" max="18" width="7.33203125" style="310" customWidth="1"/>
    <col min="19" max="19" width="9" style="310" customWidth="1"/>
    <col min="20" max="20" width="7.33203125" style="310" customWidth="1"/>
    <col min="21" max="22" width="9.109375" style="310"/>
    <col min="23" max="23" width="9.33203125" style="310" bestFit="1" customWidth="1"/>
    <col min="24" max="16384" width="9.109375" style="310"/>
  </cols>
  <sheetData>
    <row r="1" spans="1:23" s="254" customFormat="1" ht="15.6">
      <c r="A1" s="252" t="s">
        <v>202</v>
      </c>
      <c r="R1" s="252" t="s">
        <v>143</v>
      </c>
    </row>
    <row r="2" spans="1:23" s="254" customFormat="1" ht="15.6">
      <c r="A2" s="251"/>
    </row>
    <row r="3" spans="1:23" s="254" customFormat="1" ht="16.8">
      <c r="A3" s="827" t="s">
        <v>2276</v>
      </c>
      <c r="B3" s="827"/>
      <c r="C3" s="827"/>
      <c r="D3" s="827"/>
      <c r="E3" s="827"/>
      <c r="F3" s="827"/>
      <c r="G3" s="827"/>
      <c r="H3" s="827"/>
      <c r="I3" s="827"/>
      <c r="J3" s="827"/>
      <c r="K3" s="827"/>
      <c r="L3" s="827"/>
      <c r="M3" s="827"/>
      <c r="N3" s="827"/>
      <c r="O3" s="827"/>
      <c r="P3" s="827"/>
      <c r="Q3" s="827"/>
      <c r="R3" s="827"/>
      <c r="S3" s="827"/>
      <c r="T3" s="827"/>
    </row>
    <row r="4" spans="1:23" s="254" customFormat="1" ht="15.6">
      <c r="A4" s="803" t="s">
        <v>2043</v>
      </c>
      <c r="B4" s="803"/>
      <c r="C4" s="803"/>
      <c r="D4" s="803"/>
      <c r="E4" s="803"/>
      <c r="F4" s="803"/>
      <c r="G4" s="803"/>
      <c r="H4" s="803"/>
      <c r="I4" s="803"/>
      <c r="J4" s="803"/>
      <c r="K4" s="803"/>
      <c r="L4" s="803"/>
      <c r="M4" s="803"/>
      <c r="N4" s="803"/>
      <c r="O4" s="803"/>
      <c r="P4" s="803"/>
      <c r="Q4" s="803"/>
      <c r="R4" s="803"/>
      <c r="S4" s="803"/>
      <c r="T4" s="803"/>
    </row>
    <row r="5" spans="1:23" s="254" customFormat="1" ht="15.6">
      <c r="B5" s="347"/>
      <c r="C5" s="266"/>
      <c r="D5" s="256"/>
      <c r="I5" s="256"/>
      <c r="J5" s="256"/>
      <c r="S5" s="9" t="s">
        <v>1</v>
      </c>
    </row>
    <row r="6" spans="1:23" s="261" customFormat="1" ht="15.6">
      <c r="A6" s="826" t="s">
        <v>2</v>
      </c>
      <c r="B6" s="826" t="s">
        <v>144</v>
      </c>
      <c r="C6" s="826" t="s">
        <v>1461</v>
      </c>
      <c r="D6" s="826"/>
      <c r="E6" s="826"/>
      <c r="F6" s="826"/>
      <c r="G6" s="826"/>
      <c r="H6" s="826"/>
      <c r="I6" s="826" t="s">
        <v>1462</v>
      </c>
      <c r="J6" s="826"/>
      <c r="K6" s="826"/>
      <c r="L6" s="826"/>
      <c r="M6" s="826"/>
      <c r="N6" s="826"/>
      <c r="O6" s="826" t="s">
        <v>147</v>
      </c>
      <c r="P6" s="826"/>
      <c r="Q6" s="826"/>
      <c r="R6" s="826"/>
      <c r="S6" s="826"/>
      <c r="T6" s="826"/>
    </row>
    <row r="7" spans="1:23" s="261" customFormat="1" ht="15.6">
      <c r="A7" s="826"/>
      <c r="B7" s="826"/>
      <c r="C7" s="826" t="s">
        <v>148</v>
      </c>
      <c r="D7" s="826" t="s">
        <v>149</v>
      </c>
      <c r="E7" s="826" t="s">
        <v>150</v>
      </c>
      <c r="F7" s="826"/>
      <c r="G7" s="826"/>
      <c r="H7" s="826"/>
      <c r="I7" s="826" t="s">
        <v>148</v>
      </c>
      <c r="J7" s="826" t="s">
        <v>149</v>
      </c>
      <c r="K7" s="826" t="s">
        <v>150</v>
      </c>
      <c r="L7" s="826"/>
      <c r="M7" s="826"/>
      <c r="N7" s="826"/>
      <c r="O7" s="826" t="s">
        <v>148</v>
      </c>
      <c r="P7" s="826" t="s">
        <v>149</v>
      </c>
      <c r="Q7" s="826" t="s">
        <v>150</v>
      </c>
      <c r="R7" s="826"/>
      <c r="S7" s="826"/>
      <c r="T7" s="826"/>
    </row>
    <row r="8" spans="1:23" s="366" customFormat="1" ht="145.5" customHeight="1">
      <c r="A8" s="826"/>
      <c r="B8" s="826"/>
      <c r="C8" s="826"/>
      <c r="D8" s="826"/>
      <c r="E8" s="365" t="s">
        <v>148</v>
      </c>
      <c r="F8" s="365" t="s">
        <v>151</v>
      </c>
      <c r="G8" s="365" t="s">
        <v>152</v>
      </c>
      <c r="H8" s="365" t="s">
        <v>153</v>
      </c>
      <c r="I8" s="826"/>
      <c r="J8" s="826"/>
      <c r="K8" s="365" t="s">
        <v>148</v>
      </c>
      <c r="L8" s="365" t="s">
        <v>151</v>
      </c>
      <c r="M8" s="365" t="s">
        <v>152</v>
      </c>
      <c r="N8" s="365" t="s">
        <v>153</v>
      </c>
      <c r="O8" s="826"/>
      <c r="P8" s="826"/>
      <c r="Q8" s="365" t="s">
        <v>148</v>
      </c>
      <c r="R8" s="342" t="s">
        <v>151</v>
      </c>
      <c r="S8" s="342" t="s">
        <v>152</v>
      </c>
      <c r="T8" s="342" t="s">
        <v>153</v>
      </c>
    </row>
    <row r="9" spans="1:23" s="349" customFormat="1" ht="26.4">
      <c r="A9" s="343" t="s">
        <v>7</v>
      </c>
      <c r="B9" s="343" t="s">
        <v>8</v>
      </c>
      <c r="C9" s="343">
        <v>1</v>
      </c>
      <c r="D9" s="343">
        <v>2</v>
      </c>
      <c r="E9" s="343">
        <v>3</v>
      </c>
      <c r="F9" s="343">
        <v>4</v>
      </c>
      <c r="G9" s="343">
        <v>5</v>
      </c>
      <c r="H9" s="343">
        <v>6</v>
      </c>
      <c r="I9" s="343">
        <v>7</v>
      </c>
      <c r="J9" s="343">
        <v>8</v>
      </c>
      <c r="K9" s="343">
        <v>9</v>
      </c>
      <c r="L9" s="343">
        <v>10</v>
      </c>
      <c r="M9" s="343">
        <v>11</v>
      </c>
      <c r="N9" s="343">
        <v>12</v>
      </c>
      <c r="O9" s="343" t="s">
        <v>154</v>
      </c>
      <c r="P9" s="343" t="s">
        <v>155</v>
      </c>
      <c r="Q9" s="343" t="s">
        <v>156</v>
      </c>
      <c r="R9" s="343" t="s">
        <v>157</v>
      </c>
      <c r="S9" s="343" t="s">
        <v>158</v>
      </c>
      <c r="T9" s="343" t="s">
        <v>159</v>
      </c>
    </row>
    <row r="10" spans="1:23" s="254" customFormat="1" ht="15.6">
      <c r="A10" s="258"/>
      <c r="B10" s="258" t="s">
        <v>126</v>
      </c>
      <c r="C10" s="283">
        <f>SUM(C11:C20)</f>
        <v>2435185.7000000002</v>
      </c>
      <c r="D10" s="283">
        <f t="shared" ref="D10:M10" si="0">SUM(D11:D20)</f>
        <v>1870875.7</v>
      </c>
      <c r="E10" s="283">
        <f t="shared" si="0"/>
        <v>564310</v>
      </c>
      <c r="F10" s="283">
        <f t="shared" si="0"/>
        <v>148429</v>
      </c>
      <c r="G10" s="283">
        <f t="shared" si="0"/>
        <v>130769.4</v>
      </c>
      <c r="H10" s="283">
        <f t="shared" si="0"/>
        <v>285111.59999999998</v>
      </c>
      <c r="I10" s="283">
        <f t="shared" si="0"/>
        <v>2693670</v>
      </c>
      <c r="J10" s="654">
        <f t="shared" ref="J10:K10" si="1">SUM(J11:J20)</f>
        <v>1863300</v>
      </c>
      <c r="K10" s="654">
        <f t="shared" si="1"/>
        <v>830370</v>
      </c>
      <c r="L10" s="654">
        <f t="shared" ref="L10" si="2">SUM(L11:L20)</f>
        <v>148429</v>
      </c>
      <c r="M10" s="654">
        <f t="shared" si="0"/>
        <v>387743.6</v>
      </c>
      <c r="N10" s="654">
        <f t="shared" ref="N10" si="3">SUM(N11:N20)</f>
        <v>294197.40000000002</v>
      </c>
      <c r="O10" s="655">
        <f t="shared" ref="O10:O20" si="4">I10/C10%</f>
        <v>110.61456216665528</v>
      </c>
      <c r="P10" s="260">
        <f t="shared" ref="P10" si="5">J10/D10%</f>
        <v>99.595071976187413</v>
      </c>
      <c r="Q10" s="260">
        <f t="shared" ref="Q10" si="6">K10/E10%</f>
        <v>147.14784426999344</v>
      </c>
      <c r="R10" s="260">
        <f t="shared" ref="R10" si="7">L10/F10%</f>
        <v>100</v>
      </c>
      <c r="S10" s="260">
        <f t="shared" ref="S10" si="8">M10/G10%</f>
        <v>296.50942804662253</v>
      </c>
      <c r="T10" s="260">
        <f>N10/H10%</f>
        <v>103.18675213495348</v>
      </c>
      <c r="W10" s="256"/>
    </row>
    <row r="11" spans="1:23" s="254" customFormat="1" ht="15.6">
      <c r="A11" s="213">
        <v>1</v>
      </c>
      <c r="B11" s="214" t="s">
        <v>188</v>
      </c>
      <c r="C11" s="264">
        <f>D11+E11</f>
        <v>295895</v>
      </c>
      <c r="D11" s="264">
        <v>234120</v>
      </c>
      <c r="E11" s="286">
        <v>61775</v>
      </c>
      <c r="F11" s="286">
        <v>32674</v>
      </c>
      <c r="G11" s="286">
        <f>E11-F11-H11</f>
        <v>17637</v>
      </c>
      <c r="H11" s="286">
        <f>'68_QT '!C31</f>
        <v>11464</v>
      </c>
      <c r="I11" s="286">
        <f>J11+K11</f>
        <v>370257</v>
      </c>
      <c r="J11" s="293">
        <v>234120</v>
      </c>
      <c r="K11" s="293">
        <v>136137</v>
      </c>
      <c r="L11" s="293">
        <v>32674</v>
      </c>
      <c r="M11" s="293">
        <f>K11-L11-N11</f>
        <v>91358</v>
      </c>
      <c r="N11" s="293">
        <v>12105</v>
      </c>
      <c r="O11" s="656">
        <f t="shared" si="4"/>
        <v>125.13121208536813</v>
      </c>
      <c r="P11" s="265">
        <f t="shared" ref="P11:R11" si="9">J11/D11%</f>
        <v>100.00000000000001</v>
      </c>
      <c r="Q11" s="265">
        <f t="shared" si="9"/>
        <v>220.37555645487657</v>
      </c>
      <c r="R11" s="265">
        <f t="shared" si="9"/>
        <v>100</v>
      </c>
      <c r="S11" s="265">
        <f>M11/G11%</f>
        <v>517.99058796847532</v>
      </c>
      <c r="T11" s="265">
        <f>N11/H11%</f>
        <v>105.59141660851361</v>
      </c>
      <c r="W11" s="256"/>
    </row>
    <row r="12" spans="1:23" s="254" customFormat="1" ht="15.6">
      <c r="A12" s="213">
        <v>2</v>
      </c>
      <c r="B12" s="214" t="s">
        <v>187</v>
      </c>
      <c r="C12" s="264">
        <f t="shared" ref="C12:C20" si="10">D12+E12</f>
        <v>285588</v>
      </c>
      <c r="D12" s="264">
        <v>241568</v>
      </c>
      <c r="E12" s="286">
        <v>44020</v>
      </c>
      <c r="F12" s="286">
        <v>9395</v>
      </c>
      <c r="G12" s="286">
        <f t="shared" ref="G12:G20" si="11">E12-F12-H12</f>
        <v>15957</v>
      </c>
      <c r="H12" s="286">
        <f>'68_QT '!C32</f>
        <v>18668</v>
      </c>
      <c r="I12" s="286">
        <f t="shared" ref="I12:I20" si="12">J12+K12</f>
        <v>309402</v>
      </c>
      <c r="J12" s="293">
        <v>241568</v>
      </c>
      <c r="K12" s="293">
        <v>67834</v>
      </c>
      <c r="L12" s="293">
        <v>9395</v>
      </c>
      <c r="M12" s="293">
        <f t="shared" ref="M12:M20" si="13">K12-L12-N12</f>
        <v>39584</v>
      </c>
      <c r="N12" s="293">
        <v>18855</v>
      </c>
      <c r="O12" s="656">
        <f t="shared" si="4"/>
        <v>108.33858565485944</v>
      </c>
      <c r="P12" s="265">
        <f t="shared" ref="P12:P20" si="14">J12/D12%</f>
        <v>100</v>
      </c>
      <c r="Q12" s="265">
        <f t="shared" ref="Q12:Q20" si="15">K12/E12%</f>
        <v>154.09813721035894</v>
      </c>
      <c r="R12" s="265">
        <f t="shared" ref="R12:R20" si="16">L12/F12%</f>
        <v>100</v>
      </c>
      <c r="S12" s="265">
        <f t="shared" ref="S12:S20" si="17">M12/G12%</f>
        <v>248.06667920035096</v>
      </c>
      <c r="T12" s="265">
        <f t="shared" ref="T12:T20" si="18">N12/H12%</f>
        <v>101.00171416327404</v>
      </c>
      <c r="W12" s="256"/>
    </row>
    <row r="13" spans="1:23" s="254" customFormat="1" ht="15.6">
      <c r="A13" s="213">
        <v>3</v>
      </c>
      <c r="B13" s="214" t="s">
        <v>189</v>
      </c>
      <c r="C13" s="264">
        <f t="shared" si="10"/>
        <v>194345</v>
      </c>
      <c r="D13" s="264">
        <v>161991</v>
      </c>
      <c r="E13" s="286">
        <v>32354</v>
      </c>
      <c r="F13" s="286">
        <v>8581</v>
      </c>
      <c r="G13" s="286">
        <f t="shared" si="11"/>
        <v>7733</v>
      </c>
      <c r="H13" s="286">
        <f>'68_QT '!C33</f>
        <v>16040</v>
      </c>
      <c r="I13" s="286">
        <f t="shared" si="12"/>
        <v>210243</v>
      </c>
      <c r="J13" s="293">
        <v>161991</v>
      </c>
      <c r="K13" s="293">
        <v>48252</v>
      </c>
      <c r="L13" s="293">
        <v>8581</v>
      </c>
      <c r="M13" s="293">
        <f t="shared" si="13"/>
        <v>23571</v>
      </c>
      <c r="N13" s="293">
        <v>16100</v>
      </c>
      <c r="O13" s="656">
        <f t="shared" si="4"/>
        <v>108.18029792379531</v>
      </c>
      <c r="P13" s="265">
        <f t="shared" si="14"/>
        <v>100</v>
      </c>
      <c r="Q13" s="265">
        <f t="shared" si="15"/>
        <v>149.13766458552266</v>
      </c>
      <c r="R13" s="265">
        <f t="shared" si="16"/>
        <v>100</v>
      </c>
      <c r="S13" s="265">
        <f t="shared" si="17"/>
        <v>304.81055217897324</v>
      </c>
      <c r="T13" s="265">
        <f t="shared" si="18"/>
        <v>100.37406483790524</v>
      </c>
      <c r="W13" s="256"/>
    </row>
    <row r="14" spans="1:23" s="254" customFormat="1" ht="15.6">
      <c r="A14" s="213">
        <v>4</v>
      </c>
      <c r="B14" s="214" t="s">
        <v>190</v>
      </c>
      <c r="C14" s="264">
        <f t="shared" si="10"/>
        <v>237407.7</v>
      </c>
      <c r="D14" s="264">
        <v>194387.7</v>
      </c>
      <c r="E14" s="286">
        <v>43020</v>
      </c>
      <c r="F14" s="286">
        <v>19662</v>
      </c>
      <c r="G14" s="286">
        <f t="shared" si="11"/>
        <v>7124</v>
      </c>
      <c r="H14" s="286">
        <f>'68_QT '!C34</f>
        <v>16234</v>
      </c>
      <c r="I14" s="286">
        <f t="shared" si="12"/>
        <v>245222</v>
      </c>
      <c r="J14" s="293">
        <v>186812</v>
      </c>
      <c r="K14" s="293">
        <v>58410</v>
      </c>
      <c r="L14" s="293">
        <v>19662</v>
      </c>
      <c r="M14" s="293">
        <f t="shared" si="13"/>
        <v>22449</v>
      </c>
      <c r="N14" s="293">
        <v>16299</v>
      </c>
      <c r="O14" s="656">
        <f t="shared" si="4"/>
        <v>103.29151076397268</v>
      </c>
      <c r="P14" s="265">
        <f t="shared" si="14"/>
        <v>96.102788396590924</v>
      </c>
      <c r="Q14" s="265">
        <f t="shared" si="15"/>
        <v>135.77405857740587</v>
      </c>
      <c r="R14" s="265">
        <f t="shared" si="16"/>
        <v>100</v>
      </c>
      <c r="S14" s="265">
        <f t="shared" si="17"/>
        <v>315.11791128579455</v>
      </c>
      <c r="T14" s="265">
        <f t="shared" si="18"/>
        <v>100.40039423432303</v>
      </c>
      <c r="W14" s="256"/>
    </row>
    <row r="15" spans="1:23" s="254" customFormat="1" ht="15.6">
      <c r="A15" s="213">
        <v>5</v>
      </c>
      <c r="B15" s="214" t="s">
        <v>558</v>
      </c>
      <c r="C15" s="264">
        <f t="shared" si="10"/>
        <v>350673</v>
      </c>
      <c r="D15" s="264">
        <v>252087</v>
      </c>
      <c r="E15" s="286">
        <v>98586</v>
      </c>
      <c r="F15" s="286">
        <v>16581</v>
      </c>
      <c r="G15" s="286">
        <f t="shared" si="11"/>
        <v>22575.4</v>
      </c>
      <c r="H15" s="286">
        <f>'68_QT '!C35</f>
        <v>59429.599999999999</v>
      </c>
      <c r="I15" s="286">
        <f t="shared" si="12"/>
        <v>371166</v>
      </c>
      <c r="J15" s="293">
        <v>252087</v>
      </c>
      <c r="K15" s="293">
        <v>119079</v>
      </c>
      <c r="L15" s="293">
        <v>16581</v>
      </c>
      <c r="M15" s="293">
        <f t="shared" si="13"/>
        <v>41318.6</v>
      </c>
      <c r="N15" s="293">
        <v>61179.4</v>
      </c>
      <c r="O15" s="656">
        <f t="shared" si="4"/>
        <v>105.84390586101581</v>
      </c>
      <c r="P15" s="265">
        <f t="shared" si="14"/>
        <v>100</v>
      </c>
      <c r="Q15" s="265">
        <f t="shared" si="15"/>
        <v>120.78692714989958</v>
      </c>
      <c r="R15" s="265">
        <f t="shared" si="16"/>
        <v>100</v>
      </c>
      <c r="S15" s="265">
        <f t="shared" si="17"/>
        <v>183.02488549483064</v>
      </c>
      <c r="T15" s="265">
        <f t="shared" si="18"/>
        <v>102.94432404054547</v>
      </c>
      <c r="W15" s="256"/>
    </row>
    <row r="16" spans="1:23" s="254" customFormat="1" ht="15.6">
      <c r="A16" s="213">
        <v>6</v>
      </c>
      <c r="B16" s="214" t="s">
        <v>557</v>
      </c>
      <c r="C16" s="264">
        <f t="shared" si="10"/>
        <v>262049</v>
      </c>
      <c r="D16" s="264">
        <v>198509</v>
      </c>
      <c r="E16" s="286">
        <v>63540</v>
      </c>
      <c r="F16" s="286">
        <v>10486</v>
      </c>
      <c r="G16" s="286">
        <f t="shared" si="11"/>
        <v>15863</v>
      </c>
      <c r="H16" s="286">
        <f>'68_QT '!C36</f>
        <v>37191</v>
      </c>
      <c r="I16" s="286">
        <f t="shared" si="12"/>
        <v>293201</v>
      </c>
      <c r="J16" s="293">
        <v>198509</v>
      </c>
      <c r="K16" s="293">
        <v>94692</v>
      </c>
      <c r="L16" s="293">
        <v>10486</v>
      </c>
      <c r="M16" s="293">
        <f t="shared" si="13"/>
        <v>46318</v>
      </c>
      <c r="N16" s="293">
        <v>37888</v>
      </c>
      <c r="O16" s="656">
        <f t="shared" si="4"/>
        <v>111.88785303511939</v>
      </c>
      <c r="P16" s="265">
        <f t="shared" si="14"/>
        <v>100</v>
      </c>
      <c r="Q16" s="265">
        <f t="shared" si="15"/>
        <v>149.02738432483474</v>
      </c>
      <c r="R16" s="265">
        <f t="shared" si="16"/>
        <v>100</v>
      </c>
      <c r="S16" s="265">
        <f t="shared" si="17"/>
        <v>291.98764420349244</v>
      </c>
      <c r="T16" s="265">
        <f t="shared" si="18"/>
        <v>101.87410932752547</v>
      </c>
      <c r="W16" s="256"/>
    </row>
    <row r="17" spans="1:23" s="254" customFormat="1" ht="15.6">
      <c r="A17" s="213">
        <v>7</v>
      </c>
      <c r="B17" s="214" t="s">
        <v>1460</v>
      </c>
      <c r="C17" s="264">
        <f t="shared" si="10"/>
        <v>86327</v>
      </c>
      <c r="D17" s="264">
        <v>54897</v>
      </c>
      <c r="E17" s="286">
        <v>31430</v>
      </c>
      <c r="F17" s="286">
        <v>17093</v>
      </c>
      <c r="G17" s="286">
        <f t="shared" si="11"/>
        <v>3670</v>
      </c>
      <c r="H17" s="286">
        <f>'68_QT '!C37</f>
        <v>10667</v>
      </c>
      <c r="I17" s="286">
        <f t="shared" si="12"/>
        <v>109407</v>
      </c>
      <c r="J17" s="293">
        <v>54897</v>
      </c>
      <c r="K17" s="293">
        <v>54510</v>
      </c>
      <c r="L17" s="293">
        <v>17093</v>
      </c>
      <c r="M17" s="293">
        <f t="shared" si="13"/>
        <v>23016</v>
      </c>
      <c r="N17" s="293">
        <v>14401</v>
      </c>
      <c r="O17" s="656">
        <f t="shared" si="4"/>
        <v>126.73555202891332</v>
      </c>
      <c r="P17" s="265">
        <f t="shared" si="14"/>
        <v>100</v>
      </c>
      <c r="Q17" s="265">
        <f t="shared" si="15"/>
        <v>173.43302577155583</v>
      </c>
      <c r="R17" s="265">
        <f t="shared" si="16"/>
        <v>100</v>
      </c>
      <c r="S17" s="265">
        <f t="shared" si="17"/>
        <v>627.13896457765668</v>
      </c>
      <c r="T17" s="265">
        <f t="shared" si="18"/>
        <v>135.00515608887221</v>
      </c>
      <c r="W17" s="256"/>
    </row>
    <row r="18" spans="1:23" s="254" customFormat="1" ht="15.6">
      <c r="A18" s="213">
        <v>8</v>
      </c>
      <c r="B18" s="214" t="s">
        <v>186</v>
      </c>
      <c r="C18" s="264">
        <f t="shared" si="10"/>
        <v>195103</v>
      </c>
      <c r="D18" s="264">
        <v>153253</v>
      </c>
      <c r="E18" s="286">
        <v>41850</v>
      </c>
      <c r="F18" s="286">
        <v>9429</v>
      </c>
      <c r="G18" s="286">
        <f t="shared" si="11"/>
        <v>10277</v>
      </c>
      <c r="H18" s="286">
        <f>'68_QT '!C38</f>
        <v>22144</v>
      </c>
      <c r="I18" s="286">
        <f t="shared" si="12"/>
        <v>210941</v>
      </c>
      <c r="J18" s="293">
        <v>153253</v>
      </c>
      <c r="K18" s="293">
        <v>57688</v>
      </c>
      <c r="L18" s="293">
        <v>9429</v>
      </c>
      <c r="M18" s="293">
        <f t="shared" si="13"/>
        <v>25619</v>
      </c>
      <c r="N18" s="293">
        <v>22640</v>
      </c>
      <c r="O18" s="656">
        <f t="shared" si="4"/>
        <v>108.11776343777389</v>
      </c>
      <c r="P18" s="265">
        <f t="shared" si="14"/>
        <v>100</v>
      </c>
      <c r="Q18" s="265">
        <f t="shared" si="15"/>
        <v>137.84468339307048</v>
      </c>
      <c r="R18" s="265">
        <f t="shared" si="16"/>
        <v>100</v>
      </c>
      <c r="S18" s="265">
        <f t="shared" si="17"/>
        <v>249.28481074243456</v>
      </c>
      <c r="T18" s="265">
        <f t="shared" si="18"/>
        <v>102.23988439306359</v>
      </c>
      <c r="W18" s="256"/>
    </row>
    <row r="19" spans="1:23" s="254" customFormat="1" ht="15.6">
      <c r="A19" s="213">
        <v>9</v>
      </c>
      <c r="B19" s="214" t="s">
        <v>183</v>
      </c>
      <c r="C19" s="264">
        <f t="shared" si="10"/>
        <v>242249</v>
      </c>
      <c r="D19" s="264">
        <v>175155</v>
      </c>
      <c r="E19" s="286">
        <v>67094</v>
      </c>
      <c r="F19" s="286">
        <v>14080</v>
      </c>
      <c r="G19" s="286">
        <f t="shared" si="11"/>
        <v>9551</v>
      </c>
      <c r="H19" s="286">
        <f>'68_QT '!C39</f>
        <v>43463</v>
      </c>
      <c r="I19" s="286">
        <f t="shared" si="12"/>
        <v>257466</v>
      </c>
      <c r="J19" s="293">
        <v>175155</v>
      </c>
      <c r="K19" s="293">
        <v>82311</v>
      </c>
      <c r="L19" s="293">
        <v>14080</v>
      </c>
      <c r="M19" s="293">
        <f t="shared" si="13"/>
        <v>24045</v>
      </c>
      <c r="N19" s="293">
        <v>44186</v>
      </c>
      <c r="O19" s="656">
        <f t="shared" si="4"/>
        <v>106.28155327782572</v>
      </c>
      <c r="P19" s="265">
        <f t="shared" si="14"/>
        <v>100</v>
      </c>
      <c r="Q19" s="265">
        <f t="shared" si="15"/>
        <v>122.68012042805616</v>
      </c>
      <c r="R19" s="265">
        <f t="shared" si="16"/>
        <v>99.999999999999986</v>
      </c>
      <c r="S19" s="265">
        <f t="shared" si="17"/>
        <v>251.75374306355354</v>
      </c>
      <c r="T19" s="265">
        <f t="shared" si="18"/>
        <v>101.66348388284288</v>
      </c>
      <c r="W19" s="256"/>
    </row>
    <row r="20" spans="1:23" s="254" customFormat="1" ht="15.6">
      <c r="A20" s="213">
        <v>10</v>
      </c>
      <c r="B20" s="214" t="s">
        <v>559</v>
      </c>
      <c r="C20" s="264">
        <f t="shared" si="10"/>
        <v>285549</v>
      </c>
      <c r="D20" s="264">
        <v>204908</v>
      </c>
      <c r="E20" s="286">
        <v>80641</v>
      </c>
      <c r="F20" s="286">
        <v>10448</v>
      </c>
      <c r="G20" s="286">
        <f t="shared" si="11"/>
        <v>20382</v>
      </c>
      <c r="H20" s="286">
        <f>'68_QT '!C40</f>
        <v>49811</v>
      </c>
      <c r="I20" s="286">
        <f t="shared" si="12"/>
        <v>316365</v>
      </c>
      <c r="J20" s="293">
        <v>204908</v>
      </c>
      <c r="K20" s="293">
        <v>111457</v>
      </c>
      <c r="L20" s="293">
        <v>10448</v>
      </c>
      <c r="M20" s="293">
        <f t="shared" si="13"/>
        <v>50465</v>
      </c>
      <c r="N20" s="293">
        <v>50544</v>
      </c>
      <c r="O20" s="656">
        <f t="shared" si="4"/>
        <v>110.7918430812225</v>
      </c>
      <c r="P20" s="265">
        <f t="shared" si="14"/>
        <v>100</v>
      </c>
      <c r="Q20" s="265">
        <f t="shared" si="15"/>
        <v>138.21381183269057</v>
      </c>
      <c r="R20" s="265">
        <f t="shared" si="16"/>
        <v>100</v>
      </c>
      <c r="S20" s="265">
        <f t="shared" si="17"/>
        <v>247.5959179668335</v>
      </c>
      <c r="T20" s="265">
        <f t="shared" si="18"/>
        <v>101.47156250627371</v>
      </c>
      <c r="W20" s="256"/>
    </row>
    <row r="21" spans="1:23" s="254" customFormat="1" ht="15.6">
      <c r="A21" s="344"/>
      <c r="B21" s="345"/>
      <c r="C21" s="346"/>
      <c r="D21" s="346"/>
      <c r="E21" s="346"/>
      <c r="F21" s="346"/>
      <c r="G21" s="346"/>
      <c r="H21" s="346"/>
      <c r="I21" s="346"/>
      <c r="J21" s="657"/>
      <c r="K21" s="657"/>
      <c r="L21" s="657"/>
      <c r="M21" s="657"/>
      <c r="N21" s="657"/>
      <c r="O21" s="657"/>
      <c r="P21" s="346"/>
      <c r="Q21" s="346"/>
      <c r="R21" s="346"/>
      <c r="S21" s="346"/>
      <c r="T21" s="346"/>
      <c r="W21" s="256"/>
    </row>
    <row r="22" spans="1:23" s="254" customFormat="1" ht="15.6">
      <c r="A22" s="253"/>
      <c r="C22" s="266"/>
      <c r="D22" s="266"/>
      <c r="E22" s="266"/>
      <c r="F22" s="266"/>
      <c r="G22" s="266"/>
      <c r="H22" s="266"/>
      <c r="I22" s="266"/>
      <c r="J22" s="266"/>
      <c r="K22" s="266"/>
      <c r="L22" s="266"/>
      <c r="M22" s="266"/>
      <c r="N22" s="266"/>
      <c r="O22" s="266"/>
      <c r="P22" s="266"/>
      <c r="Q22" s="266"/>
      <c r="R22" s="266"/>
      <c r="S22" s="266"/>
      <c r="T22" s="266"/>
    </row>
    <row r="23" spans="1:23">
      <c r="I23" s="658"/>
    </row>
    <row r="24" spans="1:23">
      <c r="J24" s="341"/>
    </row>
    <row r="39" spans="4:4">
      <c r="D39" s="311">
        <v>192200.4</v>
      </c>
    </row>
    <row r="40" spans="4:4">
      <c r="D40" s="311">
        <v>221952</v>
      </c>
    </row>
    <row r="41" spans="4:4">
      <c r="D41" s="311">
        <v>149136</v>
      </c>
    </row>
    <row r="42" spans="4:4">
      <c r="D42" s="311">
        <v>197238</v>
      </c>
    </row>
    <row r="43" spans="4:4">
      <c r="D43" s="311">
        <v>244632</v>
      </c>
    </row>
    <row r="44" spans="4:4">
      <c r="D44" s="311">
        <v>190373</v>
      </c>
    </row>
    <row r="45" spans="4:4">
      <c r="D45" s="311">
        <v>54311</v>
      </c>
    </row>
    <row r="46" spans="4:4">
      <c r="D46" s="311">
        <v>145350</v>
      </c>
    </row>
    <row r="47" spans="4:4">
      <c r="D47" s="311">
        <v>174027</v>
      </c>
    </row>
    <row r="48" spans="4:4">
      <c r="D48" s="311">
        <v>198923</v>
      </c>
    </row>
  </sheetData>
  <mergeCells count="16">
    <mergeCell ref="K7:N7"/>
    <mergeCell ref="O7:O8"/>
    <mergeCell ref="P7:P8"/>
    <mergeCell ref="Q7:T7"/>
    <mergeCell ref="A3:T3"/>
    <mergeCell ref="A4:T4"/>
    <mergeCell ref="A6:A8"/>
    <mergeCell ref="B6:B8"/>
    <mergeCell ref="C6:H6"/>
    <mergeCell ref="I6:N6"/>
    <mergeCell ref="O6:T6"/>
    <mergeCell ref="C7:C8"/>
    <mergeCell ref="D7:D8"/>
    <mergeCell ref="E7:H7"/>
    <mergeCell ref="I7:I8"/>
    <mergeCell ref="J7:J8"/>
  </mergeCells>
  <printOptions horizontalCentered="1"/>
  <pageMargins left="0" right="0" top="0.75" bottom="0.2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21</vt:i4>
      </vt:variant>
      <vt:variant>
        <vt:lpstr>Phạm vi Có tên</vt:lpstr>
      </vt:variant>
      <vt:variant>
        <vt:i4>4</vt:i4>
      </vt:variant>
    </vt:vector>
  </HeadingPairs>
  <TitlesOfParts>
    <vt:vector size="25" baseType="lpstr">
      <vt:lpstr>62_QT</vt:lpstr>
      <vt:lpstr>63_QT</vt:lpstr>
      <vt:lpstr>64_QT </vt:lpstr>
      <vt:lpstr>65_QT</vt:lpstr>
      <vt:lpstr>66_QT </vt:lpstr>
      <vt:lpstr>DT</vt:lpstr>
      <vt:lpstr>LC</vt:lpstr>
      <vt:lpstr>66_luu</vt:lpstr>
      <vt:lpstr>67_QT</vt:lpstr>
      <vt:lpstr>68_QT </vt:lpstr>
      <vt:lpstr>Sheet4</vt:lpstr>
      <vt:lpstr>DT TX NST</vt:lpstr>
      <vt:lpstr>Sheet5</vt:lpstr>
      <vt:lpstr>Sheet3</vt:lpstr>
      <vt:lpstr>Sheet1</vt:lpstr>
      <vt:lpstr>Thu NSDP_trinh HDND</vt:lpstr>
      <vt:lpstr>Chi NSDP_trinh HDND</vt:lpstr>
      <vt:lpstr>CD QT</vt:lpstr>
      <vt:lpstr>CTMTQG_CTMT2018</vt:lpstr>
      <vt:lpstr>NSH</vt:lpstr>
      <vt:lpstr>64_LUU</vt:lpstr>
      <vt:lpstr>'63_QT'!Print_Titles</vt:lpstr>
      <vt:lpstr>'64_QT '!Print_Titles</vt:lpstr>
      <vt:lpstr>'65_QT'!Print_Titles</vt:lpstr>
      <vt:lpstr>'66_QT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2020-01-09T08:40:46Z</dcterms:modified>
</cp:coreProperties>
</file>